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y Drive\"/>
    </mc:Choice>
  </mc:AlternateContent>
  <xr:revisionPtr revIDLastSave="0" documentId="13_ncr:1_{516711A2-467B-4A50-96D3-D1799F7EE08F}" xr6:coauthVersionLast="47" xr6:coauthVersionMax="47" xr10:uidLastSave="{00000000-0000-0000-0000-000000000000}"/>
  <bookViews>
    <workbookView xWindow="32085" yWindow="570" windowWidth="21360" windowHeight="14370" tabRatio="601" xr2:uid="{00000000-000D-0000-FFFF-FFFF00000000}"/>
  </bookViews>
  <sheets>
    <sheet name="Main Page" sheetId="1" r:id="rId1"/>
    <sheet name="Terms of Planting" sheetId="3" state="hidden" r:id="rId2"/>
    <sheet name="Planting Advice" sheetId="5" r:id="rId3"/>
    <sheet name="Watering Advice" sheetId="4" r:id="rId4"/>
    <sheet name="Warranty" sheetId="6" r:id="rId5"/>
    <sheet name="Discount Lookup" sheetId="2" state="hidden" r:id="rId6"/>
  </sheets>
  <definedNames>
    <definedName name="_⚒__NEW_VIEW_PLANTING_OPTION__⚒">'Main Page'!$Z$6</definedName>
    <definedName name="ADD_ADDITIONAL_PLANTS">'Main Page'!$A$1758</definedName>
    <definedName name="Alice_Oakleaf_Hydrangea">'Main Page'!$A$1129</definedName>
    <definedName name="Alley_Cat_Eastern_Redbud__pink__Cercis_canadensis__Alley_Cat">'Main Page'!#REF!</definedName>
    <definedName name="American_Beautyberry">'Main Page'!$A$1435</definedName>
    <definedName name="American_Beech">'Main Page'!$A$346</definedName>
    <definedName name="American_Hornbeam">'Main Page'!$A$451</definedName>
    <definedName name="American_Purple_Beautyberry">'Main Page'!#REF!</definedName>
    <definedName name="American_Purple_Beautyberry_Callicarpa_americana__Atropurpurea">'Main Page'!#REF!</definedName>
    <definedName name="Amethyst_Falls_Wisteria">'Main Page'!#REF!</definedName>
    <definedName name="Anah_Kruschke_Rhodie">'Main Page'!#REF!</definedName>
    <definedName name="Anah_Kruschke_Rhododendron">'Main Page'!#REF!</definedName>
    <definedName name="Anah_Kruschke_Rhododendron__purple_rose_red__Rhododendron_catawbiense__Anah_Kruschke">'Main Page'!#REF!</definedName>
    <definedName name="Anna_s_Magic_Ball">'Main Page'!#REF!</definedName>
    <definedName name="Aphrodite_Sweetshrub">'Main Page'!$A$1141</definedName>
    <definedName name="Appalachian_Red_Eastern_Redbud">'Main Page'!#REF!</definedName>
    <definedName name="Autumn_Gold_Ginkgo">'Main Page'!$A$392</definedName>
    <definedName name="Autumn_Radiance_Red_Maple">'Main Page'!#REF!</definedName>
    <definedName name="Baby_Cakes__Blackberry">'Main Page'!$A$1453</definedName>
    <definedName name="Bald_Cypress">'Main Page'!$A$328</definedName>
    <definedName name="Black_eyed_Susan">'Main Page'!$A$1683</definedName>
    <definedName name="Black_Tupelo">'Main Page'!$A$401</definedName>
    <definedName name="Bracken_Brown_Beauty_Magnolia">'Main Page'!$A$25</definedName>
    <definedName name="Bracken_s_Brown_Beauty_Magnolia__white__💧wet_sites_OK_Magnolia_grandiflora__Bracken_s_Brown_Beauty">'Main Page'!$A$25</definedName>
    <definedName name="BrackenBB">'Main Page'!$R$25</definedName>
    <definedName name="Brackens_Brown_Beauty">'Main Page'!$A$25</definedName>
    <definedName name="Brandywine_Red_Maple">'Main Page'!$A$424</definedName>
    <definedName name="Brodie_Juniper">'Main Page'!$A$101</definedName>
    <definedName name="Burgundy_Spice_Sweetshrub">'Main Page'!#REF!</definedName>
    <definedName name="Butterfly_Milkweed">'Main Page'!#REF!</definedName>
    <definedName name="Butterfly_Milkweed__orange__Asclepias_tuberosa">'Main Page'!#REF!</definedName>
    <definedName name="by_categories">'Main Page'!$M$1</definedName>
    <definedName name="Canadian_Hemlock">'Main Page'!#REF!</definedName>
    <definedName name="Canadian_Hemlock_Tsuga_canadensis">'Main Page'!#REF!</definedName>
    <definedName name="CanHemlock">'Main Page'!#REF!</definedName>
    <definedName name="Carolina_Allspice_Sweetshrub">'Main Page'!#REF!</definedName>
    <definedName name="Carolina_Allspice_Sweetshrub__dark_red___💧wet_sites_OK__Calycanthus_floridus">'Main Page'!#REF!</definedName>
    <definedName name="Carolina_Allspice_Sweetshrubb">'Main Page'!#REF!</definedName>
    <definedName name="Carolina_Cherry_Laurel">'Main Page'!#REF!</definedName>
    <definedName name="Carolina_Cherry_Laurel__white__Prunus_caroliniana">'Main Page'!#REF!</definedName>
    <definedName name="Carolina_Sweetheart__Redbud">'Main Page'!#REF!</definedName>
    <definedName name="CATEGORIES">'Main Page'!$P$1</definedName>
    <definedName name="Centre_Court_Cherry_Laurel">'Main Page'!$A$51</definedName>
    <definedName name="Cherokee_Brave_Dogwood">'Main Page'!#REF!</definedName>
    <definedName name="Cherokee_Brave_Dogwood__reddish_pink__Cornus_florida__Cherokee_Brave">'Main Page'!$A$456</definedName>
    <definedName name="Cherokee_Princess_Dogwood">'Main Page'!#REF!</definedName>
    <definedName name="Cherokee_Princess_Dogwood__white__Cornus_florida__Cherokee_Princess">'Main Page'!$A$459</definedName>
    <definedName name="CherryLaurel">'Main Page'!#REF!</definedName>
    <definedName name="Cheyenne_Spirit_Coneflowe">'Main Page'!#REF!</definedName>
    <definedName name="Cheyenne_Spirit_Coneflower">'Main Page'!#REF!</definedName>
    <definedName name="Cheyenne_Spirit_Coneflower__many_colors__Echinacea_x__Cheyenne_Spirit">'Main Page'!#REF!</definedName>
    <definedName name="Climax_Blueberry">'Main Page'!$A$1417</definedName>
    <definedName name="Common_Persimmon">'Main Page'!#REF!</definedName>
    <definedName name="Compact_Carolina_Cherry_Laurel">'Main Page'!#REF!</definedName>
    <definedName name="Compact_Carolina_Cherry_Laurel__white__Prunus_caroliniana__Compacta">'Main Page'!#REF!</definedName>
    <definedName name="Deciduous">'Main Page'!$AP$5</definedName>
    <definedName name="Deciduous__foliage_drops_off_every_fall">'Main Page'!$AP$5</definedName>
    <definedName name="DECIDUOUS_GROUND_COVER">'Main Page'!$A$1613</definedName>
    <definedName name="DECIDUOUS_GROUNDCOVER___Grasses__Vines__etc.__bloom">'Main Page'!$A$1613</definedName>
    <definedName name="DECIDUOUS_in_peach">'Main Page'!$G$7</definedName>
    <definedName name="Deciduous_Shade_Trees">'Main Page'!$A$321</definedName>
    <definedName name="DECIDUOUS_SHRUBS">'Main Page'!$A$1100</definedName>
    <definedName name="DECIDUOUS_TREES">'Main Page'!$A$321</definedName>
    <definedName name="DeGroot_s_Spire_Arborvitae">'Main Page'!$A$174</definedName>
    <definedName name="DELIVERY_TOTAL">'Main Page'!$A$1781</definedName>
    <definedName name="Dura_Heat_River_Birch">'Main Page'!$A$428</definedName>
    <definedName name="Dwarf_Golden_Sweet_Flag">'Main Page'!$A$1596</definedName>
    <definedName name="Dwarf_Palmetto_Palm">'Main Page'!$A$307</definedName>
    <definedName name="Dwarf_Yaupon_Holly">'Main Page'!$A$943</definedName>
    <definedName name="Eastern_Red_Cedar">'Main Page'!#REF!</definedName>
    <definedName name="Eastern_Red_Cedar_Juniperus_virginiana">'Main Page'!#REF!</definedName>
    <definedName name="Eastern_Redbud">'Main Page'!#REF!</definedName>
    <definedName name="Eastern_Triangle_Area">'Main Page'!$B$1819</definedName>
    <definedName name="Eastern_Triangle_Area_of_NC">'Main Page'!#REF!</definedName>
    <definedName name="Eastern_Triangle_Area_of_NC__both_T2G___NVP">'Main Page'!#REF!</definedName>
    <definedName name="EDIBLES">'Main Page'!$A$1385</definedName>
    <definedName name="EDIBLES__bloom_color">'Main Page'!$A$1385</definedName>
    <definedName name="Elderberry">'Main Page'!$A$1410</definedName>
    <definedName name="Emerald_Arborvitae">'Main Page'!$A$221</definedName>
    <definedName name="Emerald_Blue_Creeping_Phlox">'Main Page'!$A$1587</definedName>
    <definedName name="Emerald_City__Tulip_Tree">'Main Page'!#REF!</definedName>
    <definedName name="Emerald_City__Tulip_Tree_Liriodendron_tulipifera__JFS_Oz">'Main Page'!#REF!</definedName>
    <definedName name="English_Roseum_Rhododendron">'Main Page'!#REF!</definedName>
    <definedName name="English_Roseum_Rhododendron__pink_to_purple__Rhododendron_catawbiense__English_Roseum">'Main Page'!#REF!</definedName>
    <definedName name="Evergreen">'Main Page'!$AK$5</definedName>
    <definedName name="Evergreen__keeps_foliage_year_round">'Main Page'!$AK$5</definedName>
    <definedName name="EVERGREEN_GROUNDCOVER">'Main Page'!$A$1472</definedName>
    <definedName name="EVERGREEN_plants_in_green">'Main Page'!$C$7</definedName>
    <definedName name="EVERGREEN_SHRUBS">'Main Page'!$A$698</definedName>
    <definedName name="EVERGREEN_TREES">'Main Page'!$A$7</definedName>
    <definedName name="Fire_Chief™_Arborvitae">'Main Page'!#REF!</definedName>
    <definedName name="Fire_Chief™_Arborvitae_Thuja_occidentalis__Congabe__PP19009">'Main Page'!#REF!</definedName>
    <definedName name="Flame_Thrower__Redbud">'Main Page'!$A$573</definedName>
    <definedName name="Forest_Pansy_Redbud">'Main Page'!$A$462</definedName>
    <definedName name="Fort_Hill_Creeping_Phlox">'Main Page'!$A$1590</definedName>
    <definedName name="Foster_Holly">'Main Page'!$A$62</definedName>
    <definedName name="Fry_Muscadine_Grape">'Main Page'!#REF!</definedName>
    <definedName name="Golden_Colonnade_Ginkgo">'Main Page'!$A$414</definedName>
    <definedName name="Golden_Falls_Weeping_Redbud">'Main Page'!$A$1361</definedName>
    <definedName name="Golden_Globe_Arborvitae">'Main Page'!$A$854</definedName>
    <definedName name="Goldsturm_Black_Eyed_Susan">'Main Page'!$A$1683</definedName>
    <definedName name="Green_Gable_Black_Gum">'Main Page'!$A$404</definedName>
    <definedName name="Greenleaf_American_Holly_Ilex_opaca__Greenleaf">'Main Page'!#REF!</definedName>
    <definedName name="Gro_Low_Sumac">'Main Page'!#REF!</definedName>
    <definedName name="GUARANTEE">'Main Page'!$AC$1</definedName>
    <definedName name="Guaranteed">'Main Page'!$AT$1</definedName>
    <definedName name="Hardy_Anise_Shru">'Main Page'!$A$705</definedName>
    <definedName name="Hardy_Anise_Shrub">'Main Page'!$A$705</definedName>
    <definedName name="Heavy_Metal_Switchgrass">'Main Page'!#REF!</definedName>
    <definedName name="Heavy_Metal_Switchgrass__pink_tinged___💧wet_sites_OK__Panicum_‘Heavy_Metal">'Main Page'!$A$1645</definedName>
    <definedName name="Henry_s_Garnet_Virginia_Sweetspire">'Main Page'!$A$1167</definedName>
    <definedName name="Heritage_River_Birch">'Main Page'!#REF!</definedName>
    <definedName name="Hetz_Midget_Arborvita">'Main Page'!$A$964</definedName>
    <definedName name="Hetz_Midget_Arborvitae">'Main Page'!$A$964</definedName>
    <definedName name="Homestead_Hot_Pink_Verbena">'Main Page'!$A$1518</definedName>
    <definedName name="Homestead_Purple_Verbena">'Main Page'!$A$1521</definedName>
    <definedName name="Humminbird_Summersweet">'Main Page'!$A$1223</definedName>
    <definedName name="Issai_Purple_Beautyberry">'Main Page'!#REF!</definedName>
    <definedName name="Issai_Purple_Beautyberry_">'Main Page'!#REF!</definedName>
    <definedName name="Issai_Purple_Beautyberry__bluish_purple__Callicarpa_dichotoa__Issai">'Main Page'!#REF!</definedName>
    <definedName name="Issai_Purple_Beautyberryoa__Issai">'Main Page'!#REF!</definedName>
    <definedName name="Jantar_Gold_Arborvitae">'Main Page'!#REF!</definedName>
    <definedName name="Jumbo_Muscadine_Grape">'Main Page'!#REF!</definedName>
    <definedName name="Kay_Parris_Magnolia">'Main Page'!$A$65</definedName>
    <definedName name="Lace_Parasol_Winged_Elm">'Main Page'!$A$1352</definedName>
    <definedName name="Legacy_Blueberry">'Main Page'!$A$1420</definedName>
    <definedName name="Legacy_Sugar_Maple">'Main Page'!$A$369</definedName>
    <definedName name="Little_Gem_Magnolia">'Main Page'!$A$54</definedName>
    <definedName name="Little_Gem_Magnolia__white___💧wet_sites_OK__Magnolia_grandiflora__Little_Gem">'Main Page'!$A$54</definedName>
    <definedName name="Little_Henry__Virginia_Sweetspire">'Main Page'!$A$1255</definedName>
    <definedName name="Little_King_Dwarf_River_Birch">'Main Page'!$A$654</definedName>
    <definedName name="Loblolly_Pine">'Main Page'!$A$11</definedName>
    <definedName name="Longleaf_Pine">'Main Page'!$A$16</definedName>
    <definedName name="Magic_Fountain_Wpg_Persimmon">'Main Page'!#REF!</definedName>
    <definedName name="Magic_Fountain_Wpg_Persimmon_Diospyros_v.__M._F.__💧wet_sites_OK">'Main Page'!#REF!</definedName>
    <definedName name="Magnus_Purple_Coneflower">'Main Page'!#REF!</definedName>
    <definedName name="Magnus_Purple_Coneflower__rosy_purple__Echinacea_purpurea__Magnus">'Main Page'!#REF!</definedName>
    <definedName name="Merlot_Redbud">'Main Page'!#REF!</definedName>
    <definedName name="Merlot_Redbud__pink__Cercis_x__Merlot">'Main Page'!$A$600</definedName>
    <definedName name="more">'Main Page'!$AT$1</definedName>
    <definedName name="MORE_NOTES">'Main Page'!$AV$1</definedName>
    <definedName name="Mount_Airy_Fothergilla">'Main Page'!#REF!</definedName>
    <definedName name="Mount_Airy_Fothergilla__white__Fothergilla_major__Mount_Airy">'Main Page'!#REF!</definedName>
    <definedName name="N">'Main Page'!#REF!</definedName>
    <definedName name="Needle_Palm">'Main Page'!#REF!</definedName>
    <definedName name="Needle_Palm_Rhapidophyllum_hystrix">'Main Page'!#REF!</definedName>
    <definedName name="NEW_VIEW_PLANTING">'Main Page'!$AC$1</definedName>
    <definedName name="New_View_Planting__NVP__Prices">'Main Page'!#REF!</definedName>
    <definedName name="New_View_Planting_Price_Table">'Main Page'!$Z$1782</definedName>
    <definedName name="none">'Main Page'!$AC$1</definedName>
    <definedName name="NOTES">'Main Page'!#REF!</definedName>
    <definedName name="Nova_Zembla_Rhododendron">'Main Page'!#REF!</definedName>
    <definedName name="Nova_Zembla_Rhododendron__red_fades_to_deep_pink__Rhododendron_catawbiense__Nova_Zembla">'Main Page'!#REF!</definedName>
    <definedName name="Nuttall_Oak">'Main Page'!$A$333</definedName>
    <definedName name="NVP__Price_Table">'Main Page'!$Z$1782</definedName>
    <definedName name="NVP_NOTES">'Main Page'!#REF!</definedName>
    <definedName name="NVPNotes">'Main Page'!$Z$1803</definedName>
    <definedName name="O_Neal_Blueberry">'Main Page'!#REF!</definedName>
    <definedName name="O_Neal_Blueberry_Vaccinium_virgatum__O_Neal__💧wet_sites_OK">'Main Page'!#REF!</definedName>
    <definedName name="October_Glory_Red_Maple">'Main Page'!$A$420</definedName>
    <definedName name="Ogon_Sweet_Flag">'Main Page'!$A$1562</definedName>
    <definedName name="OLE_LINK1" localSheetId="1">'Terms of Planting'!$A$14</definedName>
    <definedName name="OPTIONAL_NEW_VIEW_PLANTING">'Main Page'!$Z$1</definedName>
    <definedName name="Overcup_Oak">'Main Page'!$A$338</definedName>
    <definedName name="Palace_Purple_Coral_Bells">'Main Page'!#REF!</definedName>
    <definedName name="Palace_Purple_Coral_Bells__white__Heuchera_micrantha__Palace_Purple">'Main Page'!$A$1567</definedName>
    <definedName name="Pancake™_Arborvitae">'Main Page'!#REF!</definedName>
    <definedName name="Pawpaw_Tree">'Main Page'!#REF!</definedName>
    <definedName name="Pawpaw_Tree__purple___💧wet_sites_OK__Asimina_triloba">'Main Page'!$A$1386</definedName>
    <definedName name="Pennsylvania_Sedge">'Main Page'!$A$1570</definedName>
    <definedName name="Pin_Oak">'Main Page'!$A$359</definedName>
    <definedName name="Pink_Dogwood">'Main Page'!$A$471</definedName>
    <definedName name="Pink_Icing__Blueberry">'Main Page'!#REF!</definedName>
    <definedName name="Pink_Icing__Blueberry__white__Bushel_and_Berry__Vaccinium_corymbosum__Zf06_079__PP23336">'Main Page'!$A$1458</definedName>
    <definedName name="Pink_Muhly_Grass">'Main Page'!$A$1661</definedName>
    <definedName name="Pink_Pom_Poms_Redbud">'Main Page'!#REF!</definedName>
    <definedName name="Planet_Earth__Arborvitae">'Main Page'!$A$909</definedName>
    <definedName name="Powderblue_Blueberry">'Main Page'!$A$1425</definedName>
    <definedName name="PowWow__Wild_Berry_Coneflower">'Main Page'!#REF!</definedName>
    <definedName name="PowWow__Wild_Berry_Coneflower__rose_purple__Echinacea_purpurea__PowWow_WB">'Main Page'!#REF!</definedName>
    <definedName name="Premier_Blueberry">'Main Page'!$A$1428</definedName>
    <definedName name="Price_Table">'Main Page'!$A$1781</definedName>
    <definedName name="PriceTable">'Main Page'!$A$1781</definedName>
    <definedName name="_xlnm.Print_Area" localSheetId="0">'Main Page'!$A$1:$AS$1830</definedName>
    <definedName name="_xlnm.Print_Area" localSheetId="2">'Planting Advice'!$B$1:$G$39</definedName>
    <definedName name="_xlnm.Print_Area" localSheetId="4">Warranty!$A$1:$I$32</definedName>
    <definedName name="_xlnm.Print_Area" localSheetId="3">'Watering Advice'!$B$1:$D$52</definedName>
    <definedName name="QualityGuarantee">'Main Page'!$B$1837</definedName>
    <definedName name="Rebel_Blueberry">'Main Page'!$A$1440</definedName>
    <definedName name="Red_Wings_Creeping_Phlox">'Main Page'!#REF!</definedName>
    <definedName name="Redpointe__Red_Maple">'Main Page'!$A$411</definedName>
    <definedName name="Rising_Sun_Redbud">'Main Page'!#REF!</definedName>
    <definedName name="Rosa_s_Blush_Dwarf_Blueberry">'Main Page'!$A$1461</definedName>
    <definedName name="Ruby_Falls_Weeping_Redbud">'Main Page'!$A$1381</definedName>
    <definedName name="Ruby_Spice_Summersweet">'Main Page'!$A$1156</definedName>
    <definedName name="Shagbark_Hickory">'Main Page'!$A$325</definedName>
    <definedName name="Shamrock_Inkberry_Holly">'Main Page'!$A$975</definedName>
    <definedName name="Shenandoah_Switch_Grass">'Main Page'!$A$1667</definedName>
    <definedName name="Shumard_Oak">'Main Page'!$A$362</definedName>
    <definedName name="Snowflake_Creeping_Phlox">'Main Page'!#REF!</definedName>
    <definedName name="Snowflake_Creeping_Phlox__white__Phlox_subulata__Snowflake">'Main Page'!#REF!</definedName>
    <definedName name="Southern_Gentleman_Winterberry_Holly">'Main Page'!#REF!</definedName>
    <definedName name="Southern_Gentleman_Winterberry_Holly__💧wet_sites_OK__Ilex_verticillata__Southern_Gentleman">'Main Page'!$A$1109</definedName>
    <definedName name="Southern_Shield_Fern">'Main Page'!#REF!</definedName>
    <definedName name="Southern_Shield_Fern_Thelypteris_normalis__💧wet_sites">'Main Page'!#REF!</definedName>
    <definedName name="Southern_Shield_Fernn">'Main Page'!#REF!</definedName>
    <definedName name="Stellar_Pink_Dogwood">'Main Page'!#REF!</definedName>
    <definedName name="Stellar_Pink™_Dogwood">'Main Page'!#REF!</definedName>
    <definedName name="Strawberry_Shortcake_Wax_Myrtle">'Main Page'!$A$1075</definedName>
    <definedName name="Sun_Valley_Red_Maple">'Main Page'!$A$383</definedName>
    <definedName name="Swamp_White_Oak">'Main Page'!$A$366</definedName>
    <definedName name="Sweet_Tea_Gordlinia__white___Gordlinia_grandiflora__Sweet_Tea">'Main Page'!$A$59</definedName>
    <definedName name="Sweetbay_Magnolia__white___💧wet_sites_OK__Magnolia_virginiana">'Main Page'!#REF!</definedName>
    <definedName name="SweetTea">'Main Page'!$R$59</definedName>
    <definedName name="T2G_Total">'Main Page'!$K$1788</definedName>
    <definedName name="Tables">'Main Page'!$A$1804</definedName>
    <definedName name="Tangerine_Beauty_Cross_Vine">'Main Page'!#REF!</definedName>
    <definedName name="Tangerine_Beauty_Cross_Viner">'Main Page'!$A$1473</definedName>
    <definedName name="Tator_Tot__Arborvitae">'Main Page'!#REF!</definedName>
    <definedName name="Taylor_Juniper">'Main Page'!$A$180</definedName>
    <definedName name="Teddy_Bear_Magnolia">'Main Page'!$A$87</definedName>
    <definedName name="THIS_CELL">!A1</definedName>
    <definedName name="Tifblue_Blueberry">'Main Page'!$A$1432</definedName>
    <definedName name="TOP">'Main Page'!$M$6</definedName>
    <definedName name="TREES2GO_NOTES">'Main Page'!$AK$1</definedName>
    <definedName name="TREES2GO_PRICE_TABLE">'Main Page'!$A$1781</definedName>
    <definedName name="Trees2GoPriceTable">'Main Page'!$A$1781</definedName>
    <definedName name="Tulip_Poplar">'Main Page'!#REF!</definedName>
    <definedName name="Variegated_Sweet_Flag">'Main Page'!$A$1486</definedName>
    <definedName name="Wax_Myrtle">'Main Page'!$A$112</definedName>
    <definedName name="WEEPING_PLANTS">'Main Page'!$A$1329</definedName>
    <definedName name="Weeping_Yaupon_Holly">'Main Page'!$A$1334</definedName>
    <definedName name="White_American_Beautyberry">'Main Page'!#REF!</definedName>
    <definedName name="White_American_Beautyberryy">'Main Page'!#REF!</definedName>
    <definedName name="White_Delight_Creeping_Phlox">'Main Page'!#REF!</definedName>
    <definedName name="White_Delight_Creeping_Phlox__white___💧wet_sites_OK__Phlox_subulata__White_Delight">'Main Page'!$A$1593</definedName>
    <definedName name="White_Fringetree_white">'Main Page'!$A$540</definedName>
    <definedName name="White_Oak">'Main Page'!$A$322</definedName>
    <definedName name="Whitewater_Weeping_Redbud">'Main Page'!#REF!</definedName>
    <definedName name="Willow_Oak">'Main Page'!$A$377</definedName>
    <definedName name="Woodland_Ruby_Anise">'Main Page'!$A$790</definedName>
    <definedName name="Yellow_Ribbon_Arborvitae">'Main Page'!$A$303</definedName>
  </definedNames>
  <calcPr calcId="191028"/>
  <customWorkbookViews>
    <customWorkbookView name="User - Personal View" guid="{1E9B411C-D0FF-4571-8400-525AD07D2A70}" mergeInterval="0" personalView="1" xWindow="215" yWindow="7" windowWidth="1526" windowHeight="973" activeSheetId="1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94" i="1" l="1"/>
  <c r="AI94" i="1"/>
  <c r="AE94" i="1"/>
  <c r="AD94" i="1"/>
  <c r="AL94" i="1" s="1"/>
  <c r="AB94" i="1"/>
  <c r="Z94" i="1"/>
  <c r="X94" i="1"/>
  <c r="V94" i="1"/>
  <c r="U94" i="1"/>
  <c r="T94" i="1"/>
  <c r="S94" i="1"/>
  <c r="I94" i="1"/>
  <c r="W94" i="1" s="1"/>
  <c r="H94" i="1"/>
  <c r="AJ97" i="1"/>
  <c r="AI97" i="1"/>
  <c r="AE97" i="1"/>
  <c r="AD97" i="1"/>
  <c r="AL97" i="1" s="1"/>
  <c r="AB97" i="1"/>
  <c r="Z97" i="1"/>
  <c r="X97" i="1"/>
  <c r="V97" i="1"/>
  <c r="U97" i="1"/>
  <c r="T97" i="1"/>
  <c r="S97" i="1"/>
  <c r="I97" i="1"/>
  <c r="W97" i="1" s="1"/>
  <c r="H97" i="1"/>
  <c r="J94" i="1" l="1"/>
  <c r="K94" i="1" s="1"/>
  <c r="AH94" i="1"/>
  <c r="J97" i="1"/>
  <c r="K97" i="1" s="1"/>
  <c r="AH97" i="1"/>
  <c r="AJ1629" i="1" l="1"/>
  <c r="AI1629" i="1"/>
  <c r="AE1629" i="1"/>
  <c r="AD1629" i="1"/>
  <c r="AL1629" i="1" s="1"/>
  <c r="AB1629" i="1"/>
  <c r="Z1629" i="1"/>
  <c r="AJ1628" i="1"/>
  <c r="AI1628" i="1"/>
  <c r="AE1628" i="1"/>
  <c r="AD1628" i="1"/>
  <c r="AL1628" i="1" s="1"/>
  <c r="AB1628" i="1"/>
  <c r="Z1628" i="1"/>
  <c r="X1628" i="1"/>
  <c r="V1628" i="1"/>
  <c r="U1628" i="1"/>
  <c r="T1628" i="1"/>
  <c r="S1628" i="1"/>
  <c r="I1628" i="1"/>
  <c r="W1628" i="1" s="1"/>
  <c r="H1628" i="1"/>
  <c r="AJ1627" i="1"/>
  <c r="AI1627" i="1"/>
  <c r="AE1627" i="1"/>
  <c r="AD1627" i="1"/>
  <c r="AL1627" i="1" s="1"/>
  <c r="AB1627" i="1"/>
  <c r="Z1627" i="1"/>
  <c r="V1627" i="1"/>
  <c r="AJ1632" i="1"/>
  <c r="AI1632" i="1"/>
  <c r="AE1632" i="1"/>
  <c r="AD1632" i="1"/>
  <c r="AL1632" i="1" s="1"/>
  <c r="AB1632" i="1"/>
  <c r="Z1632" i="1"/>
  <c r="AJ1631" i="1"/>
  <c r="AI1631" i="1"/>
  <c r="AE1631" i="1"/>
  <c r="AD1631" i="1"/>
  <c r="AL1631" i="1" s="1"/>
  <c r="AB1631" i="1"/>
  <c r="Z1631" i="1"/>
  <c r="X1631" i="1"/>
  <c r="V1631" i="1"/>
  <c r="U1631" i="1"/>
  <c r="T1631" i="1"/>
  <c r="S1631" i="1"/>
  <c r="I1631" i="1"/>
  <c r="W1631" i="1" s="1"/>
  <c r="H1631" i="1"/>
  <c r="AJ1630" i="1"/>
  <c r="AI1630" i="1"/>
  <c r="AE1630" i="1"/>
  <c r="AD1630" i="1"/>
  <c r="AL1630" i="1" s="1"/>
  <c r="AB1630" i="1"/>
  <c r="Z1630" i="1"/>
  <c r="V1630" i="1"/>
  <c r="AJ188" i="1"/>
  <c r="AI188" i="1"/>
  <c r="AE188" i="1"/>
  <c r="AD188" i="1"/>
  <c r="AL188" i="1" s="1"/>
  <c r="AB188" i="1"/>
  <c r="Z188" i="1"/>
  <c r="X188" i="1"/>
  <c r="V188" i="1"/>
  <c r="U188" i="1"/>
  <c r="T188" i="1"/>
  <c r="S188" i="1"/>
  <c r="I188" i="1"/>
  <c r="W188" i="1" s="1"/>
  <c r="H188" i="1"/>
  <c r="AJ187" i="1"/>
  <c r="AI187" i="1"/>
  <c r="AE187" i="1"/>
  <c r="AD187" i="1"/>
  <c r="AL187" i="1" s="1"/>
  <c r="AB187" i="1"/>
  <c r="Z187" i="1"/>
  <c r="X187" i="1"/>
  <c r="V187" i="1"/>
  <c r="U187" i="1"/>
  <c r="T187" i="1"/>
  <c r="S187" i="1"/>
  <c r="I187" i="1"/>
  <c r="W187" i="1" s="1"/>
  <c r="H187" i="1"/>
  <c r="AJ166" i="1"/>
  <c r="AI166" i="1"/>
  <c r="AE166" i="1"/>
  <c r="AD166" i="1"/>
  <c r="AL166" i="1" s="1"/>
  <c r="AB166" i="1"/>
  <c r="Z166" i="1"/>
  <c r="X166" i="1"/>
  <c r="V166" i="1"/>
  <c r="U166" i="1"/>
  <c r="T166" i="1"/>
  <c r="S166" i="1"/>
  <c r="I166" i="1"/>
  <c r="W166" i="1" s="1"/>
  <c r="H166" i="1"/>
  <c r="AJ223" i="1"/>
  <c r="AI223" i="1"/>
  <c r="AE223" i="1"/>
  <c r="AD223" i="1"/>
  <c r="AL223" i="1" s="1"/>
  <c r="AB223" i="1"/>
  <c r="Z223" i="1"/>
  <c r="X223" i="1"/>
  <c r="V223" i="1"/>
  <c r="U223" i="1"/>
  <c r="T223" i="1"/>
  <c r="S223" i="1"/>
  <c r="I223" i="1"/>
  <c r="W223" i="1" s="1"/>
  <c r="H223" i="1"/>
  <c r="J223" i="1" l="1"/>
  <c r="K223" i="1" s="1"/>
  <c r="J1628" i="1"/>
  <c r="J187" i="1"/>
  <c r="AH1627" i="1"/>
  <c r="AH1628" i="1"/>
  <c r="AH1630" i="1"/>
  <c r="K1628" i="1"/>
  <c r="J1631" i="1"/>
  <c r="K1631" i="1" s="1"/>
  <c r="AH1629" i="1"/>
  <c r="AH1631" i="1"/>
  <c r="AH1632" i="1"/>
  <c r="J188" i="1"/>
  <c r="K188" i="1" s="1"/>
  <c r="K187" i="1"/>
  <c r="AH187" i="1"/>
  <c r="AH188" i="1"/>
  <c r="J166" i="1"/>
  <c r="K166" i="1" s="1"/>
  <c r="AH166" i="1"/>
  <c r="AH223" i="1"/>
  <c r="AJ1093" i="1"/>
  <c r="AI1093" i="1"/>
  <c r="AE1093" i="1"/>
  <c r="AD1093" i="1"/>
  <c r="AL1093" i="1" s="1"/>
  <c r="AB1093" i="1"/>
  <c r="Z1093" i="1"/>
  <c r="X1093" i="1"/>
  <c r="V1093" i="1"/>
  <c r="U1093" i="1"/>
  <c r="T1093" i="1"/>
  <c r="S1093" i="1"/>
  <c r="I1093" i="1"/>
  <c r="W1093" i="1" s="1"/>
  <c r="H1093" i="1"/>
  <c r="AJ200" i="1"/>
  <c r="AI200" i="1"/>
  <c r="AE200" i="1"/>
  <c r="AD200" i="1"/>
  <c r="AL200" i="1" s="1"/>
  <c r="AB200" i="1"/>
  <c r="Z200" i="1"/>
  <c r="X200" i="1"/>
  <c r="V200" i="1"/>
  <c r="U200" i="1"/>
  <c r="T200" i="1"/>
  <c r="S200" i="1"/>
  <c r="I200" i="1"/>
  <c r="W200" i="1" s="1"/>
  <c r="H200" i="1"/>
  <c r="AJ197" i="1"/>
  <c r="AI197" i="1"/>
  <c r="AE197" i="1"/>
  <c r="AD197" i="1"/>
  <c r="AL197" i="1" s="1"/>
  <c r="AB197" i="1"/>
  <c r="Z197" i="1"/>
  <c r="X197" i="1"/>
  <c r="V197" i="1"/>
  <c r="U197" i="1"/>
  <c r="T197" i="1"/>
  <c r="S197" i="1"/>
  <c r="I197" i="1"/>
  <c r="W197" i="1" s="1"/>
  <c r="H197" i="1"/>
  <c r="J1093" i="1" l="1"/>
  <c r="K1093" i="1" s="1"/>
  <c r="AH1093" i="1"/>
  <c r="J200" i="1"/>
  <c r="K200" i="1" s="1"/>
  <c r="J197" i="1"/>
  <c r="K197" i="1" s="1"/>
  <c r="AH200" i="1"/>
  <c r="AH197" i="1"/>
  <c r="AD1760" i="1" l="1"/>
  <c r="AI1754" i="1"/>
  <c r="AE1754" i="1"/>
  <c r="AD1754" i="1"/>
  <c r="AH1754" i="1" s="1"/>
  <c r="AB1754" i="1"/>
  <c r="Z1754" i="1"/>
  <c r="X1754" i="1"/>
  <c r="V1754" i="1"/>
  <c r="U1754" i="1"/>
  <c r="T1754" i="1"/>
  <c r="S1754" i="1"/>
  <c r="AI1759" i="1"/>
  <c r="AE1759" i="1"/>
  <c r="AD1759" i="1"/>
  <c r="AH1759" i="1" s="1"/>
  <c r="AB1759" i="1"/>
  <c r="Z1759" i="1"/>
  <c r="X1759" i="1"/>
  <c r="W1759" i="1"/>
  <c r="V1759" i="1"/>
  <c r="U1759" i="1"/>
  <c r="T1759" i="1"/>
  <c r="S1759" i="1"/>
  <c r="Z1760" i="1"/>
  <c r="AE1760" i="1"/>
  <c r="V1760" i="1"/>
  <c r="U1760" i="1"/>
  <c r="T1760" i="1"/>
  <c r="S1760" i="1"/>
  <c r="AJ1759" i="1"/>
  <c r="AL1759" i="1" l="1"/>
  <c r="X1760" i="1"/>
  <c r="AH1760" i="1"/>
  <c r="AJ83" i="1"/>
  <c r="AI83" i="1"/>
  <c r="AE83" i="1"/>
  <c r="AD83" i="1"/>
  <c r="AL83" i="1" s="1"/>
  <c r="AB83" i="1"/>
  <c r="Z83" i="1"/>
  <c r="X83" i="1"/>
  <c r="V83" i="1"/>
  <c r="U83" i="1"/>
  <c r="T83" i="1"/>
  <c r="S83" i="1"/>
  <c r="I83" i="1"/>
  <c r="W83" i="1" s="1"/>
  <c r="H83" i="1"/>
  <c r="AH83" i="1" l="1"/>
  <c r="J83" i="1"/>
  <c r="K83" i="1" s="1"/>
  <c r="AJ1418" i="1" l="1"/>
  <c r="AI1418" i="1"/>
  <c r="AE1418" i="1"/>
  <c r="AD1418" i="1"/>
  <c r="AL1418" i="1" s="1"/>
  <c r="AB1418" i="1"/>
  <c r="Z1418" i="1"/>
  <c r="X1418" i="1"/>
  <c r="V1418" i="1"/>
  <c r="U1418" i="1"/>
  <c r="T1418" i="1"/>
  <c r="S1418" i="1"/>
  <c r="I1418" i="1"/>
  <c r="W1418" i="1" s="1"/>
  <c r="H1418" i="1"/>
  <c r="AJ1430" i="1"/>
  <c r="AI1430" i="1"/>
  <c r="AE1430" i="1"/>
  <c r="AD1430" i="1"/>
  <c r="AL1430" i="1" s="1"/>
  <c r="AB1430" i="1"/>
  <c r="Z1430" i="1"/>
  <c r="X1430" i="1"/>
  <c r="V1430" i="1"/>
  <c r="U1430" i="1"/>
  <c r="T1430" i="1"/>
  <c r="S1430" i="1"/>
  <c r="I1430" i="1"/>
  <c r="W1430" i="1" s="1"/>
  <c r="H1430" i="1"/>
  <c r="J1430" i="1" s="1"/>
  <c r="K1430" i="1" s="1"/>
  <c r="AJ1422" i="1"/>
  <c r="AI1422" i="1"/>
  <c r="AE1422" i="1"/>
  <c r="AD1422" i="1"/>
  <c r="AL1422" i="1" s="1"/>
  <c r="AB1422" i="1"/>
  <c r="Z1422" i="1"/>
  <c r="X1422" i="1"/>
  <c r="V1422" i="1"/>
  <c r="U1422" i="1"/>
  <c r="T1422" i="1"/>
  <c r="S1422" i="1"/>
  <c r="I1422" i="1"/>
  <c r="W1422" i="1" s="1"/>
  <c r="H1422" i="1"/>
  <c r="AJ1004" i="1"/>
  <c r="AI1004" i="1"/>
  <c r="AE1004" i="1"/>
  <c r="AD1004" i="1"/>
  <c r="AL1004" i="1" s="1"/>
  <c r="AB1004" i="1"/>
  <c r="Z1004" i="1"/>
  <c r="X1004" i="1"/>
  <c r="V1004" i="1"/>
  <c r="U1004" i="1"/>
  <c r="T1004" i="1"/>
  <c r="S1004" i="1"/>
  <c r="I1004" i="1"/>
  <c r="W1004" i="1" s="1"/>
  <c r="H1004" i="1"/>
  <c r="AJ884" i="1"/>
  <c r="AI884" i="1"/>
  <c r="AE884" i="1"/>
  <c r="AD884" i="1"/>
  <c r="AL884" i="1" s="1"/>
  <c r="AB884" i="1"/>
  <c r="Z884" i="1"/>
  <c r="X884" i="1"/>
  <c r="V884" i="1"/>
  <c r="U884" i="1"/>
  <c r="T884" i="1"/>
  <c r="S884" i="1"/>
  <c r="I884" i="1"/>
  <c r="W884" i="1" s="1"/>
  <c r="H884" i="1"/>
  <c r="AJ1749" i="1"/>
  <c r="AE1749" i="1"/>
  <c r="AD1749" i="1"/>
  <c r="AL1749" i="1" s="1"/>
  <c r="AB1749" i="1"/>
  <c r="Z1749" i="1"/>
  <c r="AJ1748" i="1"/>
  <c r="AI1748" i="1"/>
  <c r="AE1748" i="1"/>
  <c r="AD1748" i="1"/>
  <c r="AH1748" i="1" s="1"/>
  <c r="AB1748" i="1"/>
  <c r="Z1748" i="1"/>
  <c r="X1748" i="1"/>
  <c r="V1748" i="1"/>
  <c r="U1748" i="1"/>
  <c r="T1748" i="1"/>
  <c r="S1748" i="1"/>
  <c r="I1748" i="1"/>
  <c r="W1748" i="1" s="1"/>
  <c r="H1748" i="1"/>
  <c r="AJ1747" i="1"/>
  <c r="AE1747" i="1"/>
  <c r="AD1747" i="1"/>
  <c r="AL1747" i="1" s="1"/>
  <c r="AB1747" i="1"/>
  <c r="Z1747" i="1"/>
  <c r="V1747" i="1"/>
  <c r="J1004" i="1" l="1"/>
  <c r="K1004" i="1" s="1"/>
  <c r="J1422" i="1"/>
  <c r="K1422" i="1" s="1"/>
  <c r="AH1418" i="1"/>
  <c r="J1418" i="1"/>
  <c r="K1418" i="1" s="1"/>
  <c r="AH1430" i="1"/>
  <c r="AH1422" i="1"/>
  <c r="J884" i="1"/>
  <c r="K884" i="1" s="1"/>
  <c r="AH1004" i="1"/>
  <c r="AH884" i="1"/>
  <c r="AH1747" i="1"/>
  <c r="AI1747" i="1"/>
  <c r="J1748" i="1"/>
  <c r="K1748" i="1" s="1"/>
  <c r="AL1748" i="1"/>
  <c r="AI1749" i="1"/>
  <c r="AH1749" i="1"/>
  <c r="AJ66" i="1"/>
  <c r="AI66" i="1"/>
  <c r="AE66" i="1"/>
  <c r="AD66" i="1"/>
  <c r="AL66" i="1" s="1"/>
  <c r="AB66" i="1"/>
  <c r="Z66" i="1"/>
  <c r="X66" i="1"/>
  <c r="V66" i="1"/>
  <c r="U66" i="1"/>
  <c r="T66" i="1"/>
  <c r="S66" i="1"/>
  <c r="I66" i="1"/>
  <c r="W66" i="1" s="1"/>
  <c r="H66" i="1"/>
  <c r="J66" i="1" l="1"/>
  <c r="K66" i="1" s="1"/>
  <c r="AH66" i="1"/>
  <c r="AJ448" i="1" l="1"/>
  <c r="AI448" i="1"/>
  <c r="AE448" i="1"/>
  <c r="AD448" i="1"/>
  <c r="AL448" i="1" s="1"/>
  <c r="AB448" i="1"/>
  <c r="Z448" i="1"/>
  <c r="X448" i="1"/>
  <c r="V448" i="1"/>
  <c r="U448" i="1"/>
  <c r="T448" i="1"/>
  <c r="S448" i="1"/>
  <c r="I448" i="1"/>
  <c r="W448" i="1" s="1"/>
  <c r="H448" i="1"/>
  <c r="AJ1104" i="1"/>
  <c r="AI1104" i="1"/>
  <c r="AE1104" i="1"/>
  <c r="AD1104" i="1"/>
  <c r="AL1104" i="1" s="1"/>
  <c r="AB1104" i="1"/>
  <c r="Z1104" i="1"/>
  <c r="V1104" i="1"/>
  <c r="S1104" i="1"/>
  <c r="AJ1103" i="1"/>
  <c r="AI1103" i="1"/>
  <c r="AE1103" i="1"/>
  <c r="AD1103" i="1"/>
  <c r="AH1103" i="1" s="1"/>
  <c r="AB1103" i="1"/>
  <c r="Z1103" i="1"/>
  <c r="X1103" i="1"/>
  <c r="V1103" i="1"/>
  <c r="U1103" i="1"/>
  <c r="T1103" i="1"/>
  <c r="S1103" i="1"/>
  <c r="I1103" i="1"/>
  <c r="H1103" i="1"/>
  <c r="AJ1102" i="1"/>
  <c r="AI1102" i="1"/>
  <c r="AE1102" i="1"/>
  <c r="AD1102" i="1"/>
  <c r="AL1102" i="1" s="1"/>
  <c r="AB1102" i="1"/>
  <c r="Z1102" i="1"/>
  <c r="X1102" i="1"/>
  <c r="V1102" i="1"/>
  <c r="U1102" i="1"/>
  <c r="T1102" i="1"/>
  <c r="S1102" i="1"/>
  <c r="I1102" i="1"/>
  <c r="W1102" i="1" s="1"/>
  <c r="H1102" i="1"/>
  <c r="AJ1101" i="1"/>
  <c r="AI1101" i="1"/>
  <c r="AE1101" i="1"/>
  <c r="AD1101" i="1"/>
  <c r="AH1101" i="1" s="1"/>
  <c r="AB1101" i="1"/>
  <c r="Z1101" i="1"/>
  <c r="V1101" i="1"/>
  <c r="J448" i="1" l="1"/>
  <c r="K448" i="1" s="1"/>
  <c r="AH448" i="1"/>
  <c r="J1103" i="1"/>
  <c r="K1103" i="1" s="1"/>
  <c r="J1102" i="1"/>
  <c r="K1102" i="1" s="1"/>
  <c r="AL1103" i="1"/>
  <c r="AL1101" i="1"/>
  <c r="AH1102" i="1"/>
  <c r="W1103" i="1"/>
  <c r="AH1104" i="1"/>
  <c r="AJ741" i="1" l="1"/>
  <c r="AI741" i="1"/>
  <c r="AE741" i="1"/>
  <c r="AD741" i="1"/>
  <c r="AL741" i="1" s="1"/>
  <c r="AB741" i="1"/>
  <c r="Z741" i="1"/>
  <c r="X741" i="1"/>
  <c r="V741" i="1"/>
  <c r="U741" i="1"/>
  <c r="T741" i="1"/>
  <c r="S741" i="1"/>
  <c r="I741" i="1"/>
  <c r="W741" i="1" s="1"/>
  <c r="H741" i="1"/>
  <c r="AJ1409" i="1"/>
  <c r="AI1409" i="1"/>
  <c r="AE1409" i="1"/>
  <c r="AD1409" i="1"/>
  <c r="AL1409" i="1" s="1"/>
  <c r="AB1409" i="1"/>
  <c r="Z1409" i="1"/>
  <c r="AJ1408" i="1"/>
  <c r="AI1408" i="1"/>
  <c r="AE1408" i="1"/>
  <c r="AD1408" i="1"/>
  <c r="AL1408" i="1" s="1"/>
  <c r="AB1408" i="1"/>
  <c r="Z1408" i="1"/>
  <c r="X1408" i="1"/>
  <c r="V1408" i="1"/>
  <c r="U1408" i="1"/>
  <c r="T1408" i="1"/>
  <c r="S1408" i="1"/>
  <c r="I1408" i="1"/>
  <c r="W1408" i="1" s="1"/>
  <c r="H1408" i="1"/>
  <c r="AJ1407" i="1"/>
  <c r="AI1407" i="1"/>
  <c r="AE1407" i="1"/>
  <c r="AD1407" i="1"/>
  <c r="AH1407" i="1" s="1"/>
  <c r="AB1407" i="1"/>
  <c r="Z1407" i="1"/>
  <c r="V1407" i="1"/>
  <c r="AJ1416" i="1"/>
  <c r="AI1416" i="1"/>
  <c r="AE1416" i="1"/>
  <c r="AD1416" i="1"/>
  <c r="AL1416" i="1" s="1"/>
  <c r="AB1416" i="1"/>
  <c r="Z1416" i="1"/>
  <c r="V1416" i="1"/>
  <c r="S1416" i="1"/>
  <c r="AJ1415" i="1"/>
  <c r="AI1415" i="1"/>
  <c r="AE1415" i="1"/>
  <c r="AD1415" i="1"/>
  <c r="AL1415" i="1" s="1"/>
  <c r="AB1415" i="1"/>
  <c r="Z1415" i="1"/>
  <c r="X1415" i="1"/>
  <c r="V1415" i="1"/>
  <c r="U1415" i="1"/>
  <c r="T1415" i="1"/>
  <c r="S1415" i="1"/>
  <c r="I1415" i="1"/>
  <c r="W1415" i="1" s="1"/>
  <c r="H1415" i="1"/>
  <c r="AJ1414" i="1"/>
  <c r="AI1414" i="1"/>
  <c r="AE1414" i="1"/>
  <c r="AD1414" i="1"/>
  <c r="AH1414" i="1" s="1"/>
  <c r="AB1414" i="1"/>
  <c r="Z1414" i="1"/>
  <c r="X1414" i="1"/>
  <c r="V1414" i="1"/>
  <c r="U1414" i="1"/>
  <c r="T1414" i="1"/>
  <c r="S1414" i="1"/>
  <c r="I1414" i="1"/>
  <c r="W1414" i="1" s="1"/>
  <c r="H1414" i="1"/>
  <c r="AJ1413" i="1"/>
  <c r="AI1413" i="1"/>
  <c r="AE1413" i="1"/>
  <c r="AD1413" i="1"/>
  <c r="AH1413" i="1" s="1"/>
  <c r="AB1413" i="1"/>
  <c r="Z1413" i="1"/>
  <c r="V1413" i="1"/>
  <c r="J741" i="1" l="1"/>
  <c r="K741" i="1" s="1"/>
  <c r="J1415" i="1"/>
  <c r="AH741" i="1"/>
  <c r="J1408" i="1"/>
  <c r="K1408" i="1" s="1"/>
  <c r="AL1407" i="1"/>
  <c r="AH1408" i="1"/>
  <c r="AL1414" i="1"/>
  <c r="AH1409" i="1"/>
  <c r="J1414" i="1"/>
  <c r="K1414" i="1" s="1"/>
  <c r="AL1413" i="1"/>
  <c r="K1415" i="1"/>
  <c r="AH1415" i="1"/>
  <c r="AH1416" i="1"/>
  <c r="AJ14" i="1" l="1"/>
  <c r="AI14" i="1"/>
  <c r="AE14" i="1"/>
  <c r="AD14" i="1"/>
  <c r="AL14" i="1" s="1"/>
  <c r="AB14" i="1"/>
  <c r="Z14" i="1"/>
  <c r="X14" i="1"/>
  <c r="V14" i="1"/>
  <c r="U14" i="1"/>
  <c r="T14" i="1"/>
  <c r="S14" i="1"/>
  <c r="I14" i="1"/>
  <c r="W14" i="1" s="1"/>
  <c r="H14" i="1"/>
  <c r="J14" i="1" l="1"/>
  <c r="K14" i="1" s="1"/>
  <c r="AH14" i="1"/>
  <c r="AJ890" i="1" l="1"/>
  <c r="AI890" i="1"/>
  <c r="AE890" i="1"/>
  <c r="AD890" i="1"/>
  <c r="AL890" i="1" s="1"/>
  <c r="AB890" i="1"/>
  <c r="Z890" i="1"/>
  <c r="X890" i="1"/>
  <c r="V890" i="1"/>
  <c r="U890" i="1"/>
  <c r="T890" i="1"/>
  <c r="S890" i="1"/>
  <c r="I890" i="1"/>
  <c r="W890" i="1" s="1"/>
  <c r="H890" i="1"/>
  <c r="AJ895" i="1"/>
  <c r="AI895" i="1"/>
  <c r="AE895" i="1"/>
  <c r="AD895" i="1"/>
  <c r="AL895" i="1" s="1"/>
  <c r="AB895" i="1"/>
  <c r="Z895" i="1"/>
  <c r="AJ894" i="1"/>
  <c r="AI894" i="1"/>
  <c r="AE894" i="1"/>
  <c r="AD894" i="1"/>
  <c r="AL894" i="1" s="1"/>
  <c r="AB894" i="1"/>
  <c r="Z894" i="1"/>
  <c r="X894" i="1"/>
  <c r="V894" i="1"/>
  <c r="U894" i="1"/>
  <c r="T894" i="1"/>
  <c r="S894" i="1"/>
  <c r="I894" i="1"/>
  <c r="W894" i="1" s="1"/>
  <c r="H894" i="1"/>
  <c r="AJ893" i="1"/>
  <c r="AI893" i="1"/>
  <c r="AE893" i="1"/>
  <c r="AD893" i="1"/>
  <c r="AH893" i="1" s="1"/>
  <c r="AB893" i="1"/>
  <c r="Z893" i="1"/>
  <c r="X893" i="1"/>
  <c r="V893" i="1"/>
  <c r="U893" i="1"/>
  <c r="T893" i="1"/>
  <c r="S893" i="1"/>
  <c r="I893" i="1"/>
  <c r="W893" i="1" s="1"/>
  <c r="H893" i="1"/>
  <c r="AJ892" i="1"/>
  <c r="AI892" i="1"/>
  <c r="AE892" i="1"/>
  <c r="AD892" i="1"/>
  <c r="AH892" i="1" s="1"/>
  <c r="AB892" i="1"/>
  <c r="Z892" i="1"/>
  <c r="V892" i="1"/>
  <c r="J893" i="1" l="1"/>
  <c r="J890" i="1"/>
  <c r="K890" i="1" s="1"/>
  <c r="AH890" i="1"/>
  <c r="AL893" i="1"/>
  <c r="AL892" i="1"/>
  <c r="J894" i="1"/>
  <c r="K894" i="1" s="1"/>
  <c r="AH894" i="1"/>
  <c r="K893" i="1"/>
  <c r="AH895" i="1"/>
  <c r="AJ28" i="1"/>
  <c r="AI28" i="1"/>
  <c r="AE28" i="1"/>
  <c r="AD28" i="1"/>
  <c r="AL28" i="1" s="1"/>
  <c r="AB28" i="1"/>
  <c r="Z28" i="1"/>
  <c r="X28" i="1"/>
  <c r="V28" i="1"/>
  <c r="U28" i="1"/>
  <c r="T28" i="1"/>
  <c r="S28" i="1"/>
  <c r="I28" i="1"/>
  <c r="W28" i="1" s="1"/>
  <c r="H28" i="1"/>
  <c r="AJ147" i="1"/>
  <c r="AI147" i="1"/>
  <c r="AE147" i="1"/>
  <c r="AD147" i="1"/>
  <c r="AL147" i="1" s="1"/>
  <c r="AB147" i="1"/>
  <c r="Z147" i="1"/>
  <c r="X147" i="1"/>
  <c r="V147" i="1"/>
  <c r="U147" i="1"/>
  <c r="T147" i="1"/>
  <c r="S147" i="1"/>
  <c r="I147" i="1"/>
  <c r="W147" i="1" s="1"/>
  <c r="H147" i="1"/>
  <c r="AJ317" i="1"/>
  <c r="AI317" i="1"/>
  <c r="AE317" i="1"/>
  <c r="AD317" i="1"/>
  <c r="AL317" i="1" s="1"/>
  <c r="AB317" i="1"/>
  <c r="Z317" i="1"/>
  <c r="X317" i="1"/>
  <c r="V317" i="1"/>
  <c r="U317" i="1"/>
  <c r="T317" i="1"/>
  <c r="S317" i="1"/>
  <c r="I317" i="1"/>
  <c r="W317" i="1" s="1"/>
  <c r="H317" i="1"/>
  <c r="AJ1085" i="1"/>
  <c r="AI1085" i="1"/>
  <c r="AE1085" i="1"/>
  <c r="AD1085" i="1"/>
  <c r="AL1085" i="1" s="1"/>
  <c r="AB1085" i="1"/>
  <c r="Z1085" i="1"/>
  <c r="X1085" i="1"/>
  <c r="V1085" i="1"/>
  <c r="U1085" i="1"/>
  <c r="T1085" i="1"/>
  <c r="S1085" i="1"/>
  <c r="I1085" i="1"/>
  <c r="W1085" i="1" s="1"/>
  <c r="H1085" i="1"/>
  <c r="V1054" i="1"/>
  <c r="Z1054" i="1"/>
  <c r="AB1054" i="1"/>
  <c r="AD1054" i="1"/>
  <c r="AH1054" i="1" s="1"/>
  <c r="AE1054" i="1"/>
  <c r="AI1054" i="1"/>
  <c r="AJ1054" i="1"/>
  <c r="J317" i="1" l="1"/>
  <c r="K317" i="1" s="1"/>
  <c r="J28" i="1"/>
  <c r="K28" i="1" s="1"/>
  <c r="AH28" i="1"/>
  <c r="J147" i="1"/>
  <c r="K147" i="1" s="1"/>
  <c r="AH147" i="1"/>
  <c r="AH317" i="1"/>
  <c r="J1085" i="1"/>
  <c r="K1085" i="1" s="1"/>
  <c r="AH1085" i="1"/>
  <c r="AL1054" i="1"/>
  <c r="AJ293" i="1" l="1"/>
  <c r="AI293" i="1"/>
  <c r="AE293" i="1"/>
  <c r="AD293" i="1"/>
  <c r="AL293" i="1" s="1"/>
  <c r="AB293" i="1"/>
  <c r="Z293" i="1"/>
  <c r="X293" i="1"/>
  <c r="V293" i="1"/>
  <c r="U293" i="1"/>
  <c r="T293" i="1"/>
  <c r="S293" i="1"/>
  <c r="I293" i="1"/>
  <c r="W293" i="1" s="1"/>
  <c r="H293" i="1"/>
  <c r="J293" i="1" l="1"/>
  <c r="K293" i="1" s="1"/>
  <c r="AH293" i="1"/>
  <c r="AJ696" i="1"/>
  <c r="AI696" i="1"/>
  <c r="AE696" i="1"/>
  <c r="AD696" i="1"/>
  <c r="AL696" i="1" s="1"/>
  <c r="AB696" i="1"/>
  <c r="Z696" i="1"/>
  <c r="V696" i="1"/>
  <c r="AJ695" i="1"/>
  <c r="AI695" i="1"/>
  <c r="AE695" i="1"/>
  <c r="AD695" i="1"/>
  <c r="AL695" i="1" s="1"/>
  <c r="AB695" i="1"/>
  <c r="Z695" i="1"/>
  <c r="X695" i="1"/>
  <c r="V695" i="1"/>
  <c r="U695" i="1"/>
  <c r="T695" i="1"/>
  <c r="S695" i="1"/>
  <c r="I695" i="1"/>
  <c r="W695" i="1" s="1"/>
  <c r="H695" i="1"/>
  <c r="AJ694" i="1"/>
  <c r="AI694" i="1"/>
  <c r="AE694" i="1"/>
  <c r="AD694" i="1"/>
  <c r="AL694" i="1" s="1"/>
  <c r="AB694" i="1"/>
  <c r="Z694" i="1"/>
  <c r="V694" i="1"/>
  <c r="J695" i="1" l="1"/>
  <c r="K695" i="1" s="1"/>
  <c r="AH695" i="1"/>
  <c r="AJ1582" i="1" l="1"/>
  <c r="AI1582" i="1"/>
  <c r="AE1582" i="1"/>
  <c r="AD1582" i="1"/>
  <c r="AL1582" i="1" s="1"/>
  <c r="AB1582" i="1"/>
  <c r="Z1582" i="1"/>
  <c r="V1582" i="1"/>
  <c r="AJ1581" i="1"/>
  <c r="AI1581" i="1"/>
  <c r="AE1581" i="1"/>
  <c r="AD1581" i="1"/>
  <c r="AL1581" i="1" s="1"/>
  <c r="AB1581" i="1"/>
  <c r="Z1581" i="1"/>
  <c r="X1581" i="1"/>
  <c r="V1581" i="1"/>
  <c r="U1581" i="1"/>
  <c r="T1581" i="1"/>
  <c r="S1581" i="1"/>
  <c r="I1581" i="1"/>
  <c r="W1581" i="1" s="1"/>
  <c r="H1581" i="1"/>
  <c r="AJ1580" i="1"/>
  <c r="AI1580" i="1"/>
  <c r="AE1580" i="1"/>
  <c r="AD1580" i="1"/>
  <c r="AH1580" i="1" s="1"/>
  <c r="AB1580" i="1"/>
  <c r="Z1580" i="1"/>
  <c r="V1580" i="1"/>
  <c r="AJ1362" i="1"/>
  <c r="AI1362" i="1"/>
  <c r="AE1362" i="1"/>
  <c r="AD1362" i="1"/>
  <c r="AL1362" i="1" s="1"/>
  <c r="AB1362" i="1"/>
  <c r="Z1362" i="1"/>
  <c r="X1362" i="1"/>
  <c r="V1362" i="1"/>
  <c r="U1362" i="1"/>
  <c r="T1362" i="1"/>
  <c r="S1362" i="1"/>
  <c r="I1362" i="1"/>
  <c r="W1362" i="1" s="1"/>
  <c r="H1362" i="1"/>
  <c r="H1350" i="1"/>
  <c r="I1350" i="1"/>
  <c r="W1350" i="1" s="1"/>
  <c r="S1350" i="1"/>
  <c r="T1350" i="1"/>
  <c r="U1350" i="1"/>
  <c r="V1350" i="1"/>
  <c r="X1350" i="1"/>
  <c r="Z1350" i="1"/>
  <c r="AB1350" i="1"/>
  <c r="AD1350" i="1"/>
  <c r="AL1350" i="1" s="1"/>
  <c r="AE1350" i="1"/>
  <c r="AI1350" i="1"/>
  <c r="AJ1350" i="1"/>
  <c r="AJ666" i="1"/>
  <c r="AI666" i="1"/>
  <c r="AE666" i="1"/>
  <c r="AD666" i="1"/>
  <c r="AL666" i="1" s="1"/>
  <c r="AB666" i="1"/>
  <c r="Z666" i="1"/>
  <c r="X666" i="1"/>
  <c r="V666" i="1"/>
  <c r="U666" i="1"/>
  <c r="T666" i="1"/>
  <c r="S666" i="1"/>
  <c r="I666" i="1"/>
  <c r="W666" i="1" s="1"/>
  <c r="H666" i="1"/>
  <c r="Z1619" i="1"/>
  <c r="AJ1619" i="1"/>
  <c r="AI1619" i="1"/>
  <c r="AE1619" i="1"/>
  <c r="AD1619" i="1"/>
  <c r="AL1619" i="1" s="1"/>
  <c r="AB1619" i="1"/>
  <c r="AJ1618" i="1"/>
  <c r="AI1618" i="1"/>
  <c r="AE1618" i="1"/>
  <c r="AD1618" i="1"/>
  <c r="AL1618" i="1" s="1"/>
  <c r="AB1618" i="1"/>
  <c r="Z1618" i="1"/>
  <c r="X1618" i="1"/>
  <c r="V1618" i="1"/>
  <c r="U1618" i="1"/>
  <c r="T1618" i="1"/>
  <c r="S1618" i="1"/>
  <c r="I1618" i="1"/>
  <c r="W1618" i="1" s="1"/>
  <c r="H1618" i="1"/>
  <c r="AJ1617" i="1"/>
  <c r="AI1617" i="1"/>
  <c r="AE1617" i="1"/>
  <c r="AD1617" i="1"/>
  <c r="AL1617" i="1" s="1"/>
  <c r="AB1617" i="1"/>
  <c r="Z1617" i="1"/>
  <c r="V1617" i="1"/>
  <c r="AJ514" i="1"/>
  <c r="AI514" i="1"/>
  <c r="AE514" i="1"/>
  <c r="AD514" i="1"/>
  <c r="AL514" i="1" s="1"/>
  <c r="AB514" i="1"/>
  <c r="Z514" i="1"/>
  <c r="X514" i="1"/>
  <c r="V514" i="1"/>
  <c r="U514" i="1"/>
  <c r="T514" i="1"/>
  <c r="S514" i="1"/>
  <c r="I514" i="1"/>
  <c r="W514" i="1" s="1"/>
  <c r="H514" i="1"/>
  <c r="AJ513" i="1"/>
  <c r="AI513" i="1"/>
  <c r="AE513" i="1"/>
  <c r="AD513" i="1"/>
  <c r="AL513" i="1" s="1"/>
  <c r="AB513" i="1"/>
  <c r="Z513" i="1"/>
  <c r="X513" i="1"/>
  <c r="V513" i="1"/>
  <c r="U513" i="1"/>
  <c r="T513" i="1"/>
  <c r="S513" i="1"/>
  <c r="I513" i="1"/>
  <c r="W513" i="1" s="1"/>
  <c r="H513" i="1"/>
  <c r="AJ512" i="1"/>
  <c r="AI512" i="1"/>
  <c r="AE512" i="1"/>
  <c r="AD512" i="1"/>
  <c r="AL512" i="1" s="1"/>
  <c r="AB512" i="1"/>
  <c r="Z512" i="1"/>
  <c r="X512" i="1"/>
  <c r="V512" i="1"/>
  <c r="U512" i="1"/>
  <c r="T512" i="1"/>
  <c r="S512" i="1"/>
  <c r="I512" i="1"/>
  <c r="W512" i="1" s="1"/>
  <c r="H512" i="1"/>
  <c r="J1581" i="1" l="1"/>
  <c r="AH1350" i="1"/>
  <c r="AL1580" i="1"/>
  <c r="AH1581" i="1"/>
  <c r="K1581" i="1"/>
  <c r="AH1582" i="1"/>
  <c r="J1350" i="1"/>
  <c r="K1350" i="1" s="1"/>
  <c r="J1362" i="1"/>
  <c r="K1362" i="1" s="1"/>
  <c r="AH1362" i="1"/>
  <c r="J666" i="1"/>
  <c r="K666" i="1" s="1"/>
  <c r="J1618" i="1"/>
  <c r="K1618" i="1" s="1"/>
  <c r="J513" i="1"/>
  <c r="K513" i="1" s="1"/>
  <c r="AH666" i="1"/>
  <c r="AH1619" i="1"/>
  <c r="AH1617" i="1"/>
  <c r="AH1618" i="1"/>
  <c r="J514" i="1"/>
  <c r="K514" i="1" s="1"/>
  <c r="J512" i="1"/>
  <c r="K512" i="1" s="1"/>
  <c r="AH514" i="1"/>
  <c r="AH513" i="1"/>
  <c r="AH512" i="1"/>
  <c r="H20" i="1"/>
  <c r="I20" i="1"/>
  <c r="W20" i="1" s="1"/>
  <c r="S20" i="1"/>
  <c r="T20" i="1"/>
  <c r="U20" i="1"/>
  <c r="V20" i="1"/>
  <c r="X20" i="1"/>
  <c r="Z20" i="1"/>
  <c r="AB20" i="1"/>
  <c r="AD20" i="1"/>
  <c r="AL20" i="1" s="1"/>
  <c r="AE20" i="1"/>
  <c r="AI20" i="1"/>
  <c r="AJ20" i="1"/>
  <c r="AJ883" i="1"/>
  <c r="AI883" i="1"/>
  <c r="AE883" i="1"/>
  <c r="AD883" i="1"/>
  <c r="AL883" i="1" s="1"/>
  <c r="AB883" i="1"/>
  <c r="Z883" i="1"/>
  <c r="X883" i="1"/>
  <c r="V883" i="1"/>
  <c r="U883" i="1"/>
  <c r="T883" i="1"/>
  <c r="S883" i="1"/>
  <c r="I883" i="1"/>
  <c r="W883" i="1" s="1"/>
  <c r="H883" i="1"/>
  <c r="J20" i="1" l="1"/>
  <c r="K20" i="1" s="1"/>
  <c r="AH20" i="1"/>
  <c r="J883" i="1"/>
  <c r="K883" i="1" s="1"/>
  <c r="AH883" i="1"/>
  <c r="AJ1607" i="1"/>
  <c r="AI1607" i="1"/>
  <c r="AE1607" i="1"/>
  <c r="AD1607" i="1"/>
  <c r="AL1607" i="1" s="1"/>
  <c r="AB1607" i="1"/>
  <c r="Z1607" i="1"/>
  <c r="X1607" i="1"/>
  <c r="V1607" i="1"/>
  <c r="U1607" i="1"/>
  <c r="T1607" i="1"/>
  <c r="S1607" i="1"/>
  <c r="I1607" i="1"/>
  <c r="W1607" i="1" s="1"/>
  <c r="H1607" i="1"/>
  <c r="H907" i="1"/>
  <c r="I907" i="1"/>
  <c r="W907" i="1" s="1"/>
  <c r="S907" i="1"/>
  <c r="T907" i="1"/>
  <c r="U907" i="1"/>
  <c r="V907" i="1"/>
  <c r="X907" i="1"/>
  <c r="Z907" i="1"/>
  <c r="AB907" i="1"/>
  <c r="AD907" i="1"/>
  <c r="AL907" i="1" s="1"/>
  <c r="AE907" i="1"/>
  <c r="AI907" i="1"/>
  <c r="AJ907" i="1"/>
  <c r="Z1664" i="1"/>
  <c r="V1664" i="1"/>
  <c r="AJ1666" i="1"/>
  <c r="AI1666" i="1"/>
  <c r="AE1666" i="1"/>
  <c r="AD1666" i="1"/>
  <c r="AL1666" i="1" s="1"/>
  <c r="AB1666" i="1"/>
  <c r="Z1666" i="1"/>
  <c r="V1666" i="1"/>
  <c r="S1666" i="1"/>
  <c r="AJ1665" i="1"/>
  <c r="AI1665" i="1"/>
  <c r="AE1665" i="1"/>
  <c r="AD1665" i="1"/>
  <c r="AH1665" i="1" s="1"/>
  <c r="AB1665" i="1"/>
  <c r="Z1665" i="1"/>
  <c r="X1665" i="1"/>
  <c r="V1665" i="1"/>
  <c r="U1665" i="1"/>
  <c r="T1665" i="1"/>
  <c r="S1665" i="1"/>
  <c r="I1665" i="1"/>
  <c r="W1665" i="1" s="1"/>
  <c r="H1665" i="1"/>
  <c r="AJ1664" i="1"/>
  <c r="AI1664" i="1"/>
  <c r="AE1664" i="1"/>
  <c r="AD1664" i="1"/>
  <c r="AH1664" i="1" s="1"/>
  <c r="AB1664" i="1"/>
  <c r="AJ1662" i="1"/>
  <c r="AI1662" i="1"/>
  <c r="AE1662" i="1"/>
  <c r="AD1662" i="1"/>
  <c r="AL1662" i="1" s="1"/>
  <c r="AB1662" i="1"/>
  <c r="Z1662" i="1"/>
  <c r="X1662" i="1"/>
  <c r="V1662" i="1"/>
  <c r="U1662" i="1"/>
  <c r="T1662" i="1"/>
  <c r="S1662" i="1"/>
  <c r="I1662" i="1"/>
  <c r="W1662" i="1" s="1"/>
  <c r="H1662" i="1"/>
  <c r="J1607" i="1" l="1"/>
  <c r="K1607" i="1" s="1"/>
  <c r="J907" i="1"/>
  <c r="K907" i="1" s="1"/>
  <c r="AH1607" i="1"/>
  <c r="AH907" i="1"/>
  <c r="J1665" i="1"/>
  <c r="K1665" i="1" s="1"/>
  <c r="AL1664" i="1"/>
  <c r="AL1665" i="1"/>
  <c r="AH1666" i="1"/>
  <c r="J1662" i="1"/>
  <c r="K1662" i="1" s="1"/>
  <c r="AH1662" i="1"/>
  <c r="AJ1116" i="1" l="1"/>
  <c r="AI1116" i="1"/>
  <c r="AE1116" i="1"/>
  <c r="AD1116" i="1"/>
  <c r="AL1116" i="1" s="1"/>
  <c r="AB1116" i="1"/>
  <c r="Z1116" i="1"/>
  <c r="X1116" i="1"/>
  <c r="V1116" i="1"/>
  <c r="U1116" i="1"/>
  <c r="T1116" i="1"/>
  <c r="S1116" i="1"/>
  <c r="I1116" i="1"/>
  <c r="W1116" i="1" s="1"/>
  <c r="H1116" i="1"/>
  <c r="J1116" i="1" l="1"/>
  <c r="K1116" i="1" s="1"/>
  <c r="AH1116" i="1"/>
  <c r="AJ195" i="1" l="1"/>
  <c r="AI195" i="1"/>
  <c r="AE195" i="1"/>
  <c r="AD195" i="1"/>
  <c r="AL195" i="1" s="1"/>
  <c r="AB195" i="1"/>
  <c r="Z195" i="1"/>
  <c r="X195" i="1"/>
  <c r="V195" i="1"/>
  <c r="U195" i="1"/>
  <c r="T195" i="1"/>
  <c r="S195" i="1"/>
  <c r="I195" i="1"/>
  <c r="W195" i="1" s="1"/>
  <c r="H195" i="1"/>
  <c r="J195" i="1" l="1"/>
  <c r="K195" i="1" s="1"/>
  <c r="AH195" i="1"/>
  <c r="AJ463" i="1"/>
  <c r="AI463" i="1"/>
  <c r="AE463" i="1"/>
  <c r="AD463" i="1"/>
  <c r="AL463" i="1" s="1"/>
  <c r="AB463" i="1"/>
  <c r="Z463" i="1"/>
  <c r="X463" i="1"/>
  <c r="V463" i="1"/>
  <c r="U463" i="1"/>
  <c r="T463" i="1"/>
  <c r="S463" i="1"/>
  <c r="I463" i="1"/>
  <c r="W463" i="1" s="1"/>
  <c r="H463" i="1"/>
  <c r="AJ538" i="1"/>
  <c r="AI538" i="1"/>
  <c r="AE538" i="1"/>
  <c r="AD538" i="1"/>
  <c r="AL538" i="1" s="1"/>
  <c r="AB538" i="1"/>
  <c r="Z538" i="1"/>
  <c r="X538" i="1"/>
  <c r="V538" i="1"/>
  <c r="U538" i="1"/>
  <c r="T538" i="1"/>
  <c r="S538" i="1"/>
  <c r="I538" i="1"/>
  <c r="W538" i="1" s="1"/>
  <c r="H538" i="1"/>
  <c r="AJ608" i="1"/>
  <c r="AI608" i="1"/>
  <c r="AE608" i="1"/>
  <c r="AD608" i="1"/>
  <c r="AL608" i="1" s="1"/>
  <c r="AB608" i="1"/>
  <c r="Z608" i="1"/>
  <c r="X608" i="1"/>
  <c r="V608" i="1"/>
  <c r="U608" i="1"/>
  <c r="T608" i="1"/>
  <c r="S608" i="1"/>
  <c r="I608" i="1"/>
  <c r="W608" i="1" s="1"/>
  <c r="H608" i="1"/>
  <c r="AJ488" i="1"/>
  <c r="AI488" i="1"/>
  <c r="AE488" i="1"/>
  <c r="AD488" i="1"/>
  <c r="AL488" i="1" s="1"/>
  <c r="AB488" i="1"/>
  <c r="Z488" i="1"/>
  <c r="X488" i="1"/>
  <c r="V488" i="1"/>
  <c r="U488" i="1"/>
  <c r="T488" i="1"/>
  <c r="S488" i="1"/>
  <c r="I488" i="1"/>
  <c r="W488" i="1" s="1"/>
  <c r="H488" i="1"/>
  <c r="AJ238" i="1"/>
  <c r="AI238" i="1"/>
  <c r="AE238" i="1"/>
  <c r="AD238" i="1"/>
  <c r="AL238" i="1" s="1"/>
  <c r="AB238" i="1"/>
  <c r="Z238" i="1"/>
  <c r="X238" i="1"/>
  <c r="V238" i="1"/>
  <c r="U238" i="1"/>
  <c r="T238" i="1"/>
  <c r="S238" i="1"/>
  <c r="I238" i="1"/>
  <c r="W238" i="1" s="1"/>
  <c r="H238" i="1"/>
  <c r="Z1343" i="1"/>
  <c r="V1343" i="1"/>
  <c r="Z685" i="1"/>
  <c r="V685" i="1"/>
  <c r="Z1372" i="1"/>
  <c r="V1372" i="1"/>
  <c r="Z1367" i="1"/>
  <c r="V1367" i="1"/>
  <c r="Z1355" i="1"/>
  <c r="V1355" i="1"/>
  <c r="AB1355" i="1"/>
  <c r="AD1355" i="1"/>
  <c r="Z644" i="1"/>
  <c r="V644" i="1"/>
  <c r="Z639" i="1"/>
  <c r="V639" i="1"/>
  <c r="Z591" i="1"/>
  <c r="V591" i="1"/>
  <c r="Z544" i="1"/>
  <c r="V544" i="1"/>
  <c r="J538" i="1" l="1"/>
  <c r="K538" i="1" s="1"/>
  <c r="J463" i="1"/>
  <c r="K463" i="1" s="1"/>
  <c r="J488" i="1"/>
  <c r="K488" i="1" s="1"/>
  <c r="AH463" i="1"/>
  <c r="J608" i="1"/>
  <c r="K608" i="1" s="1"/>
  <c r="AH538" i="1"/>
  <c r="AH608" i="1"/>
  <c r="AH488" i="1"/>
  <c r="J238" i="1"/>
  <c r="K238" i="1" s="1"/>
  <c r="AH238" i="1"/>
  <c r="A1802" i="1"/>
  <c r="AJ228" i="1"/>
  <c r="AI228" i="1"/>
  <c r="AE228" i="1"/>
  <c r="AD228" i="1"/>
  <c r="AL228" i="1" s="1"/>
  <c r="AB228" i="1"/>
  <c r="Z228" i="1"/>
  <c r="X228" i="1"/>
  <c r="V228" i="1"/>
  <c r="U228" i="1"/>
  <c r="T228" i="1"/>
  <c r="S228" i="1"/>
  <c r="I228" i="1"/>
  <c r="W228" i="1" s="1"/>
  <c r="H228" i="1"/>
  <c r="J228" i="1" l="1"/>
  <c r="K228" i="1" s="1"/>
  <c r="AH228" i="1"/>
  <c r="AJ952" i="1"/>
  <c r="AI952" i="1"/>
  <c r="AE952" i="1"/>
  <c r="AD952" i="1"/>
  <c r="AL952" i="1" s="1"/>
  <c r="AB952" i="1"/>
  <c r="Z952" i="1"/>
  <c r="X952" i="1"/>
  <c r="V952" i="1"/>
  <c r="U952" i="1"/>
  <c r="T952" i="1"/>
  <c r="S952" i="1"/>
  <c r="I952" i="1"/>
  <c r="W952" i="1" s="1"/>
  <c r="H952" i="1"/>
  <c r="H1072" i="1"/>
  <c r="I1072" i="1"/>
  <c r="W1072" i="1" s="1"/>
  <c r="S1072" i="1"/>
  <c r="T1072" i="1"/>
  <c r="U1072" i="1"/>
  <c r="V1072" i="1"/>
  <c r="X1072" i="1"/>
  <c r="Z1072" i="1"/>
  <c r="AB1072" i="1"/>
  <c r="AD1072" i="1"/>
  <c r="AL1072" i="1" s="1"/>
  <c r="AE1072" i="1"/>
  <c r="AI1072" i="1"/>
  <c r="AJ1072" i="1"/>
  <c r="AJ487" i="1"/>
  <c r="AI487" i="1"/>
  <c r="AE487" i="1"/>
  <c r="AD487" i="1"/>
  <c r="AL487" i="1" s="1"/>
  <c r="AB487" i="1"/>
  <c r="Z487" i="1"/>
  <c r="X487" i="1"/>
  <c r="V487" i="1"/>
  <c r="U487" i="1"/>
  <c r="T487" i="1"/>
  <c r="S487" i="1"/>
  <c r="I487" i="1"/>
  <c r="W487" i="1" s="1"/>
  <c r="H487" i="1"/>
  <c r="AH1072" i="1" l="1"/>
  <c r="J952" i="1"/>
  <c r="K952" i="1" s="1"/>
  <c r="J1072" i="1"/>
  <c r="K1072" i="1" s="1"/>
  <c r="AH952" i="1"/>
  <c r="J487" i="1"/>
  <c r="K487" i="1" s="1"/>
  <c r="AH487" i="1"/>
  <c r="A1801" i="1"/>
  <c r="AJ95" i="1"/>
  <c r="AI95" i="1"/>
  <c r="AE95" i="1"/>
  <c r="AD95" i="1"/>
  <c r="AL95" i="1" s="1"/>
  <c r="AB95" i="1"/>
  <c r="Z95" i="1"/>
  <c r="X95" i="1"/>
  <c r="V95" i="1"/>
  <c r="U95" i="1"/>
  <c r="T95" i="1"/>
  <c r="S95" i="1"/>
  <c r="I95" i="1"/>
  <c r="W95" i="1" s="1"/>
  <c r="H95" i="1"/>
  <c r="AJ314" i="1"/>
  <c r="AI314" i="1"/>
  <c r="AE314" i="1"/>
  <c r="AD314" i="1"/>
  <c r="AL314" i="1" s="1"/>
  <c r="AB314" i="1"/>
  <c r="Z314" i="1"/>
  <c r="X314" i="1"/>
  <c r="V314" i="1"/>
  <c r="U314" i="1"/>
  <c r="T314" i="1"/>
  <c r="S314" i="1"/>
  <c r="I314" i="1"/>
  <c r="W314" i="1" s="1"/>
  <c r="H314" i="1"/>
  <c r="J95" i="1" l="1"/>
  <c r="K95" i="1" s="1"/>
  <c r="AH95" i="1"/>
  <c r="J314" i="1"/>
  <c r="K314" i="1" s="1"/>
  <c r="AH314" i="1"/>
  <c r="AJ1668" i="1"/>
  <c r="AI1668" i="1"/>
  <c r="AE1668" i="1"/>
  <c r="AD1668" i="1"/>
  <c r="AL1668" i="1" s="1"/>
  <c r="AB1668" i="1"/>
  <c r="Z1668" i="1"/>
  <c r="X1668" i="1"/>
  <c r="V1668" i="1"/>
  <c r="U1668" i="1"/>
  <c r="T1668" i="1"/>
  <c r="S1668" i="1"/>
  <c r="I1668" i="1"/>
  <c r="W1668" i="1" s="1"/>
  <c r="H1668" i="1"/>
  <c r="H565" i="1"/>
  <c r="I565" i="1"/>
  <c r="W565" i="1" s="1"/>
  <c r="S565" i="1"/>
  <c r="T565" i="1"/>
  <c r="U565" i="1"/>
  <c r="V565" i="1"/>
  <c r="X565" i="1"/>
  <c r="Z565" i="1"/>
  <c r="AB565" i="1"/>
  <c r="AD565" i="1"/>
  <c r="AL565" i="1" s="1"/>
  <c r="AE565" i="1"/>
  <c r="AI565" i="1"/>
  <c r="AJ565" i="1"/>
  <c r="AJ276" i="1"/>
  <c r="AI276" i="1"/>
  <c r="AE276" i="1"/>
  <c r="AD276" i="1"/>
  <c r="AL276" i="1" s="1"/>
  <c r="AB276" i="1"/>
  <c r="Z276" i="1"/>
  <c r="X276" i="1"/>
  <c r="V276" i="1"/>
  <c r="U276" i="1"/>
  <c r="T276" i="1"/>
  <c r="S276" i="1"/>
  <c r="I276" i="1"/>
  <c r="W276" i="1" s="1"/>
  <c r="H276" i="1"/>
  <c r="AJ300" i="1"/>
  <c r="AI300" i="1"/>
  <c r="AE300" i="1"/>
  <c r="AD300" i="1"/>
  <c r="AL300" i="1" s="1"/>
  <c r="AB300" i="1"/>
  <c r="Z300" i="1"/>
  <c r="X300" i="1"/>
  <c r="V300" i="1"/>
  <c r="U300" i="1"/>
  <c r="T300" i="1"/>
  <c r="S300" i="1"/>
  <c r="I300" i="1"/>
  <c r="W300" i="1" s="1"/>
  <c r="H300" i="1"/>
  <c r="AJ271" i="1"/>
  <c r="AI271" i="1"/>
  <c r="AE271" i="1"/>
  <c r="AD271" i="1"/>
  <c r="AL271" i="1" s="1"/>
  <c r="AB271" i="1"/>
  <c r="Z271" i="1"/>
  <c r="X271" i="1"/>
  <c r="V271" i="1"/>
  <c r="U271" i="1"/>
  <c r="T271" i="1"/>
  <c r="S271" i="1"/>
  <c r="I271" i="1"/>
  <c r="W271" i="1" s="1"/>
  <c r="H271" i="1"/>
  <c r="AJ114" i="1"/>
  <c r="AI114" i="1"/>
  <c r="AE114" i="1"/>
  <c r="AD114" i="1"/>
  <c r="AL114" i="1" s="1"/>
  <c r="AB114" i="1"/>
  <c r="Z114" i="1"/>
  <c r="X114" i="1"/>
  <c r="V114" i="1"/>
  <c r="U114" i="1"/>
  <c r="T114" i="1"/>
  <c r="S114" i="1"/>
  <c r="I114" i="1"/>
  <c r="W114" i="1" s="1"/>
  <c r="H114" i="1"/>
  <c r="J1668" i="1" l="1"/>
  <c r="K1668" i="1" s="1"/>
  <c r="AH1668" i="1"/>
  <c r="J565" i="1"/>
  <c r="K565" i="1" s="1"/>
  <c r="AH565" i="1"/>
  <c r="J276" i="1"/>
  <c r="K276" i="1" s="1"/>
  <c r="AH276" i="1"/>
  <c r="J300" i="1"/>
  <c r="K300" i="1" s="1"/>
  <c r="AH300" i="1"/>
  <c r="J271" i="1"/>
  <c r="K271" i="1" s="1"/>
  <c r="AH271" i="1"/>
  <c r="J114" i="1"/>
  <c r="K114" i="1" s="1"/>
  <c r="AH114" i="1"/>
  <c r="AJ1202" i="1" l="1"/>
  <c r="AI1202" i="1"/>
  <c r="AE1202" i="1"/>
  <c r="AD1202" i="1"/>
  <c r="AL1202" i="1" s="1"/>
  <c r="AB1202" i="1"/>
  <c r="Z1202" i="1"/>
  <c r="X1202" i="1"/>
  <c r="V1202" i="1"/>
  <c r="U1202" i="1"/>
  <c r="T1202" i="1"/>
  <c r="S1202" i="1"/>
  <c r="I1202" i="1"/>
  <c r="W1202" i="1" s="1"/>
  <c r="H1202" i="1"/>
  <c r="AJ1032" i="1"/>
  <c r="AI1032" i="1"/>
  <c r="AE1032" i="1"/>
  <c r="AD1032" i="1"/>
  <c r="AL1032" i="1" s="1"/>
  <c r="AB1032" i="1"/>
  <c r="Z1032" i="1"/>
  <c r="X1032" i="1"/>
  <c r="V1032" i="1"/>
  <c r="U1032" i="1"/>
  <c r="T1032" i="1"/>
  <c r="S1032" i="1"/>
  <c r="I1032" i="1"/>
  <c r="W1032" i="1" s="1"/>
  <c r="H1032" i="1"/>
  <c r="AJ53" i="1"/>
  <c r="AI53" i="1"/>
  <c r="AE53" i="1"/>
  <c r="AD53" i="1"/>
  <c r="AL53" i="1" s="1"/>
  <c r="AB53" i="1"/>
  <c r="Z53" i="1"/>
  <c r="AJ52" i="1"/>
  <c r="AI52" i="1"/>
  <c r="AE52" i="1"/>
  <c r="AD52" i="1"/>
  <c r="AL52" i="1" s="1"/>
  <c r="AB52" i="1"/>
  <c r="Z52" i="1"/>
  <c r="X52" i="1"/>
  <c r="V52" i="1"/>
  <c r="U52" i="1"/>
  <c r="T52" i="1"/>
  <c r="S52" i="1"/>
  <c r="I52" i="1"/>
  <c r="W52" i="1" s="1"/>
  <c r="H52" i="1"/>
  <c r="AJ51" i="1"/>
  <c r="AI51" i="1"/>
  <c r="AE51" i="1"/>
  <c r="AD51" i="1"/>
  <c r="AL51" i="1" s="1"/>
  <c r="AB51" i="1"/>
  <c r="Z51" i="1"/>
  <c r="V51" i="1"/>
  <c r="AJ897" i="1"/>
  <c r="AI897" i="1"/>
  <c r="AE897" i="1"/>
  <c r="AD897" i="1"/>
  <c r="AL897" i="1" s="1"/>
  <c r="AB897" i="1"/>
  <c r="Z897" i="1"/>
  <c r="X897" i="1"/>
  <c r="V897" i="1"/>
  <c r="U897" i="1"/>
  <c r="T897" i="1"/>
  <c r="S897" i="1"/>
  <c r="I897" i="1"/>
  <c r="W897" i="1" s="1"/>
  <c r="H897" i="1"/>
  <c r="AJ662" i="1"/>
  <c r="AI662" i="1"/>
  <c r="AE662" i="1"/>
  <c r="AD662" i="1"/>
  <c r="AL662" i="1" s="1"/>
  <c r="AB662" i="1"/>
  <c r="Z662" i="1"/>
  <c r="X662" i="1"/>
  <c r="V662" i="1"/>
  <c r="U662" i="1"/>
  <c r="T662" i="1"/>
  <c r="S662" i="1"/>
  <c r="I662" i="1"/>
  <c r="W662" i="1" s="1"/>
  <c r="H662" i="1"/>
  <c r="AJ555" i="1"/>
  <c r="AI555" i="1"/>
  <c r="AE555" i="1"/>
  <c r="AD555" i="1"/>
  <c r="AL555" i="1" s="1"/>
  <c r="AB555" i="1"/>
  <c r="Z555" i="1"/>
  <c r="X555" i="1"/>
  <c r="V555" i="1"/>
  <c r="U555" i="1"/>
  <c r="T555" i="1"/>
  <c r="S555" i="1"/>
  <c r="I555" i="1"/>
  <c r="W555" i="1" s="1"/>
  <c r="H555" i="1"/>
  <c r="AJ1513" i="1"/>
  <c r="AI1513" i="1"/>
  <c r="AE1513" i="1"/>
  <c r="AD1513" i="1"/>
  <c r="AL1513" i="1" s="1"/>
  <c r="AB1513" i="1"/>
  <c r="Z1513" i="1"/>
  <c r="X1513" i="1"/>
  <c r="V1513" i="1"/>
  <c r="U1513" i="1"/>
  <c r="T1513" i="1"/>
  <c r="S1513" i="1"/>
  <c r="I1513" i="1"/>
  <c r="W1513" i="1" s="1"/>
  <c r="H1513" i="1"/>
  <c r="AJ251" i="1"/>
  <c r="AI251" i="1"/>
  <c r="AE251" i="1"/>
  <c r="AD251" i="1"/>
  <c r="AL251" i="1" s="1"/>
  <c r="AB251" i="1"/>
  <c r="Z251" i="1"/>
  <c r="X251" i="1"/>
  <c r="V251" i="1"/>
  <c r="U251" i="1"/>
  <c r="T251" i="1"/>
  <c r="S251" i="1"/>
  <c r="I251" i="1"/>
  <c r="W251" i="1" s="1"/>
  <c r="H251" i="1"/>
  <c r="AJ82" i="1"/>
  <c r="AI82" i="1"/>
  <c r="AE82" i="1"/>
  <c r="AD82" i="1"/>
  <c r="AL82" i="1" s="1"/>
  <c r="AB82" i="1"/>
  <c r="Z82" i="1"/>
  <c r="X82" i="1"/>
  <c r="V82" i="1"/>
  <c r="U82" i="1"/>
  <c r="T82" i="1"/>
  <c r="S82" i="1"/>
  <c r="I82" i="1"/>
  <c r="W82" i="1" s="1"/>
  <c r="H82" i="1"/>
  <c r="AJ138" i="1"/>
  <c r="AI138" i="1"/>
  <c r="AE138" i="1"/>
  <c r="AD138" i="1"/>
  <c r="AL138" i="1" s="1"/>
  <c r="AB138" i="1"/>
  <c r="Z138" i="1"/>
  <c r="X138" i="1"/>
  <c r="V138" i="1"/>
  <c r="U138" i="1"/>
  <c r="T138" i="1"/>
  <c r="S138" i="1"/>
  <c r="I138" i="1"/>
  <c r="W138" i="1" s="1"/>
  <c r="H138" i="1"/>
  <c r="AJ146" i="1"/>
  <c r="AI146" i="1"/>
  <c r="AE146" i="1"/>
  <c r="AD146" i="1"/>
  <c r="AL146" i="1" s="1"/>
  <c r="AB146" i="1"/>
  <c r="Z146" i="1"/>
  <c r="X146" i="1"/>
  <c r="V146" i="1"/>
  <c r="U146" i="1"/>
  <c r="T146" i="1"/>
  <c r="S146" i="1"/>
  <c r="I146" i="1"/>
  <c r="W146" i="1" s="1"/>
  <c r="H146" i="1"/>
  <c r="AJ145" i="1"/>
  <c r="AI145" i="1"/>
  <c r="AE145" i="1"/>
  <c r="AD145" i="1"/>
  <c r="AL145" i="1" s="1"/>
  <c r="AB145" i="1"/>
  <c r="Z145" i="1"/>
  <c r="X145" i="1"/>
  <c r="V145" i="1"/>
  <c r="U145" i="1"/>
  <c r="T145" i="1"/>
  <c r="S145" i="1"/>
  <c r="I145" i="1"/>
  <c r="W145" i="1" s="1"/>
  <c r="H145" i="1"/>
  <c r="AJ1028" i="1"/>
  <c r="AI1028" i="1"/>
  <c r="AE1028" i="1"/>
  <c r="AD1028" i="1"/>
  <c r="AL1028" i="1" s="1"/>
  <c r="AB1028" i="1"/>
  <c r="Z1028" i="1"/>
  <c r="X1028" i="1"/>
  <c r="V1028" i="1"/>
  <c r="U1028" i="1"/>
  <c r="T1028" i="1"/>
  <c r="S1028" i="1"/>
  <c r="I1028" i="1"/>
  <c r="W1028" i="1" s="1"/>
  <c r="H1028" i="1"/>
  <c r="J1032" i="1" l="1"/>
  <c r="K1032" i="1" s="1"/>
  <c r="J1202" i="1"/>
  <c r="K1202" i="1" s="1"/>
  <c r="AH1202" i="1"/>
  <c r="J662" i="1"/>
  <c r="K662" i="1" s="1"/>
  <c r="AH1032" i="1"/>
  <c r="J897" i="1"/>
  <c r="K897" i="1" s="1"/>
  <c r="AH52" i="1"/>
  <c r="J52" i="1"/>
  <c r="K52" i="1" s="1"/>
  <c r="AH897" i="1"/>
  <c r="J1513" i="1"/>
  <c r="K1513" i="1" s="1"/>
  <c r="J555" i="1"/>
  <c r="K555" i="1" s="1"/>
  <c r="J251" i="1"/>
  <c r="K251" i="1" s="1"/>
  <c r="AH662" i="1"/>
  <c r="AH555" i="1"/>
  <c r="AH1513" i="1"/>
  <c r="AH251" i="1"/>
  <c r="J82" i="1"/>
  <c r="K82" i="1" s="1"/>
  <c r="J138" i="1"/>
  <c r="K138" i="1" s="1"/>
  <c r="J145" i="1"/>
  <c r="K145" i="1" s="1"/>
  <c r="AH82" i="1"/>
  <c r="J146" i="1"/>
  <c r="K146" i="1" s="1"/>
  <c r="AH138" i="1"/>
  <c r="AH145" i="1"/>
  <c r="AH146" i="1"/>
  <c r="J1028" i="1"/>
  <c r="K1028" i="1" s="1"/>
  <c r="AH1028" i="1"/>
  <c r="AJ1364" i="1" l="1"/>
  <c r="AI1364" i="1"/>
  <c r="AE1364" i="1"/>
  <c r="AD1364" i="1"/>
  <c r="AL1364" i="1" s="1"/>
  <c r="AB1364" i="1"/>
  <c r="Z1364" i="1"/>
  <c r="X1364" i="1"/>
  <c r="V1364" i="1"/>
  <c r="U1364" i="1"/>
  <c r="T1364" i="1"/>
  <c r="S1364" i="1"/>
  <c r="I1364" i="1"/>
  <c r="W1364" i="1" s="1"/>
  <c r="H1364" i="1"/>
  <c r="H468" i="1"/>
  <c r="I468" i="1"/>
  <c r="S468" i="1"/>
  <c r="T468" i="1"/>
  <c r="U468" i="1"/>
  <c r="V468" i="1"/>
  <c r="X468" i="1"/>
  <c r="Z468" i="1"/>
  <c r="AB468" i="1"/>
  <c r="AD468" i="1"/>
  <c r="AL468" i="1" s="1"/>
  <c r="AE468" i="1"/>
  <c r="AI468" i="1"/>
  <c r="AJ468" i="1"/>
  <c r="K1787" i="1"/>
  <c r="M1787" i="1" s="1"/>
  <c r="AA5" i="1"/>
  <c r="J1364" i="1" l="1"/>
  <c r="K1364" i="1" s="1"/>
  <c r="J1787" i="1"/>
  <c r="AH1364" i="1"/>
  <c r="AH468" i="1"/>
  <c r="J468" i="1"/>
  <c r="K468" i="1" s="1"/>
  <c r="W468" i="1"/>
  <c r="H1615" i="1"/>
  <c r="H1469" i="1" l="1"/>
  <c r="H1151" i="1" l="1"/>
  <c r="H148" i="1"/>
  <c r="H42" i="1" l="1"/>
  <c r="H1745" i="1"/>
  <c r="H1755" i="1"/>
  <c r="H13" i="1"/>
  <c r="AJ982" i="1"/>
  <c r="AE982" i="1"/>
  <c r="AD982" i="1"/>
  <c r="AL982" i="1" s="1"/>
  <c r="AB982" i="1"/>
  <c r="Z982" i="1"/>
  <c r="X982" i="1"/>
  <c r="V982" i="1"/>
  <c r="U982" i="1"/>
  <c r="T982" i="1"/>
  <c r="S982" i="1"/>
  <c r="I982" i="1"/>
  <c r="W982" i="1" s="1"/>
  <c r="H982" i="1"/>
  <c r="AJ1545" i="1"/>
  <c r="AI1545" i="1"/>
  <c r="AE1545" i="1"/>
  <c r="AD1545" i="1"/>
  <c r="AL1545" i="1" s="1"/>
  <c r="AB1545" i="1"/>
  <c r="Z1545" i="1"/>
  <c r="X1545" i="1"/>
  <c r="V1545" i="1"/>
  <c r="U1545" i="1"/>
  <c r="T1545" i="1"/>
  <c r="S1545" i="1"/>
  <c r="I1545" i="1"/>
  <c r="W1545" i="1" s="1"/>
  <c r="H1545" i="1"/>
  <c r="D1797" i="1"/>
  <c r="J982" i="1" l="1"/>
  <c r="K982" i="1" s="1"/>
  <c r="J1545" i="1"/>
  <c r="K1545" i="1" s="1"/>
  <c r="AH982" i="1"/>
  <c r="AI982" i="1"/>
  <c r="AH1545" i="1"/>
  <c r="H226" i="1" l="1"/>
  <c r="AJ294" i="1"/>
  <c r="AI294" i="1"/>
  <c r="AE294" i="1"/>
  <c r="AD294" i="1"/>
  <c r="AL294" i="1" s="1"/>
  <c r="AB294" i="1"/>
  <c r="Z294" i="1"/>
  <c r="X294" i="1"/>
  <c r="V294" i="1"/>
  <c r="U294" i="1"/>
  <c r="T294" i="1"/>
  <c r="S294" i="1"/>
  <c r="I294" i="1"/>
  <c r="W294" i="1" s="1"/>
  <c r="H294" i="1"/>
  <c r="AJ291" i="1"/>
  <c r="AI291" i="1"/>
  <c r="AE291" i="1"/>
  <c r="AD291" i="1"/>
  <c r="AL291" i="1" s="1"/>
  <c r="AB291" i="1"/>
  <c r="Z291" i="1"/>
  <c r="X291" i="1"/>
  <c r="V291" i="1"/>
  <c r="U291" i="1"/>
  <c r="T291" i="1"/>
  <c r="S291" i="1"/>
  <c r="I291" i="1"/>
  <c r="W291" i="1" s="1"/>
  <c r="H291" i="1"/>
  <c r="J291" i="1" l="1"/>
  <c r="K291" i="1" s="1"/>
  <c r="J294" i="1"/>
  <c r="K294" i="1" s="1"/>
  <c r="AH294" i="1"/>
  <c r="AH291" i="1"/>
  <c r="D1801" i="1"/>
  <c r="AK10" i="1" l="1"/>
  <c r="M7" i="1"/>
  <c r="AJ1467" i="1" l="1"/>
  <c r="AI1467" i="1"/>
  <c r="AE1467" i="1"/>
  <c r="AD1467" i="1"/>
  <c r="AL1467" i="1" s="1"/>
  <c r="AB1467" i="1"/>
  <c r="Z1467" i="1"/>
  <c r="AE1466" i="1"/>
  <c r="V1466" i="1"/>
  <c r="U1466" i="1"/>
  <c r="T1466" i="1"/>
  <c r="S1466" i="1"/>
  <c r="I1466" i="1"/>
  <c r="W1466" i="1" s="1"/>
  <c r="H1466" i="1"/>
  <c r="AJ1465" i="1"/>
  <c r="AI1465" i="1"/>
  <c r="AE1465" i="1"/>
  <c r="AD1465" i="1"/>
  <c r="AL1465" i="1" s="1"/>
  <c r="AB1465" i="1"/>
  <c r="Z1465" i="1"/>
  <c r="V1465" i="1"/>
  <c r="V1468" i="1"/>
  <c r="Z1468" i="1"/>
  <c r="AB1468" i="1"/>
  <c r="AD1468" i="1"/>
  <c r="AH1468" i="1" s="1"/>
  <c r="AE1468" i="1"/>
  <c r="AI1468" i="1"/>
  <c r="AJ1468" i="1"/>
  <c r="AD1469" i="1"/>
  <c r="I1469" i="1"/>
  <c r="W1469" i="1" s="1"/>
  <c r="S1469" i="1"/>
  <c r="T1469" i="1"/>
  <c r="U1469" i="1"/>
  <c r="V1469" i="1"/>
  <c r="AE1469" i="1"/>
  <c r="AJ1470" i="1"/>
  <c r="AI1470" i="1"/>
  <c r="AE1470" i="1"/>
  <c r="AD1470" i="1"/>
  <c r="AL1470" i="1" s="1"/>
  <c r="AB1470" i="1"/>
  <c r="Z1470" i="1"/>
  <c r="V1470" i="1"/>
  <c r="S1470" i="1"/>
  <c r="J1466" i="1" l="1"/>
  <c r="K1466" i="1" s="1"/>
  <c r="X1469" i="1"/>
  <c r="Z1469" i="1"/>
  <c r="J1469" i="1"/>
  <c r="K1469" i="1" s="1"/>
  <c r="AD1466" i="1"/>
  <c r="AH1469" i="1"/>
  <c r="Z1466" i="1"/>
  <c r="X1466" i="1"/>
  <c r="AL1468" i="1"/>
  <c r="AH1466" i="1"/>
  <c r="AH1470" i="1"/>
  <c r="AJ1008" i="1"/>
  <c r="AI1008" i="1"/>
  <c r="AE1008" i="1"/>
  <c r="AD1008" i="1"/>
  <c r="AL1008" i="1" s="1"/>
  <c r="AB1008" i="1"/>
  <c r="Z1008" i="1"/>
  <c r="X1008" i="1"/>
  <c r="V1008" i="1"/>
  <c r="U1008" i="1"/>
  <c r="T1008" i="1"/>
  <c r="S1008" i="1"/>
  <c r="I1008" i="1"/>
  <c r="W1008" i="1" s="1"/>
  <c r="H1008" i="1"/>
  <c r="J1008" i="1" l="1"/>
  <c r="K1008" i="1" s="1"/>
  <c r="AH1008" i="1"/>
  <c r="AJ89" i="1"/>
  <c r="AI89" i="1"/>
  <c r="AE89" i="1"/>
  <c r="AD89" i="1"/>
  <c r="AL89" i="1" s="1"/>
  <c r="AB89" i="1"/>
  <c r="Z89" i="1"/>
  <c r="X89" i="1"/>
  <c r="V89" i="1"/>
  <c r="U89" i="1"/>
  <c r="T89" i="1"/>
  <c r="S89" i="1"/>
  <c r="I89" i="1"/>
  <c r="H89" i="1"/>
  <c r="AJ88" i="1"/>
  <c r="AI88" i="1"/>
  <c r="AE88" i="1"/>
  <c r="AD88" i="1"/>
  <c r="AL88" i="1" s="1"/>
  <c r="AB88" i="1"/>
  <c r="Z88" i="1"/>
  <c r="X88" i="1"/>
  <c r="V88" i="1"/>
  <c r="U88" i="1"/>
  <c r="T88" i="1"/>
  <c r="S88" i="1"/>
  <c r="I88" i="1"/>
  <c r="W88" i="1" s="1"/>
  <c r="H88" i="1"/>
  <c r="J89" i="1" l="1"/>
  <c r="K89" i="1" s="1"/>
  <c r="J88" i="1"/>
  <c r="K88" i="1" s="1"/>
  <c r="W89" i="1"/>
  <c r="AH89" i="1"/>
  <c r="AH88" i="1"/>
  <c r="B1784" i="1" l="1"/>
  <c r="A1782" i="1"/>
  <c r="AD1757" i="1" l="1"/>
  <c r="AH1757" i="1"/>
  <c r="AI1757" i="1"/>
  <c r="AJ1757" i="1"/>
  <c r="AL1757" i="1"/>
  <c r="R1758" i="1"/>
  <c r="S1758" i="1"/>
  <c r="V1758" i="1"/>
  <c r="AD1758" i="1"/>
  <c r="AH1758" i="1"/>
  <c r="AI1758" i="1"/>
  <c r="AJ1758" i="1"/>
  <c r="AL1758" i="1"/>
  <c r="Z1823" i="1" l="1"/>
  <c r="Z1824" i="1"/>
  <c r="AJ612" i="1" l="1"/>
  <c r="AI612" i="1"/>
  <c r="AE612" i="1"/>
  <c r="AD612" i="1"/>
  <c r="AL612" i="1" s="1"/>
  <c r="AB612" i="1"/>
  <c r="Z612" i="1"/>
  <c r="X612" i="1"/>
  <c r="V612" i="1"/>
  <c r="U612" i="1"/>
  <c r="T612" i="1"/>
  <c r="S612" i="1"/>
  <c r="I612" i="1"/>
  <c r="W612" i="1" s="1"/>
  <c r="H612" i="1"/>
  <c r="V1480" i="1"/>
  <c r="AK6" i="1"/>
  <c r="A1778" i="1"/>
  <c r="J612" i="1" l="1"/>
  <c r="K612" i="1" s="1"/>
  <c r="AH612" i="1"/>
  <c r="AJ755" i="1" l="1"/>
  <c r="AI755" i="1"/>
  <c r="AE755" i="1"/>
  <c r="AD755" i="1"/>
  <c r="AL755" i="1" s="1"/>
  <c r="AB755" i="1"/>
  <c r="Z755" i="1"/>
  <c r="V755" i="1"/>
  <c r="S755" i="1"/>
  <c r="AJ754" i="1"/>
  <c r="AI754" i="1"/>
  <c r="AE754" i="1"/>
  <c r="AD754" i="1"/>
  <c r="AL754" i="1" s="1"/>
  <c r="AB754" i="1"/>
  <c r="Z754" i="1"/>
  <c r="X754" i="1"/>
  <c r="V754" i="1"/>
  <c r="U754" i="1"/>
  <c r="T754" i="1"/>
  <c r="S754" i="1"/>
  <c r="I754" i="1"/>
  <c r="W754" i="1" s="1"/>
  <c r="H754" i="1"/>
  <c r="AJ753" i="1"/>
  <c r="AI753" i="1"/>
  <c r="AE753" i="1"/>
  <c r="AD753" i="1"/>
  <c r="AH753" i="1" s="1"/>
  <c r="AB753" i="1"/>
  <c r="Z753" i="1"/>
  <c r="X753" i="1"/>
  <c r="V753" i="1"/>
  <c r="U753" i="1"/>
  <c r="T753" i="1"/>
  <c r="S753" i="1"/>
  <c r="I753" i="1"/>
  <c r="W753" i="1" s="1"/>
  <c r="H753" i="1"/>
  <c r="AJ752" i="1"/>
  <c r="AI752" i="1"/>
  <c r="AE752" i="1"/>
  <c r="AD752" i="1"/>
  <c r="AL752" i="1" s="1"/>
  <c r="AB752" i="1"/>
  <c r="Z752" i="1"/>
  <c r="X752" i="1"/>
  <c r="V752" i="1"/>
  <c r="U752" i="1"/>
  <c r="T752" i="1"/>
  <c r="S752" i="1"/>
  <c r="I752" i="1"/>
  <c r="W752" i="1" s="1"/>
  <c r="H752" i="1"/>
  <c r="AJ751" i="1"/>
  <c r="AI751" i="1"/>
  <c r="AE751" i="1"/>
  <c r="AD751" i="1"/>
  <c r="AH751" i="1" s="1"/>
  <c r="AB751" i="1"/>
  <c r="Z751" i="1"/>
  <c r="V751" i="1"/>
  <c r="J752" i="1" l="1"/>
  <c r="K752" i="1" s="1"/>
  <c r="J753" i="1"/>
  <c r="K753" i="1" s="1"/>
  <c r="J754" i="1"/>
  <c r="K754" i="1" s="1"/>
  <c r="AL753" i="1"/>
  <c r="AH754" i="1"/>
  <c r="AH752" i="1"/>
  <c r="AH755" i="1"/>
  <c r="AL751" i="1"/>
  <c r="B9" i="1"/>
  <c r="AJ1142" i="1" l="1"/>
  <c r="AI1142" i="1"/>
  <c r="AE1142" i="1"/>
  <c r="AD1142" i="1"/>
  <c r="AL1142" i="1" s="1"/>
  <c r="AB1142" i="1"/>
  <c r="Z1142" i="1"/>
  <c r="X1142" i="1"/>
  <c r="V1142" i="1"/>
  <c r="U1142" i="1"/>
  <c r="T1142" i="1"/>
  <c r="S1142" i="1"/>
  <c r="I1142" i="1"/>
  <c r="H1142" i="1"/>
  <c r="AJ1018" i="1"/>
  <c r="AI1018" i="1"/>
  <c r="AE1018" i="1"/>
  <c r="AD1018" i="1"/>
  <c r="AL1018" i="1" s="1"/>
  <c r="AB1018" i="1"/>
  <c r="Z1018" i="1"/>
  <c r="X1018" i="1"/>
  <c r="V1018" i="1"/>
  <c r="U1018" i="1"/>
  <c r="T1018" i="1"/>
  <c r="S1018" i="1"/>
  <c r="I1018" i="1"/>
  <c r="W1018" i="1" s="1"/>
  <c r="H1018" i="1"/>
  <c r="AJ958" i="1"/>
  <c r="AI958" i="1"/>
  <c r="AE958" i="1"/>
  <c r="AD958" i="1"/>
  <c r="AL958" i="1" s="1"/>
  <c r="AB958" i="1"/>
  <c r="Z958" i="1"/>
  <c r="X958" i="1"/>
  <c r="V958" i="1"/>
  <c r="U958" i="1"/>
  <c r="T958" i="1"/>
  <c r="S958" i="1"/>
  <c r="I958" i="1"/>
  <c r="H958" i="1"/>
  <c r="AJ562" i="1"/>
  <c r="AI562" i="1"/>
  <c r="AE562" i="1"/>
  <c r="AD562" i="1"/>
  <c r="AL562" i="1" s="1"/>
  <c r="AB562" i="1"/>
  <c r="Z562" i="1"/>
  <c r="X562" i="1"/>
  <c r="V562" i="1"/>
  <c r="U562" i="1"/>
  <c r="T562" i="1"/>
  <c r="S562" i="1"/>
  <c r="I562" i="1"/>
  <c r="W562" i="1" s="1"/>
  <c r="H562" i="1"/>
  <c r="AJ486" i="1"/>
  <c r="AI486" i="1"/>
  <c r="AE486" i="1"/>
  <c r="AD486" i="1"/>
  <c r="AL486" i="1" s="1"/>
  <c r="AB486" i="1"/>
  <c r="Z486" i="1"/>
  <c r="X486" i="1"/>
  <c r="V486" i="1"/>
  <c r="U486" i="1"/>
  <c r="T486" i="1"/>
  <c r="S486" i="1"/>
  <c r="I486" i="1"/>
  <c r="W486" i="1" s="1"/>
  <c r="H486" i="1"/>
  <c r="AJ109" i="1"/>
  <c r="AI109" i="1"/>
  <c r="AE109" i="1"/>
  <c r="AD109" i="1"/>
  <c r="AL109" i="1" s="1"/>
  <c r="AB109" i="1"/>
  <c r="Z109" i="1"/>
  <c r="X109" i="1"/>
  <c r="V109" i="1"/>
  <c r="U109" i="1"/>
  <c r="T109" i="1"/>
  <c r="S109" i="1"/>
  <c r="I109" i="1"/>
  <c r="W109" i="1" s="1"/>
  <c r="H109" i="1"/>
  <c r="AJ245" i="1"/>
  <c r="AI245" i="1"/>
  <c r="AE245" i="1"/>
  <c r="AD245" i="1"/>
  <c r="AL245" i="1" s="1"/>
  <c r="AB245" i="1"/>
  <c r="Z245" i="1"/>
  <c r="X245" i="1"/>
  <c r="V245" i="1"/>
  <c r="U245" i="1"/>
  <c r="T245" i="1"/>
  <c r="S245" i="1"/>
  <c r="I245" i="1"/>
  <c r="W245" i="1" s="1"/>
  <c r="H245" i="1"/>
  <c r="AJ244" i="1"/>
  <c r="AI244" i="1"/>
  <c r="AE244" i="1"/>
  <c r="AD244" i="1"/>
  <c r="AL244" i="1" s="1"/>
  <c r="AB244" i="1"/>
  <c r="Z244" i="1"/>
  <c r="X244" i="1"/>
  <c r="V244" i="1"/>
  <c r="U244" i="1"/>
  <c r="T244" i="1"/>
  <c r="S244" i="1"/>
  <c r="I244" i="1"/>
  <c r="W244" i="1" s="1"/>
  <c r="H244" i="1"/>
  <c r="AJ1507" i="1"/>
  <c r="AI1507" i="1"/>
  <c r="AE1507" i="1"/>
  <c r="AD1507" i="1"/>
  <c r="AL1507" i="1" s="1"/>
  <c r="AB1507" i="1"/>
  <c r="Z1507" i="1"/>
  <c r="X1507" i="1"/>
  <c r="V1507" i="1"/>
  <c r="U1507" i="1"/>
  <c r="T1507" i="1"/>
  <c r="S1507" i="1"/>
  <c r="I1507" i="1"/>
  <c r="W1507" i="1" s="1"/>
  <c r="H1507" i="1"/>
  <c r="AJ944" i="1"/>
  <c r="AI944" i="1"/>
  <c r="AE944" i="1"/>
  <c r="AD944" i="1"/>
  <c r="AL944" i="1" s="1"/>
  <c r="AB944" i="1"/>
  <c r="Z944" i="1"/>
  <c r="X944" i="1"/>
  <c r="V944" i="1"/>
  <c r="U944" i="1"/>
  <c r="T944" i="1"/>
  <c r="S944" i="1"/>
  <c r="I944" i="1"/>
  <c r="W944" i="1" s="1"/>
  <c r="H944" i="1"/>
  <c r="AJ165" i="1"/>
  <c r="AI165" i="1"/>
  <c r="AE165" i="1"/>
  <c r="AD165" i="1"/>
  <c r="AL165" i="1" s="1"/>
  <c r="AB165" i="1"/>
  <c r="Z165" i="1"/>
  <c r="X165" i="1"/>
  <c r="V165" i="1"/>
  <c r="U165" i="1"/>
  <c r="T165" i="1"/>
  <c r="S165" i="1"/>
  <c r="I165" i="1"/>
  <c r="W165" i="1" s="1"/>
  <c r="H165" i="1"/>
  <c r="J245" i="1" l="1"/>
  <c r="K245" i="1" s="1"/>
  <c r="J562" i="1"/>
  <c r="K562" i="1" s="1"/>
  <c r="J944" i="1"/>
  <c r="K944" i="1" s="1"/>
  <c r="J486" i="1"/>
  <c r="K486" i="1" s="1"/>
  <c r="J244" i="1"/>
  <c r="K244" i="1" s="1"/>
  <c r="J1507" i="1"/>
  <c r="K1507" i="1" s="1"/>
  <c r="J1018" i="1"/>
  <c r="K1018" i="1" s="1"/>
  <c r="J1142" i="1"/>
  <c r="J109" i="1"/>
  <c r="K109" i="1" s="1"/>
  <c r="J958" i="1"/>
  <c r="K958" i="1" s="1"/>
  <c r="W958" i="1"/>
  <c r="W1142" i="1"/>
  <c r="K1142" i="1"/>
  <c r="J165" i="1"/>
  <c r="K165" i="1" s="1"/>
  <c r="AH1142" i="1"/>
  <c r="AH1018" i="1"/>
  <c r="AH958" i="1"/>
  <c r="AH562" i="1"/>
  <c r="AH486" i="1"/>
  <c r="AH109" i="1"/>
  <c r="AH244" i="1"/>
  <c r="AH245" i="1"/>
  <c r="AH1507" i="1"/>
  <c r="AH944" i="1"/>
  <c r="AH165" i="1"/>
  <c r="AJ870" i="1"/>
  <c r="AI870" i="1"/>
  <c r="AE870" i="1"/>
  <c r="AD870" i="1"/>
  <c r="AL870" i="1" s="1"/>
  <c r="AB870" i="1"/>
  <c r="Z870" i="1"/>
  <c r="X870" i="1"/>
  <c r="V870" i="1"/>
  <c r="U870" i="1"/>
  <c r="T870" i="1"/>
  <c r="S870" i="1"/>
  <c r="I870" i="1"/>
  <c r="W870" i="1" s="1"/>
  <c r="H870" i="1"/>
  <c r="J870" i="1" l="1"/>
  <c r="K870" i="1" s="1"/>
  <c r="AH870" i="1"/>
  <c r="AJ1691" i="1" l="1"/>
  <c r="AI1691" i="1"/>
  <c r="AE1691" i="1"/>
  <c r="AD1691" i="1"/>
  <c r="AL1691" i="1" s="1"/>
  <c r="AB1691" i="1"/>
  <c r="Z1691" i="1"/>
  <c r="X1691" i="1"/>
  <c r="V1691" i="1"/>
  <c r="U1691" i="1"/>
  <c r="T1691" i="1"/>
  <c r="S1691" i="1"/>
  <c r="I1691" i="1"/>
  <c r="W1691" i="1" s="1"/>
  <c r="H1691" i="1"/>
  <c r="AJ552" i="1"/>
  <c r="AI552" i="1"/>
  <c r="AE552" i="1"/>
  <c r="AD552" i="1"/>
  <c r="AL552" i="1" s="1"/>
  <c r="AB552" i="1"/>
  <c r="Z552" i="1"/>
  <c r="X552" i="1"/>
  <c r="V552" i="1"/>
  <c r="U552" i="1"/>
  <c r="T552" i="1"/>
  <c r="S552" i="1"/>
  <c r="I552" i="1"/>
  <c r="W552" i="1" s="1"/>
  <c r="H552" i="1"/>
  <c r="J1691" i="1" l="1"/>
  <c r="K1691" i="1" s="1"/>
  <c r="J552" i="1"/>
  <c r="K552" i="1" s="1"/>
  <c r="AH1691" i="1"/>
  <c r="AH552" i="1"/>
  <c r="AJ505" i="1" l="1"/>
  <c r="AI505" i="1"/>
  <c r="AE505" i="1"/>
  <c r="AD505" i="1"/>
  <c r="AL505" i="1" s="1"/>
  <c r="AB505" i="1"/>
  <c r="Z505" i="1"/>
  <c r="X505" i="1"/>
  <c r="V505" i="1"/>
  <c r="U505" i="1"/>
  <c r="T505" i="1"/>
  <c r="S505" i="1"/>
  <c r="I505" i="1"/>
  <c r="H505" i="1"/>
  <c r="J505" i="1" l="1"/>
  <c r="K505" i="1" s="1"/>
  <c r="W505" i="1"/>
  <c r="AH505" i="1"/>
  <c r="AB1788" i="1" l="1"/>
  <c r="AD315" i="1"/>
  <c r="AL315" i="1" s="1"/>
  <c r="AJ315" i="1"/>
  <c r="AI315" i="1"/>
  <c r="AE315" i="1"/>
  <c r="AB315" i="1"/>
  <c r="Z315" i="1"/>
  <c r="X315" i="1"/>
  <c r="I315" i="1"/>
  <c r="W315" i="1" s="1"/>
  <c r="V315" i="1"/>
  <c r="U315" i="1"/>
  <c r="T315" i="1"/>
  <c r="S315" i="1"/>
  <c r="H315" i="1"/>
  <c r="H12" i="1"/>
  <c r="H17" i="1"/>
  <c r="H23" i="1"/>
  <c r="H26" i="1"/>
  <c r="H27" i="1"/>
  <c r="H31" i="1"/>
  <c r="H32" i="1"/>
  <c r="H33" i="1"/>
  <c r="H34" i="1"/>
  <c r="H35" i="1"/>
  <c r="H36" i="1"/>
  <c r="H37" i="1"/>
  <c r="H38" i="1"/>
  <c r="H41" i="1"/>
  <c r="H45" i="1"/>
  <c r="H46" i="1"/>
  <c r="H49" i="1"/>
  <c r="H55" i="1"/>
  <c r="H56" i="1"/>
  <c r="H57" i="1"/>
  <c r="H60" i="1"/>
  <c r="H63" i="1"/>
  <c r="H67" i="1"/>
  <c r="H70" i="1"/>
  <c r="H73" i="1"/>
  <c r="H74" i="1"/>
  <c r="H75" i="1"/>
  <c r="H76" i="1"/>
  <c r="H77" i="1"/>
  <c r="H78" i="1"/>
  <c r="H81" i="1"/>
  <c r="H84" i="1"/>
  <c r="H85" i="1"/>
  <c r="H90" i="1"/>
  <c r="H93" i="1"/>
  <c r="H96" i="1"/>
  <c r="H98" i="1"/>
  <c r="H99" i="1"/>
  <c r="H102" i="1"/>
  <c r="H103" i="1"/>
  <c r="H106" i="1"/>
  <c r="H110" i="1"/>
  <c r="H113" i="1"/>
  <c r="H115" i="1"/>
  <c r="H116" i="1"/>
  <c r="H117" i="1"/>
  <c r="H118" i="1"/>
  <c r="H124" i="1"/>
  <c r="H127" i="1"/>
  <c r="H128" i="1"/>
  <c r="H129" i="1"/>
  <c r="H132" i="1"/>
  <c r="H133" i="1"/>
  <c r="H134" i="1"/>
  <c r="H135" i="1"/>
  <c r="H139" i="1"/>
  <c r="H140" i="1"/>
  <c r="H141" i="1"/>
  <c r="H142" i="1"/>
  <c r="AD148" i="1"/>
  <c r="H151" i="1"/>
  <c r="H152" i="1"/>
  <c r="H153" i="1"/>
  <c r="H154" i="1"/>
  <c r="H155" i="1"/>
  <c r="H156" i="1"/>
  <c r="H157" i="1"/>
  <c r="H158" i="1"/>
  <c r="H161" i="1"/>
  <c r="H162" i="1"/>
  <c r="H167" i="1"/>
  <c r="H168" i="1"/>
  <c r="H171" i="1"/>
  <c r="H172" i="1"/>
  <c r="H175" i="1"/>
  <c r="H176" i="1"/>
  <c r="H177" i="1"/>
  <c r="H178" i="1"/>
  <c r="H181" i="1"/>
  <c r="H182" i="1"/>
  <c r="H183" i="1"/>
  <c r="H186" i="1"/>
  <c r="H189" i="1"/>
  <c r="H192" i="1"/>
  <c r="H193" i="1"/>
  <c r="H194" i="1"/>
  <c r="H196" i="1"/>
  <c r="H198" i="1"/>
  <c r="H199" i="1"/>
  <c r="H201" i="1"/>
  <c r="H202" i="1"/>
  <c r="H205" i="1"/>
  <c r="H206" i="1"/>
  <c r="H207" i="1"/>
  <c r="H210" i="1"/>
  <c r="H211" i="1"/>
  <c r="H212" i="1"/>
  <c r="H215" i="1"/>
  <c r="H216" i="1"/>
  <c r="H219" i="1"/>
  <c r="H222" i="1"/>
  <c r="H224" i="1"/>
  <c r="H225" i="1"/>
  <c r="H227" i="1"/>
  <c r="H229" i="1"/>
  <c r="H230" i="1"/>
  <c r="H231" i="1"/>
  <c r="H232" i="1"/>
  <c r="H233" i="1"/>
  <c r="H234" i="1"/>
  <c r="H235" i="1"/>
  <c r="H239" i="1"/>
  <c r="H240" i="1"/>
  <c r="H241" i="1"/>
  <c r="H248" i="1"/>
  <c r="H249" i="1"/>
  <c r="H250" i="1"/>
  <c r="H252" i="1"/>
  <c r="H253" i="1"/>
  <c r="H254" i="1"/>
  <c r="H257" i="1"/>
  <c r="H258" i="1"/>
  <c r="H259" i="1"/>
  <c r="H260" i="1"/>
  <c r="H263" i="1"/>
  <c r="H266" i="1"/>
  <c r="H267" i="1"/>
  <c r="H268" i="1"/>
  <c r="H272" i="1"/>
  <c r="H275" i="1"/>
  <c r="H277" i="1"/>
  <c r="H278" i="1"/>
  <c r="H281" i="1"/>
  <c r="H282" i="1"/>
  <c r="H283" i="1"/>
  <c r="H284" i="1"/>
  <c r="H287" i="1"/>
  <c r="H288" i="1"/>
  <c r="H292" i="1"/>
  <c r="H297" i="1"/>
  <c r="H298" i="1"/>
  <c r="H299" i="1"/>
  <c r="H301" i="1"/>
  <c r="H304" i="1"/>
  <c r="H305" i="1"/>
  <c r="H308" i="1"/>
  <c r="H311" i="1"/>
  <c r="H318" i="1"/>
  <c r="H316" i="1"/>
  <c r="J321" i="1"/>
  <c r="H323" i="1"/>
  <c r="H326" i="1"/>
  <c r="H329" i="1"/>
  <c r="H330" i="1"/>
  <c r="H331" i="1"/>
  <c r="H334" i="1"/>
  <c r="H335" i="1"/>
  <c r="H336" i="1"/>
  <c r="H339" i="1"/>
  <c r="H340" i="1"/>
  <c r="H343" i="1"/>
  <c r="H344" i="1"/>
  <c r="H347" i="1"/>
  <c r="H348" i="1"/>
  <c r="H351" i="1"/>
  <c r="H352" i="1"/>
  <c r="H355" i="1"/>
  <c r="H356" i="1"/>
  <c r="H357" i="1"/>
  <c r="H360" i="1"/>
  <c r="H363" i="1"/>
  <c r="H364" i="1"/>
  <c r="H367" i="1"/>
  <c r="H370" i="1"/>
  <c r="H371" i="1"/>
  <c r="H372" i="1"/>
  <c r="H375" i="1"/>
  <c r="H378" i="1"/>
  <c r="H381" i="1"/>
  <c r="H379" i="1"/>
  <c r="H380" i="1"/>
  <c r="H384" i="1"/>
  <c r="H385" i="1"/>
  <c r="H386" i="1"/>
  <c r="H389" i="1"/>
  <c r="H390" i="1"/>
  <c r="H393" i="1"/>
  <c r="H394" i="1"/>
  <c r="H395" i="1"/>
  <c r="H396" i="1"/>
  <c r="H397" i="1"/>
  <c r="H398" i="1"/>
  <c r="H399" i="1"/>
  <c r="H405" i="1"/>
  <c r="H408" i="1"/>
  <c r="H409" i="1"/>
  <c r="H412" i="1"/>
  <c r="H415" i="1"/>
  <c r="H418" i="1"/>
  <c r="H421" i="1"/>
  <c r="H422" i="1"/>
  <c r="H425" i="1"/>
  <c r="H426" i="1"/>
  <c r="H429" i="1"/>
  <c r="H430" i="1"/>
  <c r="H431" i="1"/>
  <c r="H432" i="1"/>
  <c r="H435" i="1"/>
  <c r="H436" i="1"/>
  <c r="H437" i="1"/>
  <c r="H440" i="1"/>
  <c r="H441" i="1"/>
  <c r="H442" i="1"/>
  <c r="H443" i="1"/>
  <c r="H444" i="1"/>
  <c r="H447" i="1"/>
  <c r="H449" i="1"/>
  <c r="H452" i="1"/>
  <c r="H453" i="1"/>
  <c r="H454" i="1"/>
  <c r="H457" i="1"/>
  <c r="H460" i="1"/>
  <c r="H464" i="1"/>
  <c r="H467" i="1"/>
  <c r="H469" i="1"/>
  <c r="H475" i="1"/>
  <c r="H476" i="1"/>
  <c r="H477" i="1"/>
  <c r="H480" i="1"/>
  <c r="H481" i="1"/>
  <c r="H482" i="1"/>
  <c r="H483" i="1"/>
  <c r="H489" i="1"/>
  <c r="H492" i="1"/>
  <c r="H493" i="1"/>
  <c r="H494" i="1"/>
  <c r="H495" i="1"/>
  <c r="H496" i="1"/>
  <c r="H497" i="1"/>
  <c r="H500" i="1"/>
  <c r="H501" i="1"/>
  <c r="H504" i="1"/>
  <c r="H506" i="1"/>
  <c r="H509" i="1"/>
  <c r="H515" i="1"/>
  <c r="H516" i="1"/>
  <c r="H517" i="1"/>
  <c r="H520" i="1"/>
  <c r="H521" i="1"/>
  <c r="H522" i="1"/>
  <c r="H525" i="1"/>
  <c r="H526" i="1"/>
  <c r="H529" i="1"/>
  <c r="H532" i="1"/>
  <c r="H533" i="1"/>
  <c r="H536" i="1"/>
  <c r="H537" i="1"/>
  <c r="H541" i="1"/>
  <c r="H542" i="1"/>
  <c r="H545" i="1"/>
  <c r="H546" i="1"/>
  <c r="H547" i="1"/>
  <c r="H548" i="1"/>
  <c r="H551" i="1"/>
  <c r="H556" i="1"/>
  <c r="H559" i="1"/>
  <c r="H566" i="1"/>
  <c r="H569" i="1"/>
  <c r="H570" i="1"/>
  <c r="H571" i="1"/>
  <c r="H574" i="1"/>
  <c r="H577" i="1"/>
  <c r="H583" i="1"/>
  <c r="H586" i="1"/>
  <c r="H589" i="1"/>
  <c r="H592" i="1"/>
  <c r="H593" i="1"/>
  <c r="H594" i="1"/>
  <c r="H595" i="1"/>
  <c r="H601" i="1"/>
  <c r="H604" i="1"/>
  <c r="H607" i="1"/>
  <c r="H611" i="1"/>
  <c r="H613" i="1"/>
  <c r="H614" i="1"/>
  <c r="H655" i="1"/>
  <c r="H617" i="1"/>
  <c r="H618" i="1"/>
  <c r="H621" i="1"/>
  <c r="H622" i="1"/>
  <c r="H623" i="1"/>
  <c r="H624" i="1"/>
  <c r="H625" i="1"/>
  <c r="H626" i="1"/>
  <c r="H627" i="1"/>
  <c r="H630" i="1"/>
  <c r="H631" i="1"/>
  <c r="H634" i="1"/>
  <c r="H637" i="1"/>
  <c r="H640" i="1"/>
  <c r="H641" i="1"/>
  <c r="H642" i="1"/>
  <c r="H645" i="1"/>
  <c r="H646" i="1"/>
  <c r="H649" i="1"/>
  <c r="H652" i="1"/>
  <c r="H658" i="1"/>
  <c r="H659" i="1"/>
  <c r="H663" i="1"/>
  <c r="H667" i="1"/>
  <c r="H670" i="1"/>
  <c r="H673" i="1"/>
  <c r="H674" i="1"/>
  <c r="H675" i="1"/>
  <c r="H676" i="1"/>
  <c r="H677" i="1"/>
  <c r="H680" i="1"/>
  <c r="H683" i="1"/>
  <c r="H689" i="1"/>
  <c r="H692" i="1"/>
  <c r="J698" i="1"/>
  <c r="H700" i="1"/>
  <c r="H701" i="1"/>
  <c r="H702" i="1"/>
  <c r="H703" i="1"/>
  <c r="H706" i="1"/>
  <c r="H707" i="1"/>
  <c r="H710" i="1"/>
  <c r="H713" i="1"/>
  <c r="H716" i="1"/>
  <c r="H717" i="1"/>
  <c r="H720" i="1"/>
  <c r="H721" i="1"/>
  <c r="H722" i="1"/>
  <c r="H723" i="1"/>
  <c r="H724" i="1"/>
  <c r="H725" i="1"/>
  <c r="H726" i="1"/>
  <c r="H727" i="1"/>
  <c r="H728" i="1"/>
  <c r="H731" i="1"/>
  <c r="H732" i="1"/>
  <c r="H733" i="1"/>
  <c r="H734" i="1"/>
  <c r="H735" i="1"/>
  <c r="H738" i="1"/>
  <c r="H742" i="1"/>
  <c r="H745" i="1"/>
  <c r="H746" i="1"/>
  <c r="H747" i="1"/>
  <c r="H748" i="1"/>
  <c r="H749" i="1"/>
  <c r="H757" i="1"/>
  <c r="H758" i="1"/>
  <c r="H761" i="1"/>
  <c r="H764" i="1"/>
  <c r="H765" i="1"/>
  <c r="H766" i="1"/>
  <c r="H769" i="1"/>
  <c r="H770" i="1"/>
  <c r="H771" i="1"/>
  <c r="H774" i="1"/>
  <c r="H777" i="1"/>
  <c r="H778" i="1"/>
  <c r="H781" i="1"/>
  <c r="H782" i="1"/>
  <c r="H783" i="1"/>
  <c r="H784" i="1"/>
  <c r="H787" i="1"/>
  <c r="H788" i="1"/>
  <c r="H791" i="1"/>
  <c r="H792" i="1"/>
  <c r="H795" i="1"/>
  <c r="H796" i="1"/>
  <c r="H797" i="1"/>
  <c r="H800" i="1"/>
  <c r="H803" i="1"/>
  <c r="H804" i="1"/>
  <c r="H805" i="1"/>
  <c r="H806" i="1"/>
  <c r="H807" i="1"/>
  <c r="H808" i="1"/>
  <c r="H811" i="1"/>
  <c r="H812" i="1"/>
  <c r="H813" i="1"/>
  <c r="H816" i="1"/>
  <c r="H817" i="1"/>
  <c r="H820" i="1"/>
  <c r="H823" i="1"/>
  <c r="H826" i="1"/>
  <c r="H829" i="1"/>
  <c r="H830" i="1"/>
  <c r="H831" i="1"/>
  <c r="H832" i="1"/>
  <c r="H835" i="1"/>
  <c r="H836" i="1"/>
  <c r="H837" i="1"/>
  <c r="H840" i="1"/>
  <c r="H841" i="1"/>
  <c r="H844" i="1"/>
  <c r="H845" i="1"/>
  <c r="H846" i="1"/>
  <c r="H849" i="1"/>
  <c r="H850" i="1"/>
  <c r="H851" i="1"/>
  <c r="H852" i="1"/>
  <c r="H855" i="1"/>
  <c r="H858" i="1"/>
  <c r="H859" i="1"/>
  <c r="H860" i="1"/>
  <c r="H861" i="1"/>
  <c r="H862" i="1"/>
  <c r="H863" i="1"/>
  <c r="H864" i="1"/>
  <c r="H865" i="1"/>
  <c r="H866" i="1"/>
  <c r="H869" i="1"/>
  <c r="H871" i="1"/>
  <c r="H874" i="1"/>
  <c r="H877" i="1"/>
  <c r="H878" i="1"/>
  <c r="H879" i="1"/>
  <c r="H880" i="1"/>
  <c r="H885" i="1"/>
  <c r="H888" i="1"/>
  <c r="H889" i="1"/>
  <c r="H901" i="1"/>
  <c r="H902" i="1"/>
  <c r="H903" i="1"/>
  <c r="H906" i="1"/>
  <c r="H910" i="1"/>
  <c r="H911" i="1"/>
  <c r="H914" i="1"/>
  <c r="H917" i="1"/>
  <c r="H918" i="1"/>
  <c r="H919" i="1"/>
  <c r="H922" i="1"/>
  <c r="H923" i="1"/>
  <c r="H926" i="1"/>
  <c r="H927" i="1"/>
  <c r="H930" i="1"/>
  <c r="H933" i="1"/>
  <c r="H934" i="1"/>
  <c r="H937" i="1"/>
  <c r="H938" i="1"/>
  <c r="H939" i="1"/>
  <c r="H940" i="1"/>
  <c r="H941" i="1"/>
  <c r="H945" i="1"/>
  <c r="H948" i="1"/>
  <c r="H951" i="1"/>
  <c r="H953" i="1"/>
  <c r="H954" i="1"/>
  <c r="H955" i="1"/>
  <c r="H959" i="1"/>
  <c r="H960" i="1"/>
  <c r="H961" i="1"/>
  <c r="H962" i="1"/>
  <c r="H965" i="1"/>
  <c r="H966" i="1"/>
  <c r="H967" i="1"/>
  <c r="H970" i="1"/>
  <c r="H973" i="1"/>
  <c r="H976" i="1"/>
  <c r="H979" i="1"/>
  <c r="H980" i="1"/>
  <c r="H981" i="1"/>
  <c r="H985" i="1"/>
  <c r="H988" i="1"/>
  <c r="H989" i="1"/>
  <c r="H990" i="1"/>
  <c r="H993" i="1"/>
  <c r="H994" i="1"/>
  <c r="H995" i="1"/>
  <c r="H996" i="1"/>
  <c r="H997" i="1"/>
  <c r="H998" i="1"/>
  <c r="H1001" i="1"/>
  <c r="H1005" i="1"/>
  <c r="H1009" i="1"/>
  <c r="H1012" i="1"/>
  <c r="H1013" i="1"/>
  <c r="H1014" i="1"/>
  <c r="H1015" i="1"/>
  <c r="H1019" i="1"/>
  <c r="H1020" i="1"/>
  <c r="H1023" i="1"/>
  <c r="H1024" i="1"/>
  <c r="H1025" i="1"/>
  <c r="H1029" i="1"/>
  <c r="H1033" i="1"/>
  <c r="H1036" i="1"/>
  <c r="H1039" i="1"/>
  <c r="H1040" i="1"/>
  <c r="H1043" i="1"/>
  <c r="H1046" i="1"/>
  <c r="H1047" i="1"/>
  <c r="H1048" i="1"/>
  <c r="H1049" i="1"/>
  <c r="H1052" i="1"/>
  <c r="H1055" i="1"/>
  <c r="H1058" i="1"/>
  <c r="H1061" i="1"/>
  <c r="H1069" i="1"/>
  <c r="H1073" i="1"/>
  <c r="H1076" i="1"/>
  <c r="H1079" i="1"/>
  <c r="H1086" i="1"/>
  <c r="H1089" i="1"/>
  <c r="H1090" i="1"/>
  <c r="H1094" i="1"/>
  <c r="H1097" i="1"/>
  <c r="H1064" i="1"/>
  <c r="H1065" i="1"/>
  <c r="H1066" i="1"/>
  <c r="J1100" i="1"/>
  <c r="H1106" i="1"/>
  <c r="H1107" i="1"/>
  <c r="H1113" i="1"/>
  <c r="H1117" i="1"/>
  <c r="H1120" i="1"/>
  <c r="H1121" i="1"/>
  <c r="H1122" i="1"/>
  <c r="H1125" i="1"/>
  <c r="H1126" i="1"/>
  <c r="H1127" i="1"/>
  <c r="H1131" i="1"/>
  <c r="H1130" i="1"/>
  <c r="H1134" i="1"/>
  <c r="H1135" i="1"/>
  <c r="H1136" i="1"/>
  <c r="H1137" i="1"/>
  <c r="H1138" i="1"/>
  <c r="H1139" i="1"/>
  <c r="H1143" i="1"/>
  <c r="H1144" i="1"/>
  <c r="H1145" i="1"/>
  <c r="H1146" i="1"/>
  <c r="H1149" i="1"/>
  <c r="H1150" i="1"/>
  <c r="H1154" i="1"/>
  <c r="H1157" i="1"/>
  <c r="H1158" i="1"/>
  <c r="H1161" i="1"/>
  <c r="H1162" i="1"/>
  <c r="H1165" i="1"/>
  <c r="H1168" i="1"/>
  <c r="H1169" i="1"/>
  <c r="H1170" i="1"/>
  <c r="H1171" i="1"/>
  <c r="H1174" i="1"/>
  <c r="H1175" i="1"/>
  <c r="H1178" i="1"/>
  <c r="H1181" i="1"/>
  <c r="H1182" i="1"/>
  <c r="H1185" i="1"/>
  <c r="H1186" i="1"/>
  <c r="H1189" i="1"/>
  <c r="H1192" i="1"/>
  <c r="H1195" i="1"/>
  <c r="H1198" i="1"/>
  <c r="H1199" i="1"/>
  <c r="H1200" i="1"/>
  <c r="H1201" i="1"/>
  <c r="H1203" i="1"/>
  <c r="H1206" i="1"/>
  <c r="H1209" i="1"/>
  <c r="H1210" i="1"/>
  <c r="H1211" i="1"/>
  <c r="H1214" i="1"/>
  <c r="H1217" i="1"/>
  <c r="H1218" i="1"/>
  <c r="H1221" i="1"/>
  <c r="H1224" i="1"/>
  <c r="H1225" i="1"/>
  <c r="H1228" i="1"/>
  <c r="H1229" i="1"/>
  <c r="H1230" i="1"/>
  <c r="H1233" i="1"/>
  <c r="H1236" i="1"/>
  <c r="H1239" i="1"/>
  <c r="H1240" i="1"/>
  <c r="H1243" i="1"/>
  <c r="H1246" i="1"/>
  <c r="H1249" i="1"/>
  <c r="H1252" i="1"/>
  <c r="H1253" i="1"/>
  <c r="H1256" i="1"/>
  <c r="H1257" i="1"/>
  <c r="H1260" i="1"/>
  <c r="H1263" i="1"/>
  <c r="H1266" i="1"/>
  <c r="H1269" i="1"/>
  <c r="H1272" i="1"/>
  <c r="H1273" i="1"/>
  <c r="H1276" i="1"/>
  <c r="H1279" i="1"/>
  <c r="H1280" i="1"/>
  <c r="H1283" i="1"/>
  <c r="H1284" i="1"/>
  <c r="H1287" i="1"/>
  <c r="H1288" i="1"/>
  <c r="H1291" i="1"/>
  <c r="H1292" i="1"/>
  <c r="H1295" i="1"/>
  <c r="H1296" i="1"/>
  <c r="H1297" i="1"/>
  <c r="H1298" i="1"/>
  <c r="H1301" i="1"/>
  <c r="H1304" i="1"/>
  <c r="H1305" i="1"/>
  <c r="H1306" i="1"/>
  <c r="H1309" i="1"/>
  <c r="H1310" i="1"/>
  <c r="H1311" i="1"/>
  <c r="H1314" i="1"/>
  <c r="H1317" i="1"/>
  <c r="H1318" i="1"/>
  <c r="H1321" i="1"/>
  <c r="H1322" i="1"/>
  <c r="H1323" i="1"/>
  <c r="H1326" i="1"/>
  <c r="J1329" i="1"/>
  <c r="H1331" i="1"/>
  <c r="H1332" i="1"/>
  <c r="H1335" i="1"/>
  <c r="H1338" i="1"/>
  <c r="H1341" i="1"/>
  <c r="H1344" i="1"/>
  <c r="H1347" i="1"/>
  <c r="H1353" i="1"/>
  <c r="H1356" i="1"/>
  <c r="H1359" i="1"/>
  <c r="H1363" i="1"/>
  <c r="H1365" i="1"/>
  <c r="H1368" i="1"/>
  <c r="H1369" i="1"/>
  <c r="H1370" i="1"/>
  <c r="H1373" i="1"/>
  <c r="H1374" i="1"/>
  <c r="H1375" i="1"/>
  <c r="H1376" i="1"/>
  <c r="H1377" i="1"/>
  <c r="H1378" i="1"/>
  <c r="H1379" i="1"/>
  <c r="H1382" i="1"/>
  <c r="J1385" i="1"/>
  <c r="H1387" i="1"/>
  <c r="H1390" i="1"/>
  <c r="H1393" i="1"/>
  <c r="H1396" i="1"/>
  <c r="H1399" i="1"/>
  <c r="H1411" i="1"/>
  <c r="H1421" i="1"/>
  <c r="H1423" i="1"/>
  <c r="H1426" i="1"/>
  <c r="H1429" i="1"/>
  <c r="H1433" i="1"/>
  <c r="H1436" i="1"/>
  <c r="H1437" i="1"/>
  <c r="H1438" i="1"/>
  <c r="H1441" i="1"/>
  <c r="H1444" i="1"/>
  <c r="H1445" i="1"/>
  <c r="H1448" i="1"/>
  <c r="H1451" i="1"/>
  <c r="H1454" i="1"/>
  <c r="H1455" i="1"/>
  <c r="H1456" i="1"/>
  <c r="H1459" i="1"/>
  <c r="H1462" i="1"/>
  <c r="H1463" i="1"/>
  <c r="J1472" i="1"/>
  <c r="H1474" i="1"/>
  <c r="H1475" i="1"/>
  <c r="H1478" i="1"/>
  <c r="H1484" i="1"/>
  <c r="H1487" i="1"/>
  <c r="H1481" i="1"/>
  <c r="H1490" i="1"/>
  <c r="H1496" i="1"/>
  <c r="H1497" i="1"/>
  <c r="H1500" i="1"/>
  <c r="H1501" i="1"/>
  <c r="H1504" i="1"/>
  <c r="H1508" i="1"/>
  <c r="H1511" i="1"/>
  <c r="H1512" i="1"/>
  <c r="H1516" i="1"/>
  <c r="H1519" i="1"/>
  <c r="H1522" i="1"/>
  <c r="H1523" i="1"/>
  <c r="H1526" i="1"/>
  <c r="H1527" i="1"/>
  <c r="H1528" i="1"/>
  <c r="H1529" i="1"/>
  <c r="H1532" i="1"/>
  <c r="H1535" i="1"/>
  <c r="H1536" i="1"/>
  <c r="H1537" i="1"/>
  <c r="H1540" i="1"/>
  <c r="H1541" i="1"/>
  <c r="H1544" i="1"/>
  <c r="H1546" i="1"/>
  <c r="H1552" i="1"/>
  <c r="H1555" i="1"/>
  <c r="H1556" i="1"/>
  <c r="H1559" i="1"/>
  <c r="H1560" i="1"/>
  <c r="H1563" i="1"/>
  <c r="H1564" i="1"/>
  <c r="H1565" i="1"/>
  <c r="H1568" i="1"/>
  <c r="H1574" i="1"/>
  <c r="H1577" i="1"/>
  <c r="H1578" i="1"/>
  <c r="H1584" i="1"/>
  <c r="H1585" i="1"/>
  <c r="H1588" i="1"/>
  <c r="H1597" i="1"/>
  <c r="H1600" i="1"/>
  <c r="H1601" i="1"/>
  <c r="H1602" i="1"/>
  <c r="H1603" i="1"/>
  <c r="H1606" i="1"/>
  <c r="H1608" i="1"/>
  <c r="H1609" i="1"/>
  <c r="H1610" i="1"/>
  <c r="J1613" i="1"/>
  <c r="H1621" i="1"/>
  <c r="H1622" i="1"/>
  <c r="H1625" i="1"/>
  <c r="H1634" i="1"/>
  <c r="H1635" i="1"/>
  <c r="H1636" i="1"/>
  <c r="H1639" i="1"/>
  <c r="H1640" i="1"/>
  <c r="H1643" i="1"/>
  <c r="H1646" i="1"/>
  <c r="H1649" i="1"/>
  <c r="H1650" i="1"/>
  <c r="H1653" i="1"/>
  <c r="H1654" i="1"/>
  <c r="H1657" i="1"/>
  <c r="H1658" i="1"/>
  <c r="H1659" i="1"/>
  <c r="H1669" i="1"/>
  <c r="H1672" i="1"/>
  <c r="H1673" i="1"/>
  <c r="H1676" i="1"/>
  <c r="H1677" i="1"/>
  <c r="H1680" i="1"/>
  <c r="H1681" i="1"/>
  <c r="H1684" i="1"/>
  <c r="H1685" i="1"/>
  <c r="H1688" i="1"/>
  <c r="H1689" i="1"/>
  <c r="H1690" i="1"/>
  <c r="H1694" i="1"/>
  <c r="H1697" i="1"/>
  <c r="H1700" i="1"/>
  <c r="H1703" i="1"/>
  <c r="H1704" i="1"/>
  <c r="H1707" i="1"/>
  <c r="H1708" i="1"/>
  <c r="H1714" i="1"/>
  <c r="H1715" i="1"/>
  <c r="H1718" i="1"/>
  <c r="H1721" i="1"/>
  <c r="H1724" i="1"/>
  <c r="H1742" i="1"/>
  <c r="H1754" i="1"/>
  <c r="H1760" i="1"/>
  <c r="J1760" i="1" s="1"/>
  <c r="H1763" i="1"/>
  <c r="J1763" i="1" s="1"/>
  <c r="H1766" i="1"/>
  <c r="J1766" i="1" s="1"/>
  <c r="H1769" i="1"/>
  <c r="J1769" i="1" s="1"/>
  <c r="H1772" i="1"/>
  <c r="J1772" i="1" s="1"/>
  <c r="I12" i="1"/>
  <c r="I13" i="1"/>
  <c r="J13" i="1" s="1"/>
  <c r="I17" i="1"/>
  <c r="W17" i="1" s="1"/>
  <c r="I23" i="1"/>
  <c r="W23" i="1" s="1"/>
  <c r="I26" i="1"/>
  <c r="W26" i="1" s="1"/>
  <c r="I27" i="1"/>
  <c r="W27" i="1" s="1"/>
  <c r="I31" i="1"/>
  <c r="W31" i="1" s="1"/>
  <c r="I32" i="1"/>
  <c r="W32" i="1" s="1"/>
  <c r="I33" i="1"/>
  <c r="W33" i="1" s="1"/>
  <c r="I34" i="1"/>
  <c r="W34" i="1" s="1"/>
  <c r="I35" i="1"/>
  <c r="W35" i="1" s="1"/>
  <c r="I36" i="1"/>
  <c r="W36" i="1" s="1"/>
  <c r="I37" i="1"/>
  <c r="W37" i="1" s="1"/>
  <c r="I38" i="1"/>
  <c r="W38" i="1" s="1"/>
  <c r="I41" i="1"/>
  <c r="W41" i="1" s="1"/>
  <c r="I42" i="1"/>
  <c r="W42" i="1" s="1"/>
  <c r="I45" i="1"/>
  <c r="W45" i="1" s="1"/>
  <c r="I46" i="1"/>
  <c r="W46" i="1" s="1"/>
  <c r="I49" i="1"/>
  <c r="W49" i="1" s="1"/>
  <c r="I55" i="1"/>
  <c r="W55" i="1" s="1"/>
  <c r="I56" i="1"/>
  <c r="W56" i="1" s="1"/>
  <c r="I57" i="1"/>
  <c r="W57" i="1" s="1"/>
  <c r="I60" i="1"/>
  <c r="W60" i="1" s="1"/>
  <c r="I63" i="1"/>
  <c r="W63" i="1" s="1"/>
  <c r="I67" i="1"/>
  <c r="W67" i="1" s="1"/>
  <c r="I70" i="1"/>
  <c r="W70" i="1" s="1"/>
  <c r="I73" i="1"/>
  <c r="W73" i="1" s="1"/>
  <c r="I74" i="1"/>
  <c r="W74" i="1" s="1"/>
  <c r="I75" i="1"/>
  <c r="W75" i="1" s="1"/>
  <c r="I76" i="1"/>
  <c r="W76" i="1" s="1"/>
  <c r="I77" i="1"/>
  <c r="W77" i="1" s="1"/>
  <c r="I78" i="1"/>
  <c r="W78" i="1" s="1"/>
  <c r="I81" i="1"/>
  <c r="W81" i="1" s="1"/>
  <c r="I84" i="1"/>
  <c r="W84" i="1" s="1"/>
  <c r="I85" i="1"/>
  <c r="W85" i="1" s="1"/>
  <c r="I90" i="1"/>
  <c r="W90" i="1" s="1"/>
  <c r="I93" i="1"/>
  <c r="W93" i="1" s="1"/>
  <c r="I96" i="1"/>
  <c r="W96" i="1" s="1"/>
  <c r="I98" i="1"/>
  <c r="W98" i="1" s="1"/>
  <c r="I99" i="1"/>
  <c r="W99" i="1" s="1"/>
  <c r="I102" i="1"/>
  <c r="W102" i="1" s="1"/>
  <c r="I103" i="1"/>
  <c r="W103" i="1" s="1"/>
  <c r="I106" i="1"/>
  <c r="W106" i="1" s="1"/>
  <c r="I110" i="1"/>
  <c r="W110" i="1" s="1"/>
  <c r="I113" i="1"/>
  <c r="W113" i="1" s="1"/>
  <c r="I115" i="1"/>
  <c r="W115" i="1" s="1"/>
  <c r="I116" i="1"/>
  <c r="W116" i="1" s="1"/>
  <c r="I117" i="1"/>
  <c r="W117" i="1" s="1"/>
  <c r="I118" i="1"/>
  <c r="W118" i="1" s="1"/>
  <c r="I124" i="1"/>
  <c r="W124" i="1" s="1"/>
  <c r="I127" i="1"/>
  <c r="W127" i="1" s="1"/>
  <c r="I128" i="1"/>
  <c r="W128" i="1" s="1"/>
  <c r="I129" i="1"/>
  <c r="W129" i="1" s="1"/>
  <c r="I132" i="1"/>
  <c r="W132" i="1" s="1"/>
  <c r="I133" i="1"/>
  <c r="W133" i="1" s="1"/>
  <c r="I134" i="1"/>
  <c r="W134" i="1" s="1"/>
  <c r="I135" i="1"/>
  <c r="W135" i="1" s="1"/>
  <c r="I139" i="1"/>
  <c r="W139" i="1" s="1"/>
  <c r="I140" i="1"/>
  <c r="W140" i="1" s="1"/>
  <c r="I141" i="1"/>
  <c r="W141" i="1" s="1"/>
  <c r="I142" i="1"/>
  <c r="W142" i="1" s="1"/>
  <c r="I148" i="1"/>
  <c r="W148" i="1" s="1"/>
  <c r="I151" i="1"/>
  <c r="W151" i="1" s="1"/>
  <c r="I152" i="1"/>
  <c r="W152" i="1" s="1"/>
  <c r="I153" i="1"/>
  <c r="W153" i="1" s="1"/>
  <c r="I154" i="1"/>
  <c r="W154" i="1" s="1"/>
  <c r="I155" i="1"/>
  <c r="W155" i="1" s="1"/>
  <c r="I156" i="1"/>
  <c r="W156" i="1" s="1"/>
  <c r="I157" i="1"/>
  <c r="W157" i="1" s="1"/>
  <c r="I158" i="1"/>
  <c r="W158" i="1" s="1"/>
  <c r="I161" i="1"/>
  <c r="W161" i="1" s="1"/>
  <c r="I162" i="1"/>
  <c r="W162" i="1" s="1"/>
  <c r="I167" i="1"/>
  <c r="W167" i="1" s="1"/>
  <c r="I168" i="1"/>
  <c r="W168" i="1" s="1"/>
  <c r="I171" i="1"/>
  <c r="W171" i="1" s="1"/>
  <c r="I172" i="1"/>
  <c r="W172" i="1" s="1"/>
  <c r="I175" i="1"/>
  <c r="W175" i="1" s="1"/>
  <c r="I176" i="1"/>
  <c r="W176" i="1" s="1"/>
  <c r="I177" i="1"/>
  <c r="W177" i="1" s="1"/>
  <c r="I178" i="1"/>
  <c r="W178" i="1" s="1"/>
  <c r="I181" i="1"/>
  <c r="W181" i="1" s="1"/>
  <c r="I182" i="1"/>
  <c r="W182" i="1" s="1"/>
  <c r="I183" i="1"/>
  <c r="W183" i="1" s="1"/>
  <c r="I186" i="1"/>
  <c r="W186" i="1" s="1"/>
  <c r="I189" i="1"/>
  <c r="W189" i="1" s="1"/>
  <c r="I192" i="1"/>
  <c r="I193" i="1"/>
  <c r="W193" i="1" s="1"/>
  <c r="I194" i="1"/>
  <c r="W194" i="1" s="1"/>
  <c r="I196" i="1"/>
  <c r="W196" i="1" s="1"/>
  <c r="I198" i="1"/>
  <c r="W198" i="1" s="1"/>
  <c r="I199" i="1"/>
  <c r="W199" i="1" s="1"/>
  <c r="I201" i="1"/>
  <c r="W201" i="1" s="1"/>
  <c r="I202" i="1"/>
  <c r="W202" i="1" s="1"/>
  <c r="I205" i="1"/>
  <c r="W205" i="1" s="1"/>
  <c r="I206" i="1"/>
  <c r="W206" i="1" s="1"/>
  <c r="I207" i="1"/>
  <c r="W207" i="1" s="1"/>
  <c r="I210" i="1"/>
  <c r="W210" i="1" s="1"/>
  <c r="I211" i="1"/>
  <c r="W211" i="1" s="1"/>
  <c r="I212" i="1"/>
  <c r="W212" i="1" s="1"/>
  <c r="I215" i="1"/>
  <c r="W215" i="1" s="1"/>
  <c r="I216" i="1"/>
  <c r="W216" i="1" s="1"/>
  <c r="I219" i="1"/>
  <c r="W219" i="1" s="1"/>
  <c r="I222" i="1"/>
  <c r="I224" i="1"/>
  <c r="I225" i="1"/>
  <c r="W225" i="1" s="1"/>
  <c r="I226" i="1"/>
  <c r="I227" i="1"/>
  <c r="W227" i="1" s="1"/>
  <c r="I229" i="1"/>
  <c r="W229" i="1" s="1"/>
  <c r="I230" i="1"/>
  <c r="W230" i="1" s="1"/>
  <c r="I231" i="1"/>
  <c r="W231" i="1" s="1"/>
  <c r="I232" i="1"/>
  <c r="W232" i="1" s="1"/>
  <c r="I233" i="1"/>
  <c r="W233" i="1" s="1"/>
  <c r="I234" i="1"/>
  <c r="W234" i="1" s="1"/>
  <c r="I235" i="1"/>
  <c r="W235" i="1" s="1"/>
  <c r="I239" i="1"/>
  <c r="W239" i="1" s="1"/>
  <c r="I240" i="1"/>
  <c r="W240" i="1" s="1"/>
  <c r="I241" i="1"/>
  <c r="W241" i="1" s="1"/>
  <c r="I248" i="1"/>
  <c r="W248" i="1" s="1"/>
  <c r="I249" i="1"/>
  <c r="I250" i="1"/>
  <c r="W250" i="1" s="1"/>
  <c r="I252" i="1"/>
  <c r="W252" i="1" s="1"/>
  <c r="I253" i="1"/>
  <c r="W253" i="1" s="1"/>
  <c r="I254" i="1"/>
  <c r="W254" i="1" s="1"/>
  <c r="I257" i="1"/>
  <c r="W257" i="1" s="1"/>
  <c r="I258" i="1"/>
  <c r="W258" i="1" s="1"/>
  <c r="I259" i="1"/>
  <c r="W259" i="1" s="1"/>
  <c r="I260" i="1"/>
  <c r="W260" i="1" s="1"/>
  <c r="I263" i="1"/>
  <c r="W263" i="1" s="1"/>
  <c r="I266" i="1"/>
  <c r="W266" i="1" s="1"/>
  <c r="I267" i="1"/>
  <c r="W267" i="1" s="1"/>
  <c r="I268" i="1"/>
  <c r="W268" i="1" s="1"/>
  <c r="I272" i="1"/>
  <c r="W272" i="1" s="1"/>
  <c r="I275" i="1"/>
  <c r="W275" i="1" s="1"/>
  <c r="I277" i="1"/>
  <c r="W277" i="1" s="1"/>
  <c r="I278" i="1"/>
  <c r="W278" i="1" s="1"/>
  <c r="I281" i="1"/>
  <c r="W281" i="1" s="1"/>
  <c r="I282" i="1"/>
  <c r="W282" i="1" s="1"/>
  <c r="I283" i="1"/>
  <c r="W283" i="1" s="1"/>
  <c r="I284" i="1"/>
  <c r="W284" i="1" s="1"/>
  <c r="I287" i="1"/>
  <c r="W287" i="1" s="1"/>
  <c r="I288" i="1"/>
  <c r="W288" i="1" s="1"/>
  <c r="I292" i="1"/>
  <c r="W292" i="1" s="1"/>
  <c r="I297" i="1"/>
  <c r="W297" i="1" s="1"/>
  <c r="I298" i="1"/>
  <c r="W298" i="1" s="1"/>
  <c r="I299" i="1"/>
  <c r="W299" i="1" s="1"/>
  <c r="I301" i="1"/>
  <c r="W301" i="1" s="1"/>
  <c r="I304" i="1"/>
  <c r="W304" i="1" s="1"/>
  <c r="I305" i="1"/>
  <c r="W305" i="1" s="1"/>
  <c r="I308" i="1"/>
  <c r="W308" i="1" s="1"/>
  <c r="I311" i="1"/>
  <c r="I318" i="1"/>
  <c r="W318" i="1" s="1"/>
  <c r="I316" i="1"/>
  <c r="W316" i="1" s="1"/>
  <c r="I323" i="1"/>
  <c r="W323" i="1" s="1"/>
  <c r="I326" i="1"/>
  <c r="W326" i="1" s="1"/>
  <c r="I329" i="1"/>
  <c r="W329" i="1" s="1"/>
  <c r="I330" i="1"/>
  <c r="W330" i="1" s="1"/>
  <c r="I331" i="1"/>
  <c r="W331" i="1" s="1"/>
  <c r="I334" i="1"/>
  <c r="W334" i="1" s="1"/>
  <c r="I335" i="1"/>
  <c r="W335" i="1" s="1"/>
  <c r="I336" i="1"/>
  <c r="W336" i="1" s="1"/>
  <c r="I339" i="1"/>
  <c r="W339" i="1" s="1"/>
  <c r="I340" i="1"/>
  <c r="W340" i="1" s="1"/>
  <c r="I343" i="1"/>
  <c r="W343" i="1" s="1"/>
  <c r="I344" i="1"/>
  <c r="W344" i="1" s="1"/>
  <c r="I347" i="1"/>
  <c r="W347" i="1" s="1"/>
  <c r="I348" i="1"/>
  <c r="W348" i="1" s="1"/>
  <c r="I351" i="1"/>
  <c r="W351" i="1" s="1"/>
  <c r="I352" i="1"/>
  <c r="W352" i="1" s="1"/>
  <c r="I355" i="1"/>
  <c r="W355" i="1" s="1"/>
  <c r="I356" i="1"/>
  <c r="W356" i="1" s="1"/>
  <c r="I357" i="1"/>
  <c r="W357" i="1" s="1"/>
  <c r="I360" i="1"/>
  <c r="W360" i="1" s="1"/>
  <c r="I363" i="1"/>
  <c r="W363" i="1" s="1"/>
  <c r="I364" i="1"/>
  <c r="W364" i="1" s="1"/>
  <c r="I367" i="1"/>
  <c r="W367" i="1" s="1"/>
  <c r="I370" i="1"/>
  <c r="W370" i="1" s="1"/>
  <c r="I371" i="1"/>
  <c r="W371" i="1" s="1"/>
  <c r="I372" i="1"/>
  <c r="W372" i="1" s="1"/>
  <c r="I375" i="1"/>
  <c r="W375" i="1" s="1"/>
  <c r="I378" i="1"/>
  <c r="W378" i="1" s="1"/>
  <c r="I381" i="1"/>
  <c r="W381" i="1" s="1"/>
  <c r="I379" i="1"/>
  <c r="W379" i="1" s="1"/>
  <c r="I380" i="1"/>
  <c r="W380" i="1" s="1"/>
  <c r="I384" i="1"/>
  <c r="W384" i="1" s="1"/>
  <c r="I385" i="1"/>
  <c r="W385" i="1" s="1"/>
  <c r="I386" i="1"/>
  <c r="W386" i="1" s="1"/>
  <c r="I389" i="1"/>
  <c r="W389" i="1" s="1"/>
  <c r="I390" i="1"/>
  <c r="W390" i="1" s="1"/>
  <c r="I393" i="1"/>
  <c r="W393" i="1" s="1"/>
  <c r="I394" i="1"/>
  <c r="W394" i="1" s="1"/>
  <c r="I395" i="1"/>
  <c r="W395" i="1" s="1"/>
  <c r="I396" i="1"/>
  <c r="W396" i="1" s="1"/>
  <c r="I397" i="1"/>
  <c r="W397" i="1" s="1"/>
  <c r="I398" i="1"/>
  <c r="W398" i="1" s="1"/>
  <c r="I399" i="1"/>
  <c r="W399" i="1" s="1"/>
  <c r="I405" i="1"/>
  <c r="W405" i="1" s="1"/>
  <c r="I408" i="1"/>
  <c r="W408" i="1" s="1"/>
  <c r="I409" i="1"/>
  <c r="W409" i="1" s="1"/>
  <c r="I412" i="1"/>
  <c r="W412" i="1" s="1"/>
  <c r="I415" i="1"/>
  <c r="W415" i="1" s="1"/>
  <c r="I418" i="1"/>
  <c r="W418" i="1" s="1"/>
  <c r="I421" i="1"/>
  <c r="W421" i="1" s="1"/>
  <c r="I422" i="1"/>
  <c r="W422" i="1" s="1"/>
  <c r="I425" i="1"/>
  <c r="W425" i="1" s="1"/>
  <c r="I426" i="1"/>
  <c r="W426" i="1" s="1"/>
  <c r="I429" i="1"/>
  <c r="W429" i="1" s="1"/>
  <c r="I430" i="1"/>
  <c r="W430" i="1" s="1"/>
  <c r="I431" i="1"/>
  <c r="W431" i="1" s="1"/>
  <c r="I432" i="1"/>
  <c r="W432" i="1" s="1"/>
  <c r="I435" i="1"/>
  <c r="W435" i="1" s="1"/>
  <c r="I436" i="1"/>
  <c r="W436" i="1" s="1"/>
  <c r="I437" i="1"/>
  <c r="W437" i="1" s="1"/>
  <c r="I440" i="1"/>
  <c r="W440" i="1" s="1"/>
  <c r="I441" i="1"/>
  <c r="W441" i="1" s="1"/>
  <c r="I442" i="1"/>
  <c r="W442" i="1" s="1"/>
  <c r="I443" i="1"/>
  <c r="W443" i="1" s="1"/>
  <c r="I444" i="1"/>
  <c r="W444" i="1" s="1"/>
  <c r="I447" i="1"/>
  <c r="W447" i="1" s="1"/>
  <c r="I449" i="1"/>
  <c r="W449" i="1" s="1"/>
  <c r="I452" i="1"/>
  <c r="W452" i="1" s="1"/>
  <c r="I453" i="1"/>
  <c r="W453" i="1" s="1"/>
  <c r="I454" i="1"/>
  <c r="W454" i="1" s="1"/>
  <c r="I457" i="1"/>
  <c r="W457" i="1" s="1"/>
  <c r="I460" i="1"/>
  <c r="W460" i="1" s="1"/>
  <c r="I464" i="1"/>
  <c r="W464" i="1" s="1"/>
  <c r="I467" i="1"/>
  <c r="W467" i="1" s="1"/>
  <c r="I469" i="1"/>
  <c r="W469" i="1" s="1"/>
  <c r="I475" i="1"/>
  <c r="W475" i="1" s="1"/>
  <c r="I476" i="1"/>
  <c r="W476" i="1" s="1"/>
  <c r="I477" i="1"/>
  <c r="W477" i="1" s="1"/>
  <c r="I480" i="1"/>
  <c r="W480" i="1" s="1"/>
  <c r="I481" i="1"/>
  <c r="W481" i="1" s="1"/>
  <c r="I482" i="1"/>
  <c r="W482" i="1" s="1"/>
  <c r="I483" i="1"/>
  <c r="W483" i="1" s="1"/>
  <c r="I489" i="1"/>
  <c r="W489" i="1" s="1"/>
  <c r="I492" i="1"/>
  <c r="W492" i="1" s="1"/>
  <c r="I493" i="1"/>
  <c r="W493" i="1" s="1"/>
  <c r="I494" i="1"/>
  <c r="W494" i="1" s="1"/>
  <c r="I495" i="1"/>
  <c r="W495" i="1" s="1"/>
  <c r="I496" i="1"/>
  <c r="W496" i="1" s="1"/>
  <c r="I497" i="1"/>
  <c r="W497" i="1" s="1"/>
  <c r="I500" i="1"/>
  <c r="W500" i="1" s="1"/>
  <c r="I501" i="1"/>
  <c r="W501" i="1" s="1"/>
  <c r="I504" i="1"/>
  <c r="W504" i="1" s="1"/>
  <c r="I506" i="1"/>
  <c r="W506" i="1" s="1"/>
  <c r="I509" i="1"/>
  <c r="W509" i="1" s="1"/>
  <c r="I515" i="1"/>
  <c r="W515" i="1" s="1"/>
  <c r="I516" i="1"/>
  <c r="W516" i="1" s="1"/>
  <c r="I517" i="1"/>
  <c r="W517" i="1" s="1"/>
  <c r="I520" i="1"/>
  <c r="W520" i="1" s="1"/>
  <c r="I521" i="1"/>
  <c r="W521" i="1" s="1"/>
  <c r="I522" i="1"/>
  <c r="W522" i="1" s="1"/>
  <c r="I525" i="1"/>
  <c r="W525" i="1" s="1"/>
  <c r="I526" i="1"/>
  <c r="W526" i="1" s="1"/>
  <c r="I529" i="1"/>
  <c r="W529" i="1" s="1"/>
  <c r="I532" i="1"/>
  <c r="W532" i="1" s="1"/>
  <c r="I533" i="1"/>
  <c r="W533" i="1" s="1"/>
  <c r="I536" i="1"/>
  <c r="W536" i="1" s="1"/>
  <c r="I537" i="1"/>
  <c r="W537" i="1" s="1"/>
  <c r="I541" i="1"/>
  <c r="W541" i="1" s="1"/>
  <c r="I542" i="1"/>
  <c r="W542" i="1" s="1"/>
  <c r="I545" i="1"/>
  <c r="W545" i="1" s="1"/>
  <c r="I546" i="1"/>
  <c r="W546" i="1" s="1"/>
  <c r="I547" i="1"/>
  <c r="W547" i="1" s="1"/>
  <c r="I548" i="1"/>
  <c r="W548" i="1" s="1"/>
  <c r="I551" i="1"/>
  <c r="W551" i="1" s="1"/>
  <c r="I556" i="1"/>
  <c r="W556" i="1" s="1"/>
  <c r="I559" i="1"/>
  <c r="W559" i="1" s="1"/>
  <c r="I566" i="1"/>
  <c r="W566" i="1" s="1"/>
  <c r="I569" i="1"/>
  <c r="W569" i="1" s="1"/>
  <c r="I570" i="1"/>
  <c r="W570" i="1" s="1"/>
  <c r="I571" i="1"/>
  <c r="W571" i="1" s="1"/>
  <c r="I574" i="1"/>
  <c r="W574" i="1" s="1"/>
  <c r="I577" i="1"/>
  <c r="W577" i="1" s="1"/>
  <c r="I583" i="1"/>
  <c r="W583" i="1" s="1"/>
  <c r="I586" i="1"/>
  <c r="W586" i="1" s="1"/>
  <c r="I589" i="1"/>
  <c r="W589" i="1" s="1"/>
  <c r="I592" i="1"/>
  <c r="W592" i="1" s="1"/>
  <c r="I593" i="1"/>
  <c r="W593" i="1" s="1"/>
  <c r="I594" i="1"/>
  <c r="W594" i="1" s="1"/>
  <c r="I595" i="1"/>
  <c r="W595" i="1" s="1"/>
  <c r="I601" i="1"/>
  <c r="W601" i="1" s="1"/>
  <c r="I604" i="1"/>
  <c r="W604" i="1" s="1"/>
  <c r="I607" i="1"/>
  <c r="W607" i="1" s="1"/>
  <c r="I611" i="1"/>
  <c r="W611" i="1" s="1"/>
  <c r="I613" i="1"/>
  <c r="W613" i="1" s="1"/>
  <c r="I614" i="1"/>
  <c r="W614" i="1" s="1"/>
  <c r="I655" i="1"/>
  <c r="W655" i="1" s="1"/>
  <c r="I617" i="1"/>
  <c r="W617" i="1" s="1"/>
  <c r="I618" i="1"/>
  <c r="W618" i="1" s="1"/>
  <c r="I621" i="1"/>
  <c r="W621" i="1" s="1"/>
  <c r="I622" i="1"/>
  <c r="W622" i="1" s="1"/>
  <c r="I623" i="1"/>
  <c r="W623" i="1" s="1"/>
  <c r="I624" i="1"/>
  <c r="W624" i="1" s="1"/>
  <c r="I625" i="1"/>
  <c r="W625" i="1" s="1"/>
  <c r="I626" i="1"/>
  <c r="W626" i="1" s="1"/>
  <c r="I627" i="1"/>
  <c r="W627" i="1" s="1"/>
  <c r="I630" i="1"/>
  <c r="W630" i="1" s="1"/>
  <c r="I631" i="1"/>
  <c r="W631" i="1" s="1"/>
  <c r="I634" i="1"/>
  <c r="W634" i="1" s="1"/>
  <c r="I637" i="1"/>
  <c r="W637" i="1" s="1"/>
  <c r="I640" i="1"/>
  <c r="W640" i="1" s="1"/>
  <c r="I641" i="1"/>
  <c r="W641" i="1" s="1"/>
  <c r="I642" i="1"/>
  <c r="W642" i="1" s="1"/>
  <c r="I645" i="1"/>
  <c r="W645" i="1" s="1"/>
  <c r="I646" i="1"/>
  <c r="W646" i="1" s="1"/>
  <c r="I649" i="1"/>
  <c r="W649" i="1" s="1"/>
  <c r="I652" i="1"/>
  <c r="W652" i="1" s="1"/>
  <c r="I658" i="1"/>
  <c r="W658" i="1" s="1"/>
  <c r="I659" i="1"/>
  <c r="W659" i="1" s="1"/>
  <c r="I663" i="1"/>
  <c r="W663" i="1" s="1"/>
  <c r="I667" i="1"/>
  <c r="W667" i="1" s="1"/>
  <c r="I670" i="1"/>
  <c r="W670" i="1" s="1"/>
  <c r="I673" i="1"/>
  <c r="W673" i="1" s="1"/>
  <c r="I674" i="1"/>
  <c r="W674" i="1" s="1"/>
  <c r="I675" i="1"/>
  <c r="I676" i="1"/>
  <c r="W676" i="1" s="1"/>
  <c r="I677" i="1"/>
  <c r="W677" i="1" s="1"/>
  <c r="I680" i="1"/>
  <c r="W680" i="1" s="1"/>
  <c r="I683" i="1"/>
  <c r="W683" i="1" s="1"/>
  <c r="I689" i="1"/>
  <c r="W689" i="1" s="1"/>
  <c r="I692" i="1"/>
  <c r="W692" i="1" s="1"/>
  <c r="I700" i="1"/>
  <c r="W700" i="1" s="1"/>
  <c r="I701" i="1"/>
  <c r="W701" i="1" s="1"/>
  <c r="I702" i="1"/>
  <c r="W702" i="1" s="1"/>
  <c r="I703" i="1"/>
  <c r="W703" i="1" s="1"/>
  <c r="I706" i="1"/>
  <c r="W706" i="1" s="1"/>
  <c r="I707" i="1"/>
  <c r="W707" i="1" s="1"/>
  <c r="I710" i="1"/>
  <c r="W710" i="1" s="1"/>
  <c r="I713" i="1"/>
  <c r="W713" i="1" s="1"/>
  <c r="I716" i="1"/>
  <c r="W716" i="1" s="1"/>
  <c r="I717" i="1"/>
  <c r="W717" i="1" s="1"/>
  <c r="I720" i="1"/>
  <c r="W720" i="1" s="1"/>
  <c r="I721" i="1"/>
  <c r="I722" i="1"/>
  <c r="W722" i="1" s="1"/>
  <c r="I723" i="1"/>
  <c r="W723" i="1" s="1"/>
  <c r="I724" i="1"/>
  <c r="W724" i="1" s="1"/>
  <c r="I725" i="1"/>
  <c r="W725" i="1" s="1"/>
  <c r="I726" i="1"/>
  <c r="W726" i="1" s="1"/>
  <c r="I727" i="1"/>
  <c r="W727" i="1" s="1"/>
  <c r="I728" i="1"/>
  <c r="W728" i="1" s="1"/>
  <c r="I731" i="1"/>
  <c r="W731" i="1" s="1"/>
  <c r="I732" i="1"/>
  <c r="W732" i="1" s="1"/>
  <c r="I733" i="1"/>
  <c r="W733" i="1" s="1"/>
  <c r="I734" i="1"/>
  <c r="W734" i="1" s="1"/>
  <c r="I735" i="1"/>
  <c r="W735" i="1" s="1"/>
  <c r="I738" i="1"/>
  <c r="W738" i="1" s="1"/>
  <c r="I742" i="1"/>
  <c r="W742" i="1" s="1"/>
  <c r="I745" i="1"/>
  <c r="W745" i="1" s="1"/>
  <c r="I746" i="1"/>
  <c r="W746" i="1" s="1"/>
  <c r="I747" i="1"/>
  <c r="W747" i="1" s="1"/>
  <c r="I748" i="1"/>
  <c r="W748" i="1" s="1"/>
  <c r="I749" i="1"/>
  <c r="W749" i="1" s="1"/>
  <c r="I757" i="1"/>
  <c r="W757" i="1" s="1"/>
  <c r="I758" i="1"/>
  <c r="W758" i="1" s="1"/>
  <c r="I761" i="1"/>
  <c r="W761" i="1" s="1"/>
  <c r="I764" i="1"/>
  <c r="W764" i="1" s="1"/>
  <c r="I765" i="1"/>
  <c r="W765" i="1" s="1"/>
  <c r="I766" i="1"/>
  <c r="W766" i="1" s="1"/>
  <c r="I769" i="1"/>
  <c r="W769" i="1" s="1"/>
  <c r="I770" i="1"/>
  <c r="W770" i="1" s="1"/>
  <c r="I771" i="1"/>
  <c r="W771" i="1" s="1"/>
  <c r="I774" i="1"/>
  <c r="W774" i="1" s="1"/>
  <c r="I777" i="1"/>
  <c r="W777" i="1" s="1"/>
  <c r="I778" i="1"/>
  <c r="W778" i="1" s="1"/>
  <c r="I781" i="1"/>
  <c r="W781" i="1" s="1"/>
  <c r="I782" i="1"/>
  <c r="W782" i="1" s="1"/>
  <c r="I783" i="1"/>
  <c r="W783" i="1" s="1"/>
  <c r="I784" i="1"/>
  <c r="W784" i="1" s="1"/>
  <c r="I787" i="1"/>
  <c r="W787" i="1" s="1"/>
  <c r="I788" i="1"/>
  <c r="W788" i="1" s="1"/>
  <c r="I791" i="1"/>
  <c r="I792" i="1"/>
  <c r="W792" i="1" s="1"/>
  <c r="I795" i="1"/>
  <c r="W795" i="1" s="1"/>
  <c r="I796" i="1"/>
  <c r="W796" i="1" s="1"/>
  <c r="I797" i="1"/>
  <c r="W797" i="1" s="1"/>
  <c r="I800" i="1"/>
  <c r="W800" i="1" s="1"/>
  <c r="I803" i="1"/>
  <c r="I804" i="1"/>
  <c r="W804" i="1" s="1"/>
  <c r="I805" i="1"/>
  <c r="W805" i="1" s="1"/>
  <c r="I806" i="1"/>
  <c r="W806" i="1" s="1"/>
  <c r="I807" i="1"/>
  <c r="W807" i="1" s="1"/>
  <c r="I808" i="1"/>
  <c r="W808" i="1" s="1"/>
  <c r="I811" i="1"/>
  <c r="W811" i="1" s="1"/>
  <c r="I812" i="1"/>
  <c r="W812" i="1" s="1"/>
  <c r="I813" i="1"/>
  <c r="W813" i="1" s="1"/>
  <c r="I816" i="1"/>
  <c r="W816" i="1" s="1"/>
  <c r="I817" i="1"/>
  <c r="W817" i="1" s="1"/>
  <c r="I820" i="1"/>
  <c r="W820" i="1" s="1"/>
  <c r="I823" i="1"/>
  <c r="W823" i="1" s="1"/>
  <c r="I826" i="1"/>
  <c r="W826" i="1" s="1"/>
  <c r="I829" i="1"/>
  <c r="W829" i="1" s="1"/>
  <c r="I830" i="1"/>
  <c r="I831" i="1"/>
  <c r="I832" i="1"/>
  <c r="W832" i="1" s="1"/>
  <c r="I835" i="1"/>
  <c r="W835" i="1" s="1"/>
  <c r="I836" i="1"/>
  <c r="W836" i="1" s="1"/>
  <c r="I837" i="1"/>
  <c r="W837" i="1" s="1"/>
  <c r="I840" i="1"/>
  <c r="W840" i="1" s="1"/>
  <c r="I841" i="1"/>
  <c r="W841" i="1" s="1"/>
  <c r="I844" i="1"/>
  <c r="I845" i="1"/>
  <c r="W845" i="1" s="1"/>
  <c r="I846" i="1"/>
  <c r="W846" i="1" s="1"/>
  <c r="I849" i="1"/>
  <c r="W849" i="1" s="1"/>
  <c r="I850" i="1"/>
  <c r="W850" i="1" s="1"/>
  <c r="I851" i="1"/>
  <c r="W851" i="1" s="1"/>
  <c r="I852" i="1"/>
  <c r="W852" i="1" s="1"/>
  <c r="I855" i="1"/>
  <c r="W855" i="1" s="1"/>
  <c r="I858" i="1"/>
  <c r="I859" i="1"/>
  <c r="W859" i="1" s="1"/>
  <c r="I860" i="1"/>
  <c r="W860" i="1" s="1"/>
  <c r="I861" i="1"/>
  <c r="I862" i="1"/>
  <c r="W862" i="1" s="1"/>
  <c r="I863" i="1"/>
  <c r="I864" i="1"/>
  <c r="W864" i="1" s="1"/>
  <c r="I865" i="1"/>
  <c r="W865" i="1" s="1"/>
  <c r="I866" i="1"/>
  <c r="W866" i="1" s="1"/>
  <c r="I869" i="1"/>
  <c r="W869" i="1" s="1"/>
  <c r="I871" i="1"/>
  <c r="W871" i="1" s="1"/>
  <c r="I874" i="1"/>
  <c r="W874" i="1" s="1"/>
  <c r="I877" i="1"/>
  <c r="W877" i="1" s="1"/>
  <c r="I878" i="1"/>
  <c r="I879" i="1"/>
  <c r="W879" i="1" s="1"/>
  <c r="I880" i="1"/>
  <c r="W880" i="1" s="1"/>
  <c r="I885" i="1"/>
  <c r="W885" i="1" s="1"/>
  <c r="I888" i="1"/>
  <c r="W888" i="1" s="1"/>
  <c r="I889" i="1"/>
  <c r="W889" i="1" s="1"/>
  <c r="I901" i="1"/>
  <c r="W901" i="1" s="1"/>
  <c r="I902" i="1"/>
  <c r="W902" i="1" s="1"/>
  <c r="I903" i="1"/>
  <c r="W903" i="1" s="1"/>
  <c r="I906" i="1"/>
  <c r="W906" i="1" s="1"/>
  <c r="I910" i="1"/>
  <c r="W910" i="1" s="1"/>
  <c r="I911" i="1"/>
  <c r="W911" i="1" s="1"/>
  <c r="I914" i="1"/>
  <c r="W914" i="1" s="1"/>
  <c r="I917" i="1"/>
  <c r="W917" i="1" s="1"/>
  <c r="I918" i="1"/>
  <c r="I919" i="1"/>
  <c r="W919" i="1" s="1"/>
  <c r="I922" i="1"/>
  <c r="W922" i="1" s="1"/>
  <c r="I923" i="1"/>
  <c r="W923" i="1" s="1"/>
  <c r="I926" i="1"/>
  <c r="W926" i="1" s="1"/>
  <c r="I927" i="1"/>
  <c r="W927" i="1" s="1"/>
  <c r="I930" i="1"/>
  <c r="W930" i="1" s="1"/>
  <c r="I933" i="1"/>
  <c r="W933" i="1" s="1"/>
  <c r="I934" i="1"/>
  <c r="W934" i="1" s="1"/>
  <c r="I937" i="1"/>
  <c r="I938" i="1"/>
  <c r="W938" i="1" s="1"/>
  <c r="I939" i="1"/>
  <c r="W939" i="1" s="1"/>
  <c r="I940" i="1"/>
  <c r="W940" i="1" s="1"/>
  <c r="I941" i="1"/>
  <c r="W941" i="1" s="1"/>
  <c r="I945" i="1"/>
  <c r="W945" i="1" s="1"/>
  <c r="I948" i="1"/>
  <c r="W948" i="1" s="1"/>
  <c r="I951" i="1"/>
  <c r="W951" i="1" s="1"/>
  <c r="I953" i="1"/>
  <c r="W953" i="1" s="1"/>
  <c r="I954" i="1"/>
  <c r="W954" i="1" s="1"/>
  <c r="I955" i="1"/>
  <c r="W955" i="1" s="1"/>
  <c r="I959" i="1"/>
  <c r="W959" i="1" s="1"/>
  <c r="I960" i="1"/>
  <c r="W960" i="1" s="1"/>
  <c r="I961" i="1"/>
  <c r="W961" i="1" s="1"/>
  <c r="I962" i="1"/>
  <c r="W962" i="1" s="1"/>
  <c r="I965" i="1"/>
  <c r="W965" i="1" s="1"/>
  <c r="I966" i="1"/>
  <c r="W966" i="1" s="1"/>
  <c r="I967" i="1"/>
  <c r="W967" i="1" s="1"/>
  <c r="I970" i="1"/>
  <c r="W970" i="1" s="1"/>
  <c r="I973" i="1"/>
  <c r="W973" i="1" s="1"/>
  <c r="I976" i="1"/>
  <c r="W976" i="1" s="1"/>
  <c r="I979" i="1"/>
  <c r="W979" i="1" s="1"/>
  <c r="I980" i="1"/>
  <c r="W980" i="1" s="1"/>
  <c r="I981" i="1"/>
  <c r="W981" i="1" s="1"/>
  <c r="I985" i="1"/>
  <c r="W985" i="1" s="1"/>
  <c r="I988" i="1"/>
  <c r="W988" i="1" s="1"/>
  <c r="I989" i="1"/>
  <c r="W989" i="1" s="1"/>
  <c r="I990" i="1"/>
  <c r="W990" i="1" s="1"/>
  <c r="I993" i="1"/>
  <c r="W993" i="1" s="1"/>
  <c r="I994" i="1"/>
  <c r="W994" i="1" s="1"/>
  <c r="I995" i="1"/>
  <c r="W995" i="1" s="1"/>
  <c r="I996" i="1"/>
  <c r="W996" i="1" s="1"/>
  <c r="I997" i="1"/>
  <c r="W997" i="1" s="1"/>
  <c r="I998" i="1"/>
  <c r="W998" i="1" s="1"/>
  <c r="I1001" i="1"/>
  <c r="W1001" i="1" s="1"/>
  <c r="I1005" i="1"/>
  <c r="W1005" i="1" s="1"/>
  <c r="I1009" i="1"/>
  <c r="W1009" i="1" s="1"/>
  <c r="I1012" i="1"/>
  <c r="W1012" i="1" s="1"/>
  <c r="I1013" i="1"/>
  <c r="W1013" i="1" s="1"/>
  <c r="I1014" i="1"/>
  <c r="W1014" i="1" s="1"/>
  <c r="I1015" i="1"/>
  <c r="W1015" i="1" s="1"/>
  <c r="I1019" i="1"/>
  <c r="W1019" i="1" s="1"/>
  <c r="I1020" i="1"/>
  <c r="W1020" i="1" s="1"/>
  <c r="I1023" i="1"/>
  <c r="W1023" i="1" s="1"/>
  <c r="I1024" i="1"/>
  <c r="W1024" i="1" s="1"/>
  <c r="I1025" i="1"/>
  <c r="W1025" i="1" s="1"/>
  <c r="I1029" i="1"/>
  <c r="W1029" i="1" s="1"/>
  <c r="I1033" i="1"/>
  <c r="W1033" i="1" s="1"/>
  <c r="I1036" i="1"/>
  <c r="W1036" i="1" s="1"/>
  <c r="I1039" i="1"/>
  <c r="W1039" i="1" s="1"/>
  <c r="I1040" i="1"/>
  <c r="W1040" i="1" s="1"/>
  <c r="I1043" i="1"/>
  <c r="W1043" i="1" s="1"/>
  <c r="I1046" i="1"/>
  <c r="W1046" i="1" s="1"/>
  <c r="I1047" i="1"/>
  <c r="W1047" i="1" s="1"/>
  <c r="I1048" i="1"/>
  <c r="W1048" i="1" s="1"/>
  <c r="I1049" i="1"/>
  <c r="W1049" i="1" s="1"/>
  <c r="I1052" i="1"/>
  <c r="W1052" i="1" s="1"/>
  <c r="I1055" i="1"/>
  <c r="W1055" i="1" s="1"/>
  <c r="I1058" i="1"/>
  <c r="W1058" i="1" s="1"/>
  <c r="I1061" i="1"/>
  <c r="W1061" i="1" s="1"/>
  <c r="I1069" i="1"/>
  <c r="W1069" i="1" s="1"/>
  <c r="I1073" i="1"/>
  <c r="W1073" i="1" s="1"/>
  <c r="I1076" i="1"/>
  <c r="W1076" i="1" s="1"/>
  <c r="I1079" i="1"/>
  <c r="W1079" i="1" s="1"/>
  <c r="I1086" i="1"/>
  <c r="W1086" i="1" s="1"/>
  <c r="I1089" i="1"/>
  <c r="W1089" i="1" s="1"/>
  <c r="I1090" i="1"/>
  <c r="W1090" i="1" s="1"/>
  <c r="I1094" i="1"/>
  <c r="W1094" i="1" s="1"/>
  <c r="I1097" i="1"/>
  <c r="W1097" i="1" s="1"/>
  <c r="I1064" i="1"/>
  <c r="W1064" i="1" s="1"/>
  <c r="I1065" i="1"/>
  <c r="W1065" i="1" s="1"/>
  <c r="I1066" i="1"/>
  <c r="W1066" i="1" s="1"/>
  <c r="I1106" i="1"/>
  <c r="W1106" i="1" s="1"/>
  <c r="I1107" i="1"/>
  <c r="W1107" i="1" s="1"/>
  <c r="I1113" i="1"/>
  <c r="W1113" i="1" s="1"/>
  <c r="I1117" i="1"/>
  <c r="W1117" i="1" s="1"/>
  <c r="I1120" i="1"/>
  <c r="W1120" i="1" s="1"/>
  <c r="I1121" i="1"/>
  <c r="W1121" i="1" s="1"/>
  <c r="I1122" i="1"/>
  <c r="W1122" i="1" s="1"/>
  <c r="I1125" i="1"/>
  <c r="W1125" i="1" s="1"/>
  <c r="I1126" i="1"/>
  <c r="W1126" i="1" s="1"/>
  <c r="I1127" i="1"/>
  <c r="W1127" i="1" s="1"/>
  <c r="I1131" i="1"/>
  <c r="W1131" i="1" s="1"/>
  <c r="I1130" i="1"/>
  <c r="W1130" i="1" s="1"/>
  <c r="I1134" i="1"/>
  <c r="W1134" i="1" s="1"/>
  <c r="I1135" i="1"/>
  <c r="W1135" i="1" s="1"/>
  <c r="I1136" i="1"/>
  <c r="I1137" i="1"/>
  <c r="W1137" i="1" s="1"/>
  <c r="I1138" i="1"/>
  <c r="W1138" i="1" s="1"/>
  <c r="I1139" i="1"/>
  <c r="W1139" i="1" s="1"/>
  <c r="I1143" i="1"/>
  <c r="W1143" i="1" s="1"/>
  <c r="I1144" i="1"/>
  <c r="W1144" i="1" s="1"/>
  <c r="I1145" i="1"/>
  <c r="W1145" i="1" s="1"/>
  <c r="I1146" i="1"/>
  <c r="W1146" i="1" s="1"/>
  <c r="I1149" i="1"/>
  <c r="W1149" i="1" s="1"/>
  <c r="I1150" i="1"/>
  <c r="W1150" i="1" s="1"/>
  <c r="I1151" i="1"/>
  <c r="W1151" i="1" s="1"/>
  <c r="I1154" i="1"/>
  <c r="W1154" i="1" s="1"/>
  <c r="I1157" i="1"/>
  <c r="I1158" i="1"/>
  <c r="W1158" i="1" s="1"/>
  <c r="I1161" i="1"/>
  <c r="W1161" i="1" s="1"/>
  <c r="I1162" i="1"/>
  <c r="W1162" i="1" s="1"/>
  <c r="I1165" i="1"/>
  <c r="W1165" i="1" s="1"/>
  <c r="I1168" i="1"/>
  <c r="W1168" i="1" s="1"/>
  <c r="I1169" i="1"/>
  <c r="W1169" i="1" s="1"/>
  <c r="I1170" i="1"/>
  <c r="W1170" i="1" s="1"/>
  <c r="I1171" i="1"/>
  <c r="W1171" i="1" s="1"/>
  <c r="I1174" i="1"/>
  <c r="W1174" i="1" s="1"/>
  <c r="I1175" i="1"/>
  <c r="W1175" i="1" s="1"/>
  <c r="I1178" i="1"/>
  <c r="W1178" i="1" s="1"/>
  <c r="I1181" i="1"/>
  <c r="W1181" i="1" s="1"/>
  <c r="I1182" i="1"/>
  <c r="W1182" i="1" s="1"/>
  <c r="I1185" i="1"/>
  <c r="I1186" i="1"/>
  <c r="W1186" i="1" s="1"/>
  <c r="I1189" i="1"/>
  <c r="W1189" i="1" s="1"/>
  <c r="I1192" i="1"/>
  <c r="W1192" i="1" s="1"/>
  <c r="I1195" i="1"/>
  <c r="W1195" i="1" s="1"/>
  <c r="I1198" i="1"/>
  <c r="W1198" i="1" s="1"/>
  <c r="I1199" i="1"/>
  <c r="I1200" i="1"/>
  <c r="W1200" i="1" s="1"/>
  <c r="I1201" i="1"/>
  <c r="W1201" i="1" s="1"/>
  <c r="I1203" i="1"/>
  <c r="W1203" i="1" s="1"/>
  <c r="I1206" i="1"/>
  <c r="W1206" i="1" s="1"/>
  <c r="I1209" i="1"/>
  <c r="W1209" i="1" s="1"/>
  <c r="I1210" i="1"/>
  <c r="I1211" i="1"/>
  <c r="W1211" i="1" s="1"/>
  <c r="I1214" i="1"/>
  <c r="W1214" i="1" s="1"/>
  <c r="I1217" i="1"/>
  <c r="W1217" i="1" s="1"/>
  <c r="I1218" i="1"/>
  <c r="W1218" i="1" s="1"/>
  <c r="I1221" i="1"/>
  <c r="I1224" i="1"/>
  <c r="W1224" i="1" s="1"/>
  <c r="I1225" i="1"/>
  <c r="W1225" i="1" s="1"/>
  <c r="I1228" i="1"/>
  <c r="W1228" i="1" s="1"/>
  <c r="I1229" i="1"/>
  <c r="W1229" i="1" s="1"/>
  <c r="I1230" i="1"/>
  <c r="W1230" i="1" s="1"/>
  <c r="I1233" i="1"/>
  <c r="W1233" i="1" s="1"/>
  <c r="I1236" i="1"/>
  <c r="W1236" i="1" s="1"/>
  <c r="I1239" i="1"/>
  <c r="W1239" i="1" s="1"/>
  <c r="I1240" i="1"/>
  <c r="W1240" i="1" s="1"/>
  <c r="I1243" i="1"/>
  <c r="W1243" i="1" s="1"/>
  <c r="I1246" i="1"/>
  <c r="W1246" i="1" s="1"/>
  <c r="I1249" i="1"/>
  <c r="W1249" i="1" s="1"/>
  <c r="I1252" i="1"/>
  <c r="W1252" i="1" s="1"/>
  <c r="I1253" i="1"/>
  <c r="W1253" i="1" s="1"/>
  <c r="I1256" i="1"/>
  <c r="W1256" i="1" s="1"/>
  <c r="I1257" i="1"/>
  <c r="W1257" i="1" s="1"/>
  <c r="I1260" i="1"/>
  <c r="W1260" i="1" s="1"/>
  <c r="I1263" i="1"/>
  <c r="W1263" i="1" s="1"/>
  <c r="I1266" i="1"/>
  <c r="W1266" i="1" s="1"/>
  <c r="I1269" i="1"/>
  <c r="W1269" i="1" s="1"/>
  <c r="I1272" i="1"/>
  <c r="W1272" i="1" s="1"/>
  <c r="I1273" i="1"/>
  <c r="W1273" i="1" s="1"/>
  <c r="I1276" i="1"/>
  <c r="W1276" i="1" s="1"/>
  <c r="I1279" i="1"/>
  <c r="W1279" i="1" s="1"/>
  <c r="I1280" i="1"/>
  <c r="W1280" i="1" s="1"/>
  <c r="I1283" i="1"/>
  <c r="W1283" i="1" s="1"/>
  <c r="I1284" i="1"/>
  <c r="W1284" i="1" s="1"/>
  <c r="I1287" i="1"/>
  <c r="W1287" i="1" s="1"/>
  <c r="I1288" i="1"/>
  <c r="W1288" i="1" s="1"/>
  <c r="I1291" i="1"/>
  <c r="W1291" i="1" s="1"/>
  <c r="I1292" i="1"/>
  <c r="W1292" i="1" s="1"/>
  <c r="I1295" i="1"/>
  <c r="W1295" i="1" s="1"/>
  <c r="I1296" i="1"/>
  <c r="W1296" i="1" s="1"/>
  <c r="I1297" i="1"/>
  <c r="W1297" i="1" s="1"/>
  <c r="I1298" i="1"/>
  <c r="W1298" i="1" s="1"/>
  <c r="I1301" i="1"/>
  <c r="W1301" i="1" s="1"/>
  <c r="I1304" i="1"/>
  <c r="W1304" i="1" s="1"/>
  <c r="I1305" i="1"/>
  <c r="W1305" i="1" s="1"/>
  <c r="I1306" i="1"/>
  <c r="W1306" i="1" s="1"/>
  <c r="I1309" i="1"/>
  <c r="W1309" i="1" s="1"/>
  <c r="I1310" i="1"/>
  <c r="W1310" i="1" s="1"/>
  <c r="I1311" i="1"/>
  <c r="W1311" i="1" s="1"/>
  <c r="I1314" i="1"/>
  <c r="W1314" i="1" s="1"/>
  <c r="I1317" i="1"/>
  <c r="W1317" i="1" s="1"/>
  <c r="I1318" i="1"/>
  <c r="W1318" i="1" s="1"/>
  <c r="I1321" i="1"/>
  <c r="W1321" i="1" s="1"/>
  <c r="I1322" i="1"/>
  <c r="I1323" i="1"/>
  <c r="W1323" i="1" s="1"/>
  <c r="I1326" i="1"/>
  <c r="W1326" i="1" s="1"/>
  <c r="I1331" i="1"/>
  <c r="W1331" i="1" s="1"/>
  <c r="I1332" i="1"/>
  <c r="W1332" i="1" s="1"/>
  <c r="I1335" i="1"/>
  <c r="W1335" i="1" s="1"/>
  <c r="I1338" i="1"/>
  <c r="W1338" i="1" s="1"/>
  <c r="I1341" i="1"/>
  <c r="W1341" i="1" s="1"/>
  <c r="I1344" i="1"/>
  <c r="W1344" i="1" s="1"/>
  <c r="I1347" i="1"/>
  <c r="W1347" i="1" s="1"/>
  <c r="I1353" i="1"/>
  <c r="W1353" i="1" s="1"/>
  <c r="I1356" i="1"/>
  <c r="W1356" i="1" s="1"/>
  <c r="I1359" i="1"/>
  <c r="W1359" i="1" s="1"/>
  <c r="I1363" i="1"/>
  <c r="W1363" i="1" s="1"/>
  <c r="I1365" i="1"/>
  <c r="W1365" i="1" s="1"/>
  <c r="I1368" i="1"/>
  <c r="W1368" i="1" s="1"/>
  <c r="I1369" i="1"/>
  <c r="W1369" i="1" s="1"/>
  <c r="I1370" i="1"/>
  <c r="W1370" i="1" s="1"/>
  <c r="I1373" i="1"/>
  <c r="W1373" i="1" s="1"/>
  <c r="I1374" i="1"/>
  <c r="W1374" i="1" s="1"/>
  <c r="I1375" i="1"/>
  <c r="I1376" i="1"/>
  <c r="W1376" i="1" s="1"/>
  <c r="I1377" i="1"/>
  <c r="W1377" i="1" s="1"/>
  <c r="I1378" i="1"/>
  <c r="W1378" i="1" s="1"/>
  <c r="I1379" i="1"/>
  <c r="W1379" i="1" s="1"/>
  <c r="I1382" i="1"/>
  <c r="W1382" i="1" s="1"/>
  <c r="I1387" i="1"/>
  <c r="W1387" i="1" s="1"/>
  <c r="I1390" i="1"/>
  <c r="W1390" i="1" s="1"/>
  <c r="I1393" i="1"/>
  <c r="W1393" i="1" s="1"/>
  <c r="I1396" i="1"/>
  <c r="W1396" i="1" s="1"/>
  <c r="I1399" i="1"/>
  <c r="W1399" i="1" s="1"/>
  <c r="I1411" i="1"/>
  <c r="W1411" i="1" s="1"/>
  <c r="I1421" i="1"/>
  <c r="W1421" i="1" s="1"/>
  <c r="I1423" i="1"/>
  <c r="W1423" i="1" s="1"/>
  <c r="I1426" i="1"/>
  <c r="W1426" i="1" s="1"/>
  <c r="I1429" i="1"/>
  <c r="W1429" i="1" s="1"/>
  <c r="I1433" i="1"/>
  <c r="W1433" i="1" s="1"/>
  <c r="I1436" i="1"/>
  <c r="W1436" i="1" s="1"/>
  <c r="I1437" i="1"/>
  <c r="W1437" i="1" s="1"/>
  <c r="I1438" i="1"/>
  <c r="W1438" i="1" s="1"/>
  <c r="I1441" i="1"/>
  <c r="W1441" i="1" s="1"/>
  <c r="I1444" i="1"/>
  <c r="W1444" i="1" s="1"/>
  <c r="I1445" i="1"/>
  <c r="W1445" i="1" s="1"/>
  <c r="I1448" i="1"/>
  <c r="W1448" i="1" s="1"/>
  <c r="I1451" i="1"/>
  <c r="W1451" i="1" s="1"/>
  <c r="I1454" i="1"/>
  <c r="W1454" i="1" s="1"/>
  <c r="I1455" i="1"/>
  <c r="W1455" i="1" s="1"/>
  <c r="I1456" i="1"/>
  <c r="W1456" i="1" s="1"/>
  <c r="I1459" i="1"/>
  <c r="W1459" i="1" s="1"/>
  <c r="I1462" i="1"/>
  <c r="W1462" i="1" s="1"/>
  <c r="I1463" i="1"/>
  <c r="W1463" i="1" s="1"/>
  <c r="I1474" i="1"/>
  <c r="W1474" i="1" s="1"/>
  <c r="I1475" i="1"/>
  <c r="W1475" i="1" s="1"/>
  <c r="I1478" i="1"/>
  <c r="W1478" i="1" s="1"/>
  <c r="I1484" i="1"/>
  <c r="W1484" i="1" s="1"/>
  <c r="I1487" i="1"/>
  <c r="W1487" i="1" s="1"/>
  <c r="I1481" i="1"/>
  <c r="W1481" i="1" s="1"/>
  <c r="I1490" i="1"/>
  <c r="W1490" i="1" s="1"/>
  <c r="I1496" i="1"/>
  <c r="W1496" i="1" s="1"/>
  <c r="I1497" i="1"/>
  <c r="W1497" i="1" s="1"/>
  <c r="I1500" i="1"/>
  <c r="W1500" i="1" s="1"/>
  <c r="I1501" i="1"/>
  <c r="W1501" i="1" s="1"/>
  <c r="I1504" i="1"/>
  <c r="W1504" i="1" s="1"/>
  <c r="I1508" i="1"/>
  <c r="W1508" i="1" s="1"/>
  <c r="I1511" i="1"/>
  <c r="W1511" i="1" s="1"/>
  <c r="I1512" i="1"/>
  <c r="W1512" i="1" s="1"/>
  <c r="I1516" i="1"/>
  <c r="W1516" i="1" s="1"/>
  <c r="I1519" i="1"/>
  <c r="W1519" i="1" s="1"/>
  <c r="I1522" i="1"/>
  <c r="W1522" i="1" s="1"/>
  <c r="I1523" i="1"/>
  <c r="W1523" i="1" s="1"/>
  <c r="I1526" i="1"/>
  <c r="W1526" i="1" s="1"/>
  <c r="I1527" i="1"/>
  <c r="W1527" i="1" s="1"/>
  <c r="I1528" i="1"/>
  <c r="W1528" i="1" s="1"/>
  <c r="I1529" i="1"/>
  <c r="W1529" i="1" s="1"/>
  <c r="I1532" i="1"/>
  <c r="W1532" i="1" s="1"/>
  <c r="I1535" i="1"/>
  <c r="W1535" i="1" s="1"/>
  <c r="I1536" i="1"/>
  <c r="W1536" i="1" s="1"/>
  <c r="I1537" i="1"/>
  <c r="W1537" i="1" s="1"/>
  <c r="I1540" i="1"/>
  <c r="W1540" i="1" s="1"/>
  <c r="I1541" i="1"/>
  <c r="W1541" i="1" s="1"/>
  <c r="I1544" i="1"/>
  <c r="W1544" i="1" s="1"/>
  <c r="I1546" i="1"/>
  <c r="W1546" i="1" s="1"/>
  <c r="I1552" i="1"/>
  <c r="W1552" i="1" s="1"/>
  <c r="I1555" i="1"/>
  <c r="W1555" i="1" s="1"/>
  <c r="I1556" i="1"/>
  <c r="W1556" i="1" s="1"/>
  <c r="I1559" i="1"/>
  <c r="W1559" i="1" s="1"/>
  <c r="I1560" i="1"/>
  <c r="W1560" i="1" s="1"/>
  <c r="I1563" i="1"/>
  <c r="W1563" i="1" s="1"/>
  <c r="I1564" i="1"/>
  <c r="W1564" i="1" s="1"/>
  <c r="I1565" i="1"/>
  <c r="W1565" i="1" s="1"/>
  <c r="I1568" i="1"/>
  <c r="W1568" i="1" s="1"/>
  <c r="I1574" i="1"/>
  <c r="W1574" i="1" s="1"/>
  <c r="I1577" i="1"/>
  <c r="W1577" i="1" s="1"/>
  <c r="I1578" i="1"/>
  <c r="W1578" i="1" s="1"/>
  <c r="I1584" i="1"/>
  <c r="W1584" i="1" s="1"/>
  <c r="I1585" i="1"/>
  <c r="W1585" i="1" s="1"/>
  <c r="I1588" i="1"/>
  <c r="W1588" i="1" s="1"/>
  <c r="I1597" i="1"/>
  <c r="W1597" i="1" s="1"/>
  <c r="I1600" i="1"/>
  <c r="W1600" i="1" s="1"/>
  <c r="I1601" i="1"/>
  <c r="W1601" i="1" s="1"/>
  <c r="I1602" i="1"/>
  <c r="W1602" i="1" s="1"/>
  <c r="I1603" i="1"/>
  <c r="W1603" i="1" s="1"/>
  <c r="I1606" i="1"/>
  <c r="I1608" i="1"/>
  <c r="W1608" i="1" s="1"/>
  <c r="I1609" i="1"/>
  <c r="W1609" i="1" s="1"/>
  <c r="I1610" i="1"/>
  <c r="W1610" i="1" s="1"/>
  <c r="I1615" i="1"/>
  <c r="W1615" i="1" s="1"/>
  <c r="I1621" i="1"/>
  <c r="W1621" i="1" s="1"/>
  <c r="I1622" i="1"/>
  <c r="W1622" i="1" s="1"/>
  <c r="I1625" i="1"/>
  <c r="W1625" i="1" s="1"/>
  <c r="I1634" i="1"/>
  <c r="W1634" i="1" s="1"/>
  <c r="I1635" i="1"/>
  <c r="W1635" i="1" s="1"/>
  <c r="I1636" i="1"/>
  <c r="W1636" i="1" s="1"/>
  <c r="I1639" i="1"/>
  <c r="W1639" i="1" s="1"/>
  <c r="I1640" i="1"/>
  <c r="W1640" i="1" s="1"/>
  <c r="I1643" i="1"/>
  <c r="W1643" i="1" s="1"/>
  <c r="I1646" i="1"/>
  <c r="W1646" i="1" s="1"/>
  <c r="I1649" i="1"/>
  <c r="W1649" i="1" s="1"/>
  <c r="I1650" i="1"/>
  <c r="W1650" i="1" s="1"/>
  <c r="I1653" i="1"/>
  <c r="W1653" i="1" s="1"/>
  <c r="I1654" i="1"/>
  <c r="W1654" i="1" s="1"/>
  <c r="I1657" i="1"/>
  <c r="W1657" i="1" s="1"/>
  <c r="I1658" i="1"/>
  <c r="W1658" i="1" s="1"/>
  <c r="I1659" i="1"/>
  <c r="W1659" i="1" s="1"/>
  <c r="I1669" i="1"/>
  <c r="W1669" i="1" s="1"/>
  <c r="I1672" i="1"/>
  <c r="W1672" i="1" s="1"/>
  <c r="I1673" i="1"/>
  <c r="W1673" i="1" s="1"/>
  <c r="I1676" i="1"/>
  <c r="W1676" i="1" s="1"/>
  <c r="I1677" i="1"/>
  <c r="W1677" i="1" s="1"/>
  <c r="I1680" i="1"/>
  <c r="W1680" i="1" s="1"/>
  <c r="I1681" i="1"/>
  <c r="W1681" i="1" s="1"/>
  <c r="I1684" i="1"/>
  <c r="W1684" i="1" s="1"/>
  <c r="I1685" i="1"/>
  <c r="W1685" i="1" s="1"/>
  <c r="I1688" i="1"/>
  <c r="W1688" i="1" s="1"/>
  <c r="I1689" i="1"/>
  <c r="W1689" i="1" s="1"/>
  <c r="I1690" i="1"/>
  <c r="W1690" i="1" s="1"/>
  <c r="I1694" i="1"/>
  <c r="W1694" i="1" s="1"/>
  <c r="I1697" i="1"/>
  <c r="W1697" i="1" s="1"/>
  <c r="I1700" i="1"/>
  <c r="W1700" i="1" s="1"/>
  <c r="I1703" i="1"/>
  <c r="W1703" i="1" s="1"/>
  <c r="I1704" i="1"/>
  <c r="W1704" i="1" s="1"/>
  <c r="I1707" i="1"/>
  <c r="W1707" i="1" s="1"/>
  <c r="I1708" i="1"/>
  <c r="W1708" i="1" s="1"/>
  <c r="I1714" i="1"/>
  <c r="W1714" i="1" s="1"/>
  <c r="I1715" i="1"/>
  <c r="W1715" i="1" s="1"/>
  <c r="I1718" i="1"/>
  <c r="W1718" i="1" s="1"/>
  <c r="I1721" i="1"/>
  <c r="W1721" i="1" s="1"/>
  <c r="I1724" i="1"/>
  <c r="W1724" i="1" s="1"/>
  <c r="I1742" i="1"/>
  <c r="W1742" i="1" s="1"/>
  <c r="I1745" i="1"/>
  <c r="I1754" i="1"/>
  <c r="W1754" i="1" s="1"/>
  <c r="I1755" i="1"/>
  <c r="J1755" i="1" s="1"/>
  <c r="K1755" i="1" s="1"/>
  <c r="I1760" i="1"/>
  <c r="W1760" i="1" s="1"/>
  <c r="I1763" i="1"/>
  <c r="W1763" i="1" s="1"/>
  <c r="I1766" i="1"/>
  <c r="W1766" i="1" s="1"/>
  <c r="I1769" i="1"/>
  <c r="W1769" i="1" s="1"/>
  <c r="I1772" i="1"/>
  <c r="W1772" i="1" s="1"/>
  <c r="AD312" i="1"/>
  <c r="AH312" i="1" s="1"/>
  <c r="AJ312" i="1"/>
  <c r="AI312" i="1"/>
  <c r="AE312" i="1"/>
  <c r="AB312" i="1"/>
  <c r="Z312" i="1"/>
  <c r="V312" i="1"/>
  <c r="S312" i="1"/>
  <c r="AD311" i="1"/>
  <c r="AL311" i="1" s="1"/>
  <c r="AJ311" i="1"/>
  <c r="AI311" i="1"/>
  <c r="AE311" i="1"/>
  <c r="AB311" i="1"/>
  <c r="Z311" i="1"/>
  <c r="X311" i="1"/>
  <c r="V311" i="1"/>
  <c r="U311" i="1"/>
  <c r="T311" i="1"/>
  <c r="S311" i="1"/>
  <c r="AD310" i="1"/>
  <c r="AH310" i="1" s="1"/>
  <c r="AJ310" i="1"/>
  <c r="AI310" i="1"/>
  <c r="AE310" i="1"/>
  <c r="AB310" i="1"/>
  <c r="Z310" i="1"/>
  <c r="V310" i="1"/>
  <c r="AD416" i="1"/>
  <c r="AJ416" i="1"/>
  <c r="AI416" i="1"/>
  <c r="AE416" i="1"/>
  <c r="AB416" i="1"/>
  <c r="Z416" i="1"/>
  <c r="V416" i="1"/>
  <c r="S416" i="1"/>
  <c r="R416" i="1"/>
  <c r="P416" i="1"/>
  <c r="AD415" i="1"/>
  <c r="AH415" i="1" s="1"/>
  <c r="X415" i="1"/>
  <c r="X23" i="1"/>
  <c r="X26" i="1"/>
  <c r="X27" i="1"/>
  <c r="X34" i="1"/>
  <c r="X36" i="1"/>
  <c r="X37" i="1"/>
  <c r="X41" i="1"/>
  <c r="X46" i="1"/>
  <c r="X49" i="1"/>
  <c r="X55" i="1"/>
  <c r="X56" i="1"/>
  <c r="X57" i="1"/>
  <c r="X60" i="1"/>
  <c r="X63" i="1"/>
  <c r="X67" i="1"/>
  <c r="X70" i="1"/>
  <c r="X73" i="1"/>
  <c r="X74" i="1"/>
  <c r="X76" i="1"/>
  <c r="X77" i="1"/>
  <c r="X78" i="1"/>
  <c r="X81" i="1"/>
  <c r="X84" i="1"/>
  <c r="X85" i="1"/>
  <c r="X90" i="1"/>
  <c r="X96" i="1"/>
  <c r="X98" i="1"/>
  <c r="X99" i="1"/>
  <c r="X102" i="1"/>
  <c r="X103" i="1"/>
  <c r="X106" i="1"/>
  <c r="X110" i="1"/>
  <c r="X113" i="1"/>
  <c r="X115" i="1"/>
  <c r="X116" i="1"/>
  <c r="X117" i="1"/>
  <c r="X118" i="1"/>
  <c r="X124" i="1"/>
  <c r="X127" i="1"/>
  <c r="X128" i="1"/>
  <c r="X129" i="1"/>
  <c r="X132" i="1"/>
  <c r="X133" i="1"/>
  <c r="X134" i="1"/>
  <c r="X135" i="1"/>
  <c r="X139" i="1"/>
  <c r="X140" i="1"/>
  <c r="X141" i="1"/>
  <c r="X142" i="1"/>
  <c r="X151" i="1"/>
  <c r="X152" i="1"/>
  <c r="X153" i="1"/>
  <c r="X154" i="1"/>
  <c r="X155" i="1"/>
  <c r="X156" i="1"/>
  <c r="X157" i="1"/>
  <c r="X158" i="1"/>
  <c r="X161" i="1"/>
  <c r="X162" i="1"/>
  <c r="X167" i="1"/>
  <c r="X168" i="1"/>
  <c r="X171" i="1"/>
  <c r="X172" i="1"/>
  <c r="X175" i="1"/>
  <c r="X176" i="1"/>
  <c r="X177" i="1"/>
  <c r="X178" i="1"/>
  <c r="X181" i="1"/>
  <c r="X182" i="1"/>
  <c r="X183" i="1"/>
  <c r="X186" i="1"/>
  <c r="X189" i="1"/>
  <c r="X192" i="1"/>
  <c r="X193" i="1"/>
  <c r="X194" i="1"/>
  <c r="X196" i="1"/>
  <c r="X198" i="1"/>
  <c r="X199" i="1"/>
  <c r="X201" i="1"/>
  <c r="X202" i="1"/>
  <c r="X205" i="1"/>
  <c r="X206" i="1"/>
  <c r="X207" i="1"/>
  <c r="X210" i="1"/>
  <c r="X211" i="1"/>
  <c r="X212" i="1"/>
  <c r="X215" i="1"/>
  <c r="X216" i="1"/>
  <c r="X219" i="1"/>
  <c r="X222" i="1"/>
  <c r="X224" i="1"/>
  <c r="X230" i="1"/>
  <c r="X231" i="1"/>
  <c r="X232" i="1"/>
  <c r="X233" i="1"/>
  <c r="X234" i="1"/>
  <c r="X235" i="1"/>
  <c r="X239" i="1"/>
  <c r="X240" i="1"/>
  <c r="X241" i="1"/>
  <c r="X248" i="1"/>
  <c r="X249" i="1"/>
  <c r="X250" i="1"/>
  <c r="X252" i="1"/>
  <c r="X253" i="1"/>
  <c r="X254" i="1"/>
  <c r="X257" i="1"/>
  <c r="X258" i="1"/>
  <c r="X259" i="1"/>
  <c r="X260" i="1"/>
  <c r="X263" i="1"/>
  <c r="X266" i="1"/>
  <c r="X267" i="1"/>
  <c r="X268" i="1"/>
  <c r="X272" i="1"/>
  <c r="X275" i="1"/>
  <c r="X277" i="1"/>
  <c r="X278" i="1"/>
  <c r="X281" i="1"/>
  <c r="X282" i="1"/>
  <c r="X283" i="1"/>
  <c r="X284" i="1"/>
  <c r="X287" i="1"/>
  <c r="X288" i="1"/>
  <c r="X292" i="1"/>
  <c r="X297" i="1"/>
  <c r="X298" i="1"/>
  <c r="X299" i="1"/>
  <c r="X301" i="1"/>
  <c r="X304" i="1"/>
  <c r="X305" i="1"/>
  <c r="X308" i="1"/>
  <c r="X318" i="1"/>
  <c r="X316" i="1"/>
  <c r="X329" i="1"/>
  <c r="X330" i="1"/>
  <c r="X331" i="1"/>
  <c r="X334" i="1"/>
  <c r="X335" i="1"/>
  <c r="X336" i="1"/>
  <c r="X339" i="1"/>
  <c r="X343" i="1"/>
  <c r="X344" i="1"/>
  <c r="X347" i="1"/>
  <c r="X348" i="1"/>
  <c r="X351" i="1"/>
  <c r="X352" i="1"/>
  <c r="X355" i="1"/>
  <c r="X356" i="1"/>
  <c r="X357" i="1"/>
  <c r="X364" i="1"/>
  <c r="X367" i="1"/>
  <c r="X370" i="1"/>
  <c r="X372" i="1"/>
  <c r="X375" i="1"/>
  <c r="X378" i="1"/>
  <c r="X381" i="1"/>
  <c r="X379" i="1"/>
  <c r="X380" i="1"/>
  <c r="X384" i="1"/>
  <c r="X385" i="1"/>
  <c r="X386" i="1"/>
  <c r="X389" i="1"/>
  <c r="X390" i="1"/>
  <c r="X393" i="1"/>
  <c r="X394" i="1"/>
  <c r="X396" i="1"/>
  <c r="X397" i="1"/>
  <c r="X398" i="1"/>
  <c r="X399" i="1"/>
  <c r="X405" i="1"/>
  <c r="X408" i="1"/>
  <c r="X409" i="1"/>
  <c r="X412" i="1"/>
  <c r="X418" i="1"/>
  <c r="X421" i="1"/>
  <c r="X422" i="1"/>
  <c r="X425" i="1"/>
  <c r="X426" i="1"/>
  <c r="X429" i="1"/>
  <c r="X430" i="1"/>
  <c r="X431" i="1"/>
  <c r="X432" i="1"/>
  <c r="X435" i="1"/>
  <c r="X436" i="1"/>
  <c r="X437" i="1"/>
  <c r="X440" i="1"/>
  <c r="X441" i="1"/>
  <c r="X442" i="1"/>
  <c r="X443" i="1"/>
  <c r="X444" i="1"/>
  <c r="X447" i="1"/>
  <c r="X449" i="1"/>
  <c r="X452" i="1"/>
  <c r="X453" i="1"/>
  <c r="X454" i="1"/>
  <c r="X457" i="1"/>
  <c r="X460" i="1"/>
  <c r="X464" i="1"/>
  <c r="X467" i="1"/>
  <c r="X469" i="1"/>
  <c r="X475" i="1"/>
  <c r="X476" i="1"/>
  <c r="X477" i="1"/>
  <c r="X480" i="1"/>
  <c r="X481" i="1"/>
  <c r="X482" i="1"/>
  <c r="X483" i="1"/>
  <c r="X489" i="1"/>
  <c r="X492" i="1"/>
  <c r="X493" i="1"/>
  <c r="X495" i="1"/>
  <c r="X496" i="1"/>
  <c r="X497" i="1"/>
  <c r="X500" i="1"/>
  <c r="X501" i="1"/>
  <c r="X504" i="1"/>
  <c r="X506" i="1"/>
  <c r="X509" i="1"/>
  <c r="X515" i="1"/>
  <c r="X516" i="1"/>
  <c r="X517" i="1"/>
  <c r="X520" i="1"/>
  <c r="X521" i="1"/>
  <c r="X522" i="1"/>
  <c r="X525" i="1"/>
  <c r="X526" i="1"/>
  <c r="X529" i="1"/>
  <c r="X532" i="1"/>
  <c r="X533" i="1"/>
  <c r="X536" i="1"/>
  <c r="X537" i="1"/>
  <c r="X541" i="1"/>
  <c r="X542" i="1"/>
  <c r="X545" i="1"/>
  <c r="X546" i="1"/>
  <c r="X547" i="1"/>
  <c r="X548" i="1"/>
  <c r="X551" i="1"/>
  <c r="X556" i="1"/>
  <c r="X559" i="1"/>
  <c r="X566" i="1"/>
  <c r="X569" i="1"/>
  <c r="X570" i="1"/>
  <c r="X571" i="1"/>
  <c r="X574" i="1"/>
  <c r="X577" i="1"/>
  <c r="X583" i="1"/>
  <c r="X586" i="1"/>
  <c r="X589" i="1"/>
  <c r="X592" i="1"/>
  <c r="X593" i="1"/>
  <c r="X594" i="1"/>
  <c r="X595" i="1"/>
  <c r="X601" i="1"/>
  <c r="X604" i="1"/>
  <c r="X607" i="1"/>
  <c r="X611" i="1"/>
  <c r="X613" i="1"/>
  <c r="X614" i="1"/>
  <c r="X655" i="1"/>
  <c r="X617" i="1"/>
  <c r="X618" i="1"/>
  <c r="X621" i="1"/>
  <c r="X622" i="1"/>
  <c r="X623" i="1"/>
  <c r="X624" i="1"/>
  <c r="X625" i="1"/>
  <c r="X626" i="1"/>
  <c r="X627" i="1"/>
  <c r="X630" i="1"/>
  <c r="X631" i="1"/>
  <c r="X634" i="1"/>
  <c r="X637" i="1"/>
  <c r="X640" i="1"/>
  <c r="X642" i="1"/>
  <c r="X645" i="1"/>
  <c r="X646" i="1"/>
  <c r="X649" i="1"/>
  <c r="X652" i="1"/>
  <c r="X658" i="1"/>
  <c r="X659" i="1"/>
  <c r="X663" i="1"/>
  <c r="X667" i="1"/>
  <c r="X670" i="1"/>
  <c r="X673" i="1"/>
  <c r="X674" i="1"/>
  <c r="X675" i="1"/>
  <c r="X676" i="1"/>
  <c r="X677" i="1"/>
  <c r="X680" i="1"/>
  <c r="X683" i="1"/>
  <c r="X689" i="1"/>
  <c r="X700" i="1"/>
  <c r="X701" i="1"/>
  <c r="X702" i="1"/>
  <c r="X706" i="1"/>
  <c r="X707" i="1"/>
  <c r="X710" i="1"/>
  <c r="X713" i="1"/>
  <c r="X716" i="1"/>
  <c r="X717" i="1"/>
  <c r="X720" i="1"/>
  <c r="X721" i="1"/>
  <c r="X722" i="1"/>
  <c r="X723" i="1"/>
  <c r="X724" i="1"/>
  <c r="X725" i="1"/>
  <c r="X726" i="1"/>
  <c r="X727" i="1"/>
  <c r="X728" i="1"/>
  <c r="X731" i="1"/>
  <c r="X732" i="1"/>
  <c r="X733" i="1"/>
  <c r="X734" i="1"/>
  <c r="X735" i="1"/>
  <c r="X738" i="1"/>
  <c r="X742" i="1"/>
  <c r="X745" i="1"/>
  <c r="X746" i="1"/>
  <c r="X747" i="1"/>
  <c r="X748" i="1"/>
  <c r="X749" i="1"/>
  <c r="X757" i="1"/>
  <c r="X758" i="1"/>
  <c r="X761" i="1"/>
  <c r="X764" i="1"/>
  <c r="X765" i="1"/>
  <c r="X766" i="1"/>
  <c r="X769" i="1"/>
  <c r="X770" i="1"/>
  <c r="X771" i="1"/>
  <c r="X774" i="1"/>
  <c r="X777" i="1"/>
  <c r="X778" i="1"/>
  <c r="X781" i="1"/>
  <c r="X782" i="1"/>
  <c r="X783" i="1"/>
  <c r="X784" i="1"/>
  <c r="X787" i="1"/>
  <c r="X788" i="1"/>
  <c r="X791" i="1"/>
  <c r="X792" i="1"/>
  <c r="X795" i="1"/>
  <c r="X796" i="1"/>
  <c r="X797" i="1"/>
  <c r="X800" i="1"/>
  <c r="X803" i="1"/>
  <c r="X804" i="1"/>
  <c r="X805" i="1"/>
  <c r="X806" i="1"/>
  <c r="X807" i="1"/>
  <c r="X808" i="1"/>
  <c r="X811" i="1"/>
  <c r="X812" i="1"/>
  <c r="X813" i="1"/>
  <c r="X816" i="1"/>
  <c r="X817" i="1"/>
  <c r="X820" i="1"/>
  <c r="X823" i="1"/>
  <c r="X826" i="1"/>
  <c r="X829" i="1"/>
  <c r="X830" i="1"/>
  <c r="X831" i="1"/>
  <c r="X832" i="1"/>
  <c r="X835" i="1"/>
  <c r="X836" i="1"/>
  <c r="X837" i="1"/>
  <c r="X840" i="1"/>
  <c r="X841" i="1"/>
  <c r="X844" i="1"/>
  <c r="X845" i="1"/>
  <c r="X846" i="1"/>
  <c r="X849" i="1"/>
  <c r="X850" i="1"/>
  <c r="X851" i="1"/>
  <c r="X852" i="1"/>
  <c r="X855" i="1"/>
  <c r="X858" i="1"/>
  <c r="X859" i="1"/>
  <c r="X860" i="1"/>
  <c r="X861" i="1"/>
  <c r="X862" i="1"/>
  <c r="X863" i="1"/>
  <c r="X864" i="1"/>
  <c r="X865" i="1"/>
  <c r="X866" i="1"/>
  <c r="X869" i="1"/>
  <c r="X871" i="1"/>
  <c r="X874" i="1"/>
  <c r="X877" i="1"/>
  <c r="X878" i="1"/>
  <c r="X879" i="1"/>
  <c r="X880" i="1"/>
  <c r="X885" i="1"/>
  <c r="X888" i="1"/>
  <c r="X889" i="1"/>
  <c r="X901" i="1"/>
  <c r="X902" i="1"/>
  <c r="X903" i="1"/>
  <c r="X906" i="1"/>
  <c r="X910" i="1"/>
  <c r="X911" i="1"/>
  <c r="X914" i="1"/>
  <c r="X917" i="1"/>
  <c r="X918" i="1"/>
  <c r="X919" i="1"/>
  <c r="X922" i="1"/>
  <c r="X923" i="1"/>
  <c r="X926" i="1"/>
  <c r="X927" i="1"/>
  <c r="X930" i="1"/>
  <c r="X934" i="1"/>
  <c r="X937" i="1"/>
  <c r="X938" i="1"/>
  <c r="X939" i="1"/>
  <c r="X940" i="1"/>
  <c r="X941" i="1"/>
  <c r="X945" i="1"/>
  <c r="X948" i="1"/>
  <c r="X951" i="1"/>
  <c r="X953" i="1"/>
  <c r="X954" i="1"/>
  <c r="X955" i="1"/>
  <c r="X959" i="1"/>
  <c r="X960" i="1"/>
  <c r="X961" i="1"/>
  <c r="X962" i="1"/>
  <c r="X965" i="1"/>
  <c r="X966" i="1"/>
  <c r="X967" i="1"/>
  <c r="X970" i="1"/>
  <c r="X973" i="1"/>
  <c r="X976" i="1"/>
  <c r="X979" i="1"/>
  <c r="X980" i="1"/>
  <c r="X981" i="1"/>
  <c r="X985" i="1"/>
  <c r="X988" i="1"/>
  <c r="X989" i="1"/>
  <c r="X990" i="1"/>
  <c r="X993" i="1"/>
  <c r="X994" i="1"/>
  <c r="X995" i="1"/>
  <c r="X996" i="1"/>
  <c r="X997" i="1"/>
  <c r="X998" i="1"/>
  <c r="X1001" i="1"/>
  <c r="X1005" i="1"/>
  <c r="X1009" i="1"/>
  <c r="X1012" i="1"/>
  <c r="X1013" i="1"/>
  <c r="X1014" i="1"/>
  <c r="X1015" i="1"/>
  <c r="X1020" i="1"/>
  <c r="X1023" i="1"/>
  <c r="X1024" i="1"/>
  <c r="X1025" i="1"/>
  <c r="X1029" i="1"/>
  <c r="X1033" i="1"/>
  <c r="X1036" i="1"/>
  <c r="X1039" i="1"/>
  <c r="X1040" i="1"/>
  <c r="X1043" i="1"/>
  <c r="X1046" i="1"/>
  <c r="X1047" i="1"/>
  <c r="X1048" i="1"/>
  <c r="X1049" i="1"/>
  <c r="X1052" i="1"/>
  <c r="X1055" i="1"/>
  <c r="X1058" i="1"/>
  <c r="X1061" i="1"/>
  <c r="X1069" i="1"/>
  <c r="X1089" i="1"/>
  <c r="X1090" i="1"/>
  <c r="X1094" i="1"/>
  <c r="X1097" i="1"/>
  <c r="X1064" i="1"/>
  <c r="X1065" i="1"/>
  <c r="X1066" i="1"/>
  <c r="X1106" i="1"/>
  <c r="X1107" i="1"/>
  <c r="X1113" i="1"/>
  <c r="X1117" i="1"/>
  <c r="X1120" i="1"/>
  <c r="X1121" i="1"/>
  <c r="X1122" i="1"/>
  <c r="X1125" i="1"/>
  <c r="X1126" i="1"/>
  <c r="X1127" i="1"/>
  <c r="X1131" i="1"/>
  <c r="X1130" i="1"/>
  <c r="X1134" i="1"/>
  <c r="X1135" i="1"/>
  <c r="X1136" i="1"/>
  <c r="X1137" i="1"/>
  <c r="X1138" i="1"/>
  <c r="X1139" i="1"/>
  <c r="X1143" i="1"/>
  <c r="X1144" i="1"/>
  <c r="X1145" i="1"/>
  <c r="X1146" i="1"/>
  <c r="X1149" i="1"/>
  <c r="X1150" i="1"/>
  <c r="X1154" i="1"/>
  <c r="X1157" i="1"/>
  <c r="X1158" i="1"/>
  <c r="X1161" i="1"/>
  <c r="X1162" i="1"/>
  <c r="X1165" i="1"/>
  <c r="X1168" i="1"/>
  <c r="X1169" i="1"/>
  <c r="X1170" i="1"/>
  <c r="X1171" i="1"/>
  <c r="X1174" i="1"/>
  <c r="X1175" i="1"/>
  <c r="X1178" i="1"/>
  <c r="X1181" i="1"/>
  <c r="X1182" i="1"/>
  <c r="X1185" i="1"/>
  <c r="X1186" i="1"/>
  <c r="X1189" i="1"/>
  <c r="X1192" i="1"/>
  <c r="X1195" i="1"/>
  <c r="X1198" i="1"/>
  <c r="X1199" i="1"/>
  <c r="X1200" i="1"/>
  <c r="X1201" i="1"/>
  <c r="X1203" i="1"/>
  <c r="X1206" i="1"/>
  <c r="X1209" i="1"/>
  <c r="X1210" i="1"/>
  <c r="X1211" i="1"/>
  <c r="X1214" i="1"/>
  <c r="X1217" i="1"/>
  <c r="X1218" i="1"/>
  <c r="X1221" i="1"/>
  <c r="X1224" i="1"/>
  <c r="X1225" i="1"/>
  <c r="X1228" i="1"/>
  <c r="X1229" i="1"/>
  <c r="X1230" i="1"/>
  <c r="X1233" i="1"/>
  <c r="X1236" i="1"/>
  <c r="X1239" i="1"/>
  <c r="X1240" i="1"/>
  <c r="X1243" i="1"/>
  <c r="X1246" i="1"/>
  <c r="X1249" i="1"/>
  <c r="X1252" i="1"/>
  <c r="X1253" i="1"/>
  <c r="X1256" i="1"/>
  <c r="X1257" i="1"/>
  <c r="X1260" i="1"/>
  <c r="X1263" i="1"/>
  <c r="X1266" i="1"/>
  <c r="X1269" i="1"/>
  <c r="X1272" i="1"/>
  <c r="X1273" i="1"/>
  <c r="X1276" i="1"/>
  <c r="X1279" i="1"/>
  <c r="X1280" i="1"/>
  <c r="X1283" i="1"/>
  <c r="X1284" i="1"/>
  <c r="X1287" i="1"/>
  <c r="X1288" i="1"/>
  <c r="X1291" i="1"/>
  <c r="X1292" i="1"/>
  <c r="X1295" i="1"/>
  <c r="X1296" i="1"/>
  <c r="X1297" i="1"/>
  <c r="X1298" i="1"/>
  <c r="X1301" i="1"/>
  <c r="X1304" i="1"/>
  <c r="X1305" i="1"/>
  <c r="X1306" i="1"/>
  <c r="X1309" i="1"/>
  <c r="X1310" i="1"/>
  <c r="X1311" i="1"/>
  <c r="X1314" i="1"/>
  <c r="X1317" i="1"/>
  <c r="X1318" i="1"/>
  <c r="X1321" i="1"/>
  <c r="X1322" i="1"/>
  <c r="X1323" i="1"/>
  <c r="X1326" i="1"/>
  <c r="X1331" i="1"/>
  <c r="X1332" i="1"/>
  <c r="X1335" i="1"/>
  <c r="X1338" i="1"/>
  <c r="X1341" i="1"/>
  <c r="X1344" i="1"/>
  <c r="X1347" i="1"/>
  <c r="X1353" i="1"/>
  <c r="X1356" i="1"/>
  <c r="X1359" i="1"/>
  <c r="X1363" i="1"/>
  <c r="X1365" i="1"/>
  <c r="X1368" i="1"/>
  <c r="X1369" i="1"/>
  <c r="X1370" i="1"/>
  <c r="X1373" i="1"/>
  <c r="X1374" i="1"/>
  <c r="X1375" i="1"/>
  <c r="X1376" i="1"/>
  <c r="X1377" i="1"/>
  <c r="X1378" i="1"/>
  <c r="X1379" i="1"/>
  <c r="X1387" i="1"/>
  <c r="X1393" i="1"/>
  <c r="X1396" i="1"/>
  <c r="X1399" i="1"/>
  <c r="X1421" i="1"/>
  <c r="X1423" i="1"/>
  <c r="X1426" i="1"/>
  <c r="X1429" i="1"/>
  <c r="X1433" i="1"/>
  <c r="X1436" i="1"/>
  <c r="X1437" i="1"/>
  <c r="X1438" i="1"/>
  <c r="X1441" i="1"/>
  <c r="X1444" i="1"/>
  <c r="X1445" i="1"/>
  <c r="X1448" i="1"/>
  <c r="X1451" i="1"/>
  <c r="X1454" i="1"/>
  <c r="X1455" i="1"/>
  <c r="X1456" i="1"/>
  <c r="X1459" i="1"/>
  <c r="X1462" i="1"/>
  <c r="X1463" i="1"/>
  <c r="X1474" i="1"/>
  <c r="X1478" i="1"/>
  <c r="X1484" i="1"/>
  <c r="X1487" i="1"/>
  <c r="X1481" i="1"/>
  <c r="X1490" i="1"/>
  <c r="X1496" i="1"/>
  <c r="X1497" i="1"/>
  <c r="X1500" i="1"/>
  <c r="X1501" i="1"/>
  <c r="X1504" i="1"/>
  <c r="X1508" i="1"/>
  <c r="X1511" i="1"/>
  <c r="X1512" i="1"/>
  <c r="X1516" i="1"/>
  <c r="X1519" i="1"/>
  <c r="X1522" i="1"/>
  <c r="X1523" i="1"/>
  <c r="X1526" i="1"/>
  <c r="X1527" i="1"/>
  <c r="X1528" i="1"/>
  <c r="X1529" i="1"/>
  <c r="X1532" i="1"/>
  <c r="X1535" i="1"/>
  <c r="X1536" i="1"/>
  <c r="X1537" i="1"/>
  <c r="X1540" i="1"/>
  <c r="X1541" i="1"/>
  <c r="X1544" i="1"/>
  <c r="X1546" i="1"/>
  <c r="X1552" i="1"/>
  <c r="X1555" i="1"/>
  <c r="X1556" i="1"/>
  <c r="X1559" i="1"/>
  <c r="X1560" i="1"/>
  <c r="X1563" i="1"/>
  <c r="X1564" i="1"/>
  <c r="X1565" i="1"/>
  <c r="X1568" i="1"/>
  <c r="X1574" i="1"/>
  <c r="X1577" i="1"/>
  <c r="X1578" i="1"/>
  <c r="X1584" i="1"/>
  <c r="X1585" i="1"/>
  <c r="X1588" i="1"/>
  <c r="X1597" i="1"/>
  <c r="X1600" i="1"/>
  <c r="X1601" i="1"/>
  <c r="X1602" i="1"/>
  <c r="X1603" i="1"/>
  <c r="X1606" i="1"/>
  <c r="X1608" i="1"/>
  <c r="X1609" i="1"/>
  <c r="X1610" i="1"/>
  <c r="X1621" i="1"/>
  <c r="X1622" i="1"/>
  <c r="X1625" i="1"/>
  <c r="X1634" i="1"/>
  <c r="X1635" i="1"/>
  <c r="X1636" i="1"/>
  <c r="X1639" i="1"/>
  <c r="X1640" i="1"/>
  <c r="X1643" i="1"/>
  <c r="X1646" i="1"/>
  <c r="X1649" i="1"/>
  <c r="X1650" i="1"/>
  <c r="X1653" i="1"/>
  <c r="X1654" i="1"/>
  <c r="X1657" i="1"/>
  <c r="X1658" i="1"/>
  <c r="X1659" i="1"/>
  <c r="X1669" i="1"/>
  <c r="X1672" i="1"/>
  <c r="X1673" i="1"/>
  <c r="X1676" i="1"/>
  <c r="X1677" i="1"/>
  <c r="X1680" i="1"/>
  <c r="X1681" i="1"/>
  <c r="X1684" i="1"/>
  <c r="X1685" i="1"/>
  <c r="X1688" i="1"/>
  <c r="X1689" i="1"/>
  <c r="X1690" i="1"/>
  <c r="X1694" i="1"/>
  <c r="X1697" i="1"/>
  <c r="X1700" i="1"/>
  <c r="X1703" i="1"/>
  <c r="X1704" i="1"/>
  <c r="X1707" i="1"/>
  <c r="X1708" i="1"/>
  <c r="X1714" i="1"/>
  <c r="X1715" i="1"/>
  <c r="X1721" i="1"/>
  <c r="X1724" i="1"/>
  <c r="X1742" i="1"/>
  <c r="X1763" i="1"/>
  <c r="X1766" i="1"/>
  <c r="X1769" i="1"/>
  <c r="X1772" i="1"/>
  <c r="AD11" i="1"/>
  <c r="AH11" i="1" s="1"/>
  <c r="AD15" i="1"/>
  <c r="AH15" i="1" s="1"/>
  <c r="AD16" i="1"/>
  <c r="AH16" i="1" s="1"/>
  <c r="AD17" i="1"/>
  <c r="AH17" i="1" s="1"/>
  <c r="AD18" i="1"/>
  <c r="AH18" i="1" s="1"/>
  <c r="AD19" i="1"/>
  <c r="AH19" i="1" s="1"/>
  <c r="AD21" i="1"/>
  <c r="AH21" i="1" s="1"/>
  <c r="AD22" i="1"/>
  <c r="AH22" i="1" s="1"/>
  <c r="AD23" i="1"/>
  <c r="AH23" i="1" s="1"/>
  <c r="AD24" i="1"/>
  <c r="AH24" i="1" s="1"/>
  <c r="AD25" i="1"/>
  <c r="AH25" i="1" s="1"/>
  <c r="AD26" i="1"/>
  <c r="AH26" i="1" s="1"/>
  <c r="AD27" i="1"/>
  <c r="AH27" i="1" s="1"/>
  <c r="AD29" i="1"/>
  <c r="AH29" i="1" s="1"/>
  <c r="AD30" i="1"/>
  <c r="AH30" i="1" s="1"/>
  <c r="AD31" i="1"/>
  <c r="AH31" i="1" s="1"/>
  <c r="AD32" i="1"/>
  <c r="AH32" i="1" s="1"/>
  <c r="AD33" i="1"/>
  <c r="AH33" i="1" s="1"/>
  <c r="AD34" i="1"/>
  <c r="AH34" i="1" s="1"/>
  <c r="AD35" i="1"/>
  <c r="AH35" i="1" s="1"/>
  <c r="AD36" i="1"/>
  <c r="AH36" i="1" s="1"/>
  <c r="AD37" i="1"/>
  <c r="AH37" i="1" s="1"/>
  <c r="AD38" i="1"/>
  <c r="AH38" i="1" s="1"/>
  <c r="AD39" i="1"/>
  <c r="AH39" i="1" s="1"/>
  <c r="AD40" i="1"/>
  <c r="AH40" i="1" s="1"/>
  <c r="AD41" i="1"/>
  <c r="AH41" i="1" s="1"/>
  <c r="AD42" i="1"/>
  <c r="AH42" i="1" s="1"/>
  <c r="AD43" i="1"/>
  <c r="AH43" i="1" s="1"/>
  <c r="AD44" i="1"/>
  <c r="AH44" i="1" s="1"/>
  <c r="AD45" i="1"/>
  <c r="AH45" i="1" s="1"/>
  <c r="AD46" i="1"/>
  <c r="AH46" i="1" s="1"/>
  <c r="AD47" i="1"/>
  <c r="AH47" i="1" s="1"/>
  <c r="AD48" i="1"/>
  <c r="AH48" i="1" s="1"/>
  <c r="AD49" i="1"/>
  <c r="AH49" i="1" s="1"/>
  <c r="AD50" i="1"/>
  <c r="AH50" i="1" s="1"/>
  <c r="AD54" i="1"/>
  <c r="AH54" i="1" s="1"/>
  <c r="AD55" i="1"/>
  <c r="AH55" i="1" s="1"/>
  <c r="AD56" i="1"/>
  <c r="AH56" i="1" s="1"/>
  <c r="AD57" i="1"/>
  <c r="AH57" i="1" s="1"/>
  <c r="AD58" i="1"/>
  <c r="AH58" i="1" s="1"/>
  <c r="AD59" i="1"/>
  <c r="AH59" i="1" s="1"/>
  <c r="AD60" i="1"/>
  <c r="AH60" i="1" s="1"/>
  <c r="AD61" i="1"/>
  <c r="AH61" i="1" s="1"/>
  <c r="AD62" i="1"/>
  <c r="AH62" i="1" s="1"/>
  <c r="AD63" i="1"/>
  <c r="AH63" i="1" s="1"/>
  <c r="AD64" i="1"/>
  <c r="AH64" i="1" s="1"/>
  <c r="AD65" i="1"/>
  <c r="AH65" i="1" s="1"/>
  <c r="AD67" i="1"/>
  <c r="AH67" i="1" s="1"/>
  <c r="AD68" i="1"/>
  <c r="AH68" i="1" s="1"/>
  <c r="AD69" i="1"/>
  <c r="AH69" i="1" s="1"/>
  <c r="AD70" i="1"/>
  <c r="AH70" i="1" s="1"/>
  <c r="AD71" i="1"/>
  <c r="AH71" i="1" s="1"/>
  <c r="AD72" i="1"/>
  <c r="AH72" i="1" s="1"/>
  <c r="AD73" i="1"/>
  <c r="AH73" i="1" s="1"/>
  <c r="AD74" i="1"/>
  <c r="AH74" i="1" s="1"/>
  <c r="AD75" i="1"/>
  <c r="AH75" i="1" s="1"/>
  <c r="AD76" i="1"/>
  <c r="AH76" i="1" s="1"/>
  <c r="AD77" i="1"/>
  <c r="AL77" i="1" s="1"/>
  <c r="AD78" i="1"/>
  <c r="AH78" i="1" s="1"/>
  <c r="AD79" i="1"/>
  <c r="AH79" i="1" s="1"/>
  <c r="AD80" i="1"/>
  <c r="AH80" i="1" s="1"/>
  <c r="AD81" i="1"/>
  <c r="AH81" i="1" s="1"/>
  <c r="AD84" i="1"/>
  <c r="AH84" i="1" s="1"/>
  <c r="AD85" i="1"/>
  <c r="AH85" i="1" s="1"/>
  <c r="AD86" i="1"/>
  <c r="AH86" i="1" s="1"/>
  <c r="AD87" i="1"/>
  <c r="AH87" i="1" s="1"/>
  <c r="AD90" i="1"/>
  <c r="AH90" i="1" s="1"/>
  <c r="AD91" i="1"/>
  <c r="AH91" i="1" s="1"/>
  <c r="AD92" i="1"/>
  <c r="AH92" i="1" s="1"/>
  <c r="AD93" i="1"/>
  <c r="AH93" i="1" s="1"/>
  <c r="AD96" i="1"/>
  <c r="AH96" i="1" s="1"/>
  <c r="AD98" i="1"/>
  <c r="AH98" i="1" s="1"/>
  <c r="AD99" i="1"/>
  <c r="AH99" i="1" s="1"/>
  <c r="AD100" i="1"/>
  <c r="AH100" i="1" s="1"/>
  <c r="AD101" i="1"/>
  <c r="AH101" i="1" s="1"/>
  <c r="AD102" i="1"/>
  <c r="AH102" i="1" s="1"/>
  <c r="AD103" i="1"/>
  <c r="AH103" i="1" s="1"/>
  <c r="AD104" i="1"/>
  <c r="AH104" i="1" s="1"/>
  <c r="AD105" i="1"/>
  <c r="AH105" i="1" s="1"/>
  <c r="AD106" i="1"/>
  <c r="AH106" i="1" s="1"/>
  <c r="AD107" i="1"/>
  <c r="AH107" i="1" s="1"/>
  <c r="AD108" i="1"/>
  <c r="AH108" i="1" s="1"/>
  <c r="AD110" i="1"/>
  <c r="AH110" i="1" s="1"/>
  <c r="AD111" i="1"/>
  <c r="AH111" i="1" s="1"/>
  <c r="AD112" i="1"/>
  <c r="AH112" i="1" s="1"/>
  <c r="AD113" i="1"/>
  <c r="AH113" i="1" s="1"/>
  <c r="AD115" i="1"/>
  <c r="AH115" i="1" s="1"/>
  <c r="AD116" i="1"/>
  <c r="AH116" i="1" s="1"/>
  <c r="AD117" i="1"/>
  <c r="AH117" i="1" s="1"/>
  <c r="AD118" i="1"/>
  <c r="AH118" i="1" s="1"/>
  <c r="AD119" i="1"/>
  <c r="AH119" i="1" s="1"/>
  <c r="AD123" i="1"/>
  <c r="AH123" i="1" s="1"/>
  <c r="AD124" i="1"/>
  <c r="AH124" i="1" s="1"/>
  <c r="AD125" i="1"/>
  <c r="AH125" i="1" s="1"/>
  <c r="AD126" i="1"/>
  <c r="AH126" i="1" s="1"/>
  <c r="AD127" i="1"/>
  <c r="AH127" i="1" s="1"/>
  <c r="AD128" i="1"/>
  <c r="AH128" i="1" s="1"/>
  <c r="AD129" i="1"/>
  <c r="AH129" i="1" s="1"/>
  <c r="AD130" i="1"/>
  <c r="AH130" i="1" s="1"/>
  <c r="AD131" i="1"/>
  <c r="AH131" i="1" s="1"/>
  <c r="AD132" i="1"/>
  <c r="AH132" i="1" s="1"/>
  <c r="AD133" i="1"/>
  <c r="AH133" i="1" s="1"/>
  <c r="AD134" i="1"/>
  <c r="AH134" i="1" s="1"/>
  <c r="AD135" i="1"/>
  <c r="AH135" i="1" s="1"/>
  <c r="AD136" i="1"/>
  <c r="AH136" i="1" s="1"/>
  <c r="AD137" i="1"/>
  <c r="AH137" i="1" s="1"/>
  <c r="AD139" i="1"/>
  <c r="AH139" i="1" s="1"/>
  <c r="AD140" i="1"/>
  <c r="AH140" i="1" s="1"/>
  <c r="AD141" i="1"/>
  <c r="AH141" i="1" s="1"/>
  <c r="AD142" i="1"/>
  <c r="AH142" i="1" s="1"/>
  <c r="AD143" i="1"/>
  <c r="AH143" i="1" s="1"/>
  <c r="AD144" i="1"/>
  <c r="AH144" i="1" s="1"/>
  <c r="AD149" i="1"/>
  <c r="AH149" i="1" s="1"/>
  <c r="AD150" i="1"/>
  <c r="AH150" i="1" s="1"/>
  <c r="AD151" i="1"/>
  <c r="AH151" i="1" s="1"/>
  <c r="AD152" i="1"/>
  <c r="AH152" i="1" s="1"/>
  <c r="AD153" i="1"/>
  <c r="AH153" i="1" s="1"/>
  <c r="AD154" i="1"/>
  <c r="AH154" i="1" s="1"/>
  <c r="AD155" i="1"/>
  <c r="AH155" i="1" s="1"/>
  <c r="AD156" i="1"/>
  <c r="AH156" i="1" s="1"/>
  <c r="AD157" i="1"/>
  <c r="AH157" i="1" s="1"/>
  <c r="AD158" i="1"/>
  <c r="AH158" i="1" s="1"/>
  <c r="AD159" i="1"/>
  <c r="AH159" i="1" s="1"/>
  <c r="AD160" i="1"/>
  <c r="AH160" i="1" s="1"/>
  <c r="AD161" i="1"/>
  <c r="AH161" i="1" s="1"/>
  <c r="AD162" i="1"/>
  <c r="AH162" i="1" s="1"/>
  <c r="AD163" i="1"/>
  <c r="AH163" i="1" s="1"/>
  <c r="AD164" i="1"/>
  <c r="AH164" i="1" s="1"/>
  <c r="AD167" i="1"/>
  <c r="AH167" i="1" s="1"/>
  <c r="AD168" i="1"/>
  <c r="AH168" i="1" s="1"/>
  <c r="AD169" i="1"/>
  <c r="AH169" i="1" s="1"/>
  <c r="AD170" i="1"/>
  <c r="AH170" i="1" s="1"/>
  <c r="AD171" i="1"/>
  <c r="AH171" i="1" s="1"/>
  <c r="AD172" i="1"/>
  <c r="AH172" i="1" s="1"/>
  <c r="AD173" i="1"/>
  <c r="AH173" i="1" s="1"/>
  <c r="AD174" i="1"/>
  <c r="AH174" i="1" s="1"/>
  <c r="AD175" i="1"/>
  <c r="AH175" i="1" s="1"/>
  <c r="AD176" i="1"/>
  <c r="AH176" i="1" s="1"/>
  <c r="AD177" i="1"/>
  <c r="AH177" i="1" s="1"/>
  <c r="AD178" i="1"/>
  <c r="AH178" i="1" s="1"/>
  <c r="AD179" i="1"/>
  <c r="AH179" i="1" s="1"/>
  <c r="AD180" i="1"/>
  <c r="AH180" i="1" s="1"/>
  <c r="AD181" i="1"/>
  <c r="AH181" i="1" s="1"/>
  <c r="AD182" i="1"/>
  <c r="AH182" i="1" s="1"/>
  <c r="AD183" i="1"/>
  <c r="AH183" i="1" s="1"/>
  <c r="AD184" i="1"/>
  <c r="AH184" i="1" s="1"/>
  <c r="AD185" i="1"/>
  <c r="AH185" i="1" s="1"/>
  <c r="AD186" i="1"/>
  <c r="AH186" i="1" s="1"/>
  <c r="AD189" i="1"/>
  <c r="AH189" i="1" s="1"/>
  <c r="AD190" i="1"/>
  <c r="AH190" i="1" s="1"/>
  <c r="AD191" i="1"/>
  <c r="AH191" i="1" s="1"/>
  <c r="AD192" i="1"/>
  <c r="AH192" i="1" s="1"/>
  <c r="AD193" i="1"/>
  <c r="AH193" i="1" s="1"/>
  <c r="AD194" i="1"/>
  <c r="AH194" i="1" s="1"/>
  <c r="AD196" i="1"/>
  <c r="AH196" i="1" s="1"/>
  <c r="AD198" i="1"/>
  <c r="AH198" i="1" s="1"/>
  <c r="AD199" i="1"/>
  <c r="AH199" i="1" s="1"/>
  <c r="AD201" i="1"/>
  <c r="AH201" i="1" s="1"/>
  <c r="AD202" i="1"/>
  <c r="AH202" i="1" s="1"/>
  <c r="AD203" i="1"/>
  <c r="AH203" i="1" s="1"/>
  <c r="AD204" i="1"/>
  <c r="AH204" i="1" s="1"/>
  <c r="AD205" i="1"/>
  <c r="AH205" i="1" s="1"/>
  <c r="AD206" i="1"/>
  <c r="AH206" i="1" s="1"/>
  <c r="AD207" i="1"/>
  <c r="AH207" i="1" s="1"/>
  <c r="AD208" i="1"/>
  <c r="AH208" i="1" s="1"/>
  <c r="AD209" i="1"/>
  <c r="AH209" i="1" s="1"/>
  <c r="AD210" i="1"/>
  <c r="AH210" i="1" s="1"/>
  <c r="AD211" i="1"/>
  <c r="AH211" i="1" s="1"/>
  <c r="AD212" i="1"/>
  <c r="AH212" i="1" s="1"/>
  <c r="AD213" i="1"/>
  <c r="AH213" i="1" s="1"/>
  <c r="AD214" i="1"/>
  <c r="AH214" i="1" s="1"/>
  <c r="AD215" i="1"/>
  <c r="AH215" i="1" s="1"/>
  <c r="AD216" i="1"/>
  <c r="AH216" i="1" s="1"/>
  <c r="AD217" i="1"/>
  <c r="AH217" i="1" s="1"/>
  <c r="AD218" i="1"/>
  <c r="AH218" i="1" s="1"/>
  <c r="AD219" i="1"/>
  <c r="AH219" i="1" s="1"/>
  <c r="AD220" i="1"/>
  <c r="AH220" i="1" s="1"/>
  <c r="AD221" i="1"/>
  <c r="AH221" i="1" s="1"/>
  <c r="AD222" i="1"/>
  <c r="AH222" i="1" s="1"/>
  <c r="AD224" i="1"/>
  <c r="AH224" i="1" s="1"/>
  <c r="AD225" i="1"/>
  <c r="AH225" i="1" s="1"/>
  <c r="AD226" i="1"/>
  <c r="AH226" i="1" s="1"/>
  <c r="AD227" i="1"/>
  <c r="AH227" i="1" s="1"/>
  <c r="AD229" i="1"/>
  <c r="AH229" i="1" s="1"/>
  <c r="AD230" i="1"/>
  <c r="AH230" i="1" s="1"/>
  <c r="AD231" i="1"/>
  <c r="AH231" i="1" s="1"/>
  <c r="AD232" i="1"/>
  <c r="AH232" i="1" s="1"/>
  <c r="AD233" i="1"/>
  <c r="AH233" i="1" s="1"/>
  <c r="AD234" i="1"/>
  <c r="AH234" i="1" s="1"/>
  <c r="AD235" i="1"/>
  <c r="AH235" i="1" s="1"/>
  <c r="AD236" i="1"/>
  <c r="AH236" i="1" s="1"/>
  <c r="AD237" i="1"/>
  <c r="AH237" i="1" s="1"/>
  <c r="AD239" i="1"/>
  <c r="AH239" i="1" s="1"/>
  <c r="AD240" i="1"/>
  <c r="AH240" i="1" s="1"/>
  <c r="AD241" i="1"/>
  <c r="AH241" i="1" s="1"/>
  <c r="AD242" i="1"/>
  <c r="AH242" i="1" s="1"/>
  <c r="AD243" i="1"/>
  <c r="AH243" i="1" s="1"/>
  <c r="AD246" i="1"/>
  <c r="AH246" i="1" s="1"/>
  <c r="AD247" i="1"/>
  <c r="AH247" i="1" s="1"/>
  <c r="AD248" i="1"/>
  <c r="AH248" i="1" s="1"/>
  <c r="AD249" i="1"/>
  <c r="AH249" i="1" s="1"/>
  <c r="AD250" i="1"/>
  <c r="AH250" i="1" s="1"/>
  <c r="AD252" i="1"/>
  <c r="AH252" i="1" s="1"/>
  <c r="AD253" i="1"/>
  <c r="AH253" i="1" s="1"/>
  <c r="AD254" i="1"/>
  <c r="AH254" i="1" s="1"/>
  <c r="AD255" i="1"/>
  <c r="AH255" i="1" s="1"/>
  <c r="AD256" i="1"/>
  <c r="AH256" i="1" s="1"/>
  <c r="AD257" i="1"/>
  <c r="AH257" i="1" s="1"/>
  <c r="AD258" i="1"/>
  <c r="AH258" i="1" s="1"/>
  <c r="AD259" i="1"/>
  <c r="AH259" i="1" s="1"/>
  <c r="AD260" i="1"/>
  <c r="AH260" i="1" s="1"/>
  <c r="AD261" i="1"/>
  <c r="AH261" i="1" s="1"/>
  <c r="AD262" i="1"/>
  <c r="AH262" i="1" s="1"/>
  <c r="AD263" i="1"/>
  <c r="AH263" i="1" s="1"/>
  <c r="AD264" i="1"/>
  <c r="AH264" i="1" s="1"/>
  <c r="AD265" i="1"/>
  <c r="AH265" i="1" s="1"/>
  <c r="AD266" i="1"/>
  <c r="AH266" i="1" s="1"/>
  <c r="AD267" i="1"/>
  <c r="AH267" i="1" s="1"/>
  <c r="AD268" i="1"/>
  <c r="AH268" i="1" s="1"/>
  <c r="AD269" i="1"/>
  <c r="AH269" i="1" s="1"/>
  <c r="AD270" i="1"/>
  <c r="AH270" i="1" s="1"/>
  <c r="AD272" i="1"/>
  <c r="AH272" i="1" s="1"/>
  <c r="AD273" i="1"/>
  <c r="AH273" i="1" s="1"/>
  <c r="AD274" i="1"/>
  <c r="AH274" i="1" s="1"/>
  <c r="AD275" i="1"/>
  <c r="AL275" i="1" s="1"/>
  <c r="AD277" i="1"/>
  <c r="AH277" i="1" s="1"/>
  <c r="AD278" i="1"/>
  <c r="AH278" i="1" s="1"/>
  <c r="AD279" i="1"/>
  <c r="AH279" i="1" s="1"/>
  <c r="AD280" i="1"/>
  <c r="AH280" i="1" s="1"/>
  <c r="AD281" i="1"/>
  <c r="AH281" i="1" s="1"/>
  <c r="AD282" i="1"/>
  <c r="AH282" i="1" s="1"/>
  <c r="AD283" i="1"/>
  <c r="AH283" i="1" s="1"/>
  <c r="AD284" i="1"/>
  <c r="AH284" i="1" s="1"/>
  <c r="AD285" i="1"/>
  <c r="AH285" i="1" s="1"/>
  <c r="AD286" i="1"/>
  <c r="AH286" i="1" s="1"/>
  <c r="AD287" i="1"/>
  <c r="AH287" i="1" s="1"/>
  <c r="AD288" i="1"/>
  <c r="AH288" i="1" s="1"/>
  <c r="AD289" i="1"/>
  <c r="AH289" i="1" s="1"/>
  <c r="AD290" i="1"/>
  <c r="AH290" i="1" s="1"/>
  <c r="AD292" i="1"/>
  <c r="AH292" i="1" s="1"/>
  <c r="AD295" i="1"/>
  <c r="AH295" i="1" s="1"/>
  <c r="AD296" i="1"/>
  <c r="AH296" i="1" s="1"/>
  <c r="AD297" i="1"/>
  <c r="AH297" i="1" s="1"/>
  <c r="AD298" i="1"/>
  <c r="AH298" i="1" s="1"/>
  <c r="AD299" i="1"/>
  <c r="AH299" i="1" s="1"/>
  <c r="AD301" i="1"/>
  <c r="AH301" i="1" s="1"/>
  <c r="AD302" i="1"/>
  <c r="AH302" i="1" s="1"/>
  <c r="AD303" i="1"/>
  <c r="AH303" i="1" s="1"/>
  <c r="AD304" i="1"/>
  <c r="AH304" i="1" s="1"/>
  <c r="AD305" i="1"/>
  <c r="AH305" i="1" s="1"/>
  <c r="AD306" i="1"/>
  <c r="AH306" i="1" s="1"/>
  <c r="AD307" i="1"/>
  <c r="AH307" i="1" s="1"/>
  <c r="AD308" i="1"/>
  <c r="AH308" i="1" s="1"/>
  <c r="AD309" i="1"/>
  <c r="AH309" i="1" s="1"/>
  <c r="AD313" i="1"/>
  <c r="AH313" i="1" s="1"/>
  <c r="AD318" i="1"/>
  <c r="AH318" i="1" s="1"/>
  <c r="AD316" i="1"/>
  <c r="AH316" i="1" s="1"/>
  <c r="AD319" i="1"/>
  <c r="AH319" i="1" s="1"/>
  <c r="AD320" i="1"/>
  <c r="AH320" i="1" s="1"/>
  <c r="AD321" i="1"/>
  <c r="AH321" i="1" s="1"/>
  <c r="AD322" i="1"/>
  <c r="AH322" i="1" s="1"/>
  <c r="AD323" i="1"/>
  <c r="AH323" i="1" s="1"/>
  <c r="AD324" i="1"/>
  <c r="AH324" i="1" s="1"/>
  <c r="AD325" i="1"/>
  <c r="AH325" i="1" s="1"/>
  <c r="AD326" i="1"/>
  <c r="AH326" i="1" s="1"/>
  <c r="AD327" i="1"/>
  <c r="AH327" i="1" s="1"/>
  <c r="AD328" i="1"/>
  <c r="AH328" i="1" s="1"/>
  <c r="AD329" i="1"/>
  <c r="AH329" i="1" s="1"/>
  <c r="AD330" i="1"/>
  <c r="AH330" i="1" s="1"/>
  <c r="AD331" i="1"/>
  <c r="AH331" i="1" s="1"/>
  <c r="AD332" i="1"/>
  <c r="AH332" i="1" s="1"/>
  <c r="AD333" i="1"/>
  <c r="AH333" i="1" s="1"/>
  <c r="AD334" i="1"/>
  <c r="AH334" i="1" s="1"/>
  <c r="AD335" i="1"/>
  <c r="AH335" i="1" s="1"/>
  <c r="AD336" i="1"/>
  <c r="AH336" i="1" s="1"/>
  <c r="AD337" i="1"/>
  <c r="AH337" i="1" s="1"/>
  <c r="AD338" i="1"/>
  <c r="AH338" i="1" s="1"/>
  <c r="AD339" i="1"/>
  <c r="AH339" i="1" s="1"/>
  <c r="AD340" i="1"/>
  <c r="AH340" i="1" s="1"/>
  <c r="AD341" i="1"/>
  <c r="AH341" i="1" s="1"/>
  <c r="AD342" i="1"/>
  <c r="AH342" i="1" s="1"/>
  <c r="AD343" i="1"/>
  <c r="AH343" i="1" s="1"/>
  <c r="AD344" i="1"/>
  <c r="AH344" i="1" s="1"/>
  <c r="AD345" i="1"/>
  <c r="AH345" i="1" s="1"/>
  <c r="AD346" i="1"/>
  <c r="AH346" i="1" s="1"/>
  <c r="AD347" i="1"/>
  <c r="AH347" i="1" s="1"/>
  <c r="AD348" i="1"/>
  <c r="AH348" i="1" s="1"/>
  <c r="AD349" i="1"/>
  <c r="AH349" i="1" s="1"/>
  <c r="AD350" i="1"/>
  <c r="AH350" i="1" s="1"/>
  <c r="AD351" i="1"/>
  <c r="AH351" i="1" s="1"/>
  <c r="AD352" i="1"/>
  <c r="AD353" i="1"/>
  <c r="AH353" i="1" s="1"/>
  <c r="AD354" i="1"/>
  <c r="AH354" i="1" s="1"/>
  <c r="AD355" i="1"/>
  <c r="AH355" i="1" s="1"/>
  <c r="AD356" i="1"/>
  <c r="AH356" i="1" s="1"/>
  <c r="AD357" i="1"/>
  <c r="AH357" i="1" s="1"/>
  <c r="AD358" i="1"/>
  <c r="AH358" i="1" s="1"/>
  <c r="AD359" i="1"/>
  <c r="AH359" i="1" s="1"/>
  <c r="AD360" i="1"/>
  <c r="AH360" i="1" s="1"/>
  <c r="AD361" i="1"/>
  <c r="AH361" i="1" s="1"/>
  <c r="AD362" i="1"/>
  <c r="AH362" i="1" s="1"/>
  <c r="AD363" i="1"/>
  <c r="AH363" i="1" s="1"/>
  <c r="AD364" i="1"/>
  <c r="AH364" i="1" s="1"/>
  <c r="AD365" i="1"/>
  <c r="AH365" i="1" s="1"/>
  <c r="AD366" i="1"/>
  <c r="AH366" i="1" s="1"/>
  <c r="AD367" i="1"/>
  <c r="AH367" i="1" s="1"/>
  <c r="AD368" i="1"/>
  <c r="AH368" i="1" s="1"/>
  <c r="AD369" i="1"/>
  <c r="AH369" i="1" s="1"/>
  <c r="AD370" i="1"/>
  <c r="AH370" i="1" s="1"/>
  <c r="AD372" i="1"/>
  <c r="AH372" i="1" s="1"/>
  <c r="AD373" i="1"/>
  <c r="AH373" i="1" s="1"/>
  <c r="AD374" i="1"/>
  <c r="AH374" i="1" s="1"/>
  <c r="AD375" i="1"/>
  <c r="AH375" i="1" s="1"/>
  <c r="AD376" i="1"/>
  <c r="AH376" i="1" s="1"/>
  <c r="AD377" i="1"/>
  <c r="AH377" i="1" s="1"/>
  <c r="AD378" i="1"/>
  <c r="AH378" i="1" s="1"/>
  <c r="AD381" i="1"/>
  <c r="AH381" i="1" s="1"/>
  <c r="AD379" i="1"/>
  <c r="AH379" i="1" s="1"/>
  <c r="AD380" i="1"/>
  <c r="AH380" i="1" s="1"/>
  <c r="AD382" i="1"/>
  <c r="AH382" i="1" s="1"/>
  <c r="AD383" i="1"/>
  <c r="AH383" i="1" s="1"/>
  <c r="AD384" i="1"/>
  <c r="AH384" i="1" s="1"/>
  <c r="AD385" i="1"/>
  <c r="AH385" i="1" s="1"/>
  <c r="AD386" i="1"/>
  <c r="AH386" i="1" s="1"/>
  <c r="AD387" i="1"/>
  <c r="AH387" i="1" s="1"/>
  <c r="AD388" i="1"/>
  <c r="AH388" i="1" s="1"/>
  <c r="AD389" i="1"/>
  <c r="AH389" i="1" s="1"/>
  <c r="AD390" i="1"/>
  <c r="AH390" i="1" s="1"/>
  <c r="AD391" i="1"/>
  <c r="AH391" i="1" s="1"/>
  <c r="AD392" i="1"/>
  <c r="AH392" i="1" s="1"/>
  <c r="AD393" i="1"/>
  <c r="AH393" i="1" s="1"/>
  <c r="AD394" i="1"/>
  <c r="AH394" i="1" s="1"/>
  <c r="AD395" i="1"/>
  <c r="AH395" i="1" s="1"/>
  <c r="AD396" i="1"/>
  <c r="AH396" i="1" s="1"/>
  <c r="AD397" i="1"/>
  <c r="AH397" i="1" s="1"/>
  <c r="AD398" i="1"/>
  <c r="AH398" i="1" s="1"/>
  <c r="AD399" i="1"/>
  <c r="AH399" i="1" s="1"/>
  <c r="AD400" i="1"/>
  <c r="AH400" i="1" s="1"/>
  <c r="AD404" i="1"/>
  <c r="AH404" i="1" s="1"/>
  <c r="AD405" i="1"/>
  <c r="AH405" i="1" s="1"/>
  <c r="AD406" i="1"/>
  <c r="AH406" i="1" s="1"/>
  <c r="AD407" i="1"/>
  <c r="AH407" i="1" s="1"/>
  <c r="AD408" i="1"/>
  <c r="AH408" i="1" s="1"/>
  <c r="AD409" i="1"/>
  <c r="AH409" i="1" s="1"/>
  <c r="AD410" i="1"/>
  <c r="AH410" i="1" s="1"/>
  <c r="AD411" i="1"/>
  <c r="AH411" i="1" s="1"/>
  <c r="AD412" i="1"/>
  <c r="AH412" i="1" s="1"/>
  <c r="AD413" i="1"/>
  <c r="AH413" i="1" s="1"/>
  <c r="AD414" i="1"/>
  <c r="AH414" i="1" s="1"/>
  <c r="AD417" i="1"/>
  <c r="AH417" i="1" s="1"/>
  <c r="AD418" i="1"/>
  <c r="AH418" i="1" s="1"/>
  <c r="AD419" i="1"/>
  <c r="AH419" i="1" s="1"/>
  <c r="AD420" i="1"/>
  <c r="AH420" i="1" s="1"/>
  <c r="AD421" i="1"/>
  <c r="AH421" i="1" s="1"/>
  <c r="AD422" i="1"/>
  <c r="AH422" i="1" s="1"/>
  <c r="AD423" i="1"/>
  <c r="AH423" i="1" s="1"/>
  <c r="AD424" i="1"/>
  <c r="AH424" i="1" s="1"/>
  <c r="AD425" i="1"/>
  <c r="AH425" i="1" s="1"/>
  <c r="AD426" i="1"/>
  <c r="AH426" i="1" s="1"/>
  <c r="AD427" i="1"/>
  <c r="AH427" i="1" s="1"/>
  <c r="AD428" i="1"/>
  <c r="AH428" i="1" s="1"/>
  <c r="AD429" i="1"/>
  <c r="AH429" i="1" s="1"/>
  <c r="AD430" i="1"/>
  <c r="AH430" i="1" s="1"/>
  <c r="AD431" i="1"/>
  <c r="AH431" i="1" s="1"/>
  <c r="AD432" i="1"/>
  <c r="AH432" i="1" s="1"/>
  <c r="AD433" i="1"/>
  <c r="AH433" i="1" s="1"/>
  <c r="AD434" i="1"/>
  <c r="AH434" i="1" s="1"/>
  <c r="AD435" i="1"/>
  <c r="AH435" i="1" s="1"/>
  <c r="AD436" i="1"/>
  <c r="AH436" i="1" s="1"/>
  <c r="AD437" i="1"/>
  <c r="AH437" i="1" s="1"/>
  <c r="AD438" i="1"/>
  <c r="AH438" i="1" s="1"/>
  <c r="AD439" i="1"/>
  <c r="AH439" i="1" s="1"/>
  <c r="AD440" i="1"/>
  <c r="AH440" i="1" s="1"/>
  <c r="AD441" i="1"/>
  <c r="AD442" i="1"/>
  <c r="AH442" i="1" s="1"/>
  <c r="AD443" i="1"/>
  <c r="AH443" i="1" s="1"/>
  <c r="AD444" i="1"/>
  <c r="AH444" i="1" s="1"/>
  <c r="AD445" i="1"/>
  <c r="AH445" i="1" s="1"/>
  <c r="AD446" i="1"/>
  <c r="AH446" i="1" s="1"/>
  <c r="AD447" i="1"/>
  <c r="AH447" i="1" s="1"/>
  <c r="AD449" i="1"/>
  <c r="AH449" i="1" s="1"/>
  <c r="AD450" i="1"/>
  <c r="AH450" i="1" s="1"/>
  <c r="AD451" i="1"/>
  <c r="AH451" i="1" s="1"/>
  <c r="AD452" i="1"/>
  <c r="AH452" i="1" s="1"/>
  <c r="AD453" i="1"/>
  <c r="AH453" i="1" s="1"/>
  <c r="AD454" i="1"/>
  <c r="AH454" i="1" s="1"/>
  <c r="AD455" i="1"/>
  <c r="AH455" i="1" s="1"/>
  <c r="AD457" i="1"/>
  <c r="AH457" i="1" s="1"/>
  <c r="AD460" i="1"/>
  <c r="AH460" i="1" s="1"/>
  <c r="AD462" i="1"/>
  <c r="AH462" i="1" s="1"/>
  <c r="AD464" i="1"/>
  <c r="AH464" i="1" s="1"/>
  <c r="AD465" i="1"/>
  <c r="AH465" i="1" s="1"/>
  <c r="AD466" i="1"/>
  <c r="AH466" i="1" s="1"/>
  <c r="AD467" i="1"/>
  <c r="AH467" i="1" s="1"/>
  <c r="AD469" i="1"/>
  <c r="AH469" i="1" s="1"/>
  <c r="AD470" i="1"/>
  <c r="AH470" i="1" s="1"/>
  <c r="AD474" i="1"/>
  <c r="AH474" i="1" s="1"/>
  <c r="AD475" i="1"/>
  <c r="AH475" i="1" s="1"/>
  <c r="AD476" i="1"/>
  <c r="AH476" i="1" s="1"/>
  <c r="AD477" i="1"/>
  <c r="AH477" i="1" s="1"/>
  <c r="AD478" i="1"/>
  <c r="AH478" i="1" s="1"/>
  <c r="AD479" i="1"/>
  <c r="AH479" i="1" s="1"/>
  <c r="AD480" i="1"/>
  <c r="AH480" i="1" s="1"/>
  <c r="AD481" i="1"/>
  <c r="AH481" i="1" s="1"/>
  <c r="AD482" i="1"/>
  <c r="AH482" i="1" s="1"/>
  <c r="AD483" i="1"/>
  <c r="AH483" i="1" s="1"/>
  <c r="AD484" i="1"/>
  <c r="AH484" i="1" s="1"/>
  <c r="AD485" i="1"/>
  <c r="AH485" i="1" s="1"/>
  <c r="AD489" i="1"/>
  <c r="AH489" i="1" s="1"/>
  <c r="AD490" i="1"/>
  <c r="AH490" i="1" s="1"/>
  <c r="AD491" i="1"/>
  <c r="AH491" i="1" s="1"/>
  <c r="AD492" i="1"/>
  <c r="AL492" i="1" s="1"/>
  <c r="AD493" i="1"/>
  <c r="AH493" i="1" s="1"/>
  <c r="AD494" i="1"/>
  <c r="AH494" i="1" s="1"/>
  <c r="AD495" i="1"/>
  <c r="AH495" i="1" s="1"/>
  <c r="AD496" i="1"/>
  <c r="AD497" i="1"/>
  <c r="AH497" i="1" s="1"/>
  <c r="AD498" i="1"/>
  <c r="AH498" i="1" s="1"/>
  <c r="AD499" i="1"/>
  <c r="AH499" i="1" s="1"/>
  <c r="AD500" i="1"/>
  <c r="AH500" i="1" s="1"/>
  <c r="AD501" i="1"/>
  <c r="AH501" i="1" s="1"/>
  <c r="AD502" i="1"/>
  <c r="AH502" i="1" s="1"/>
  <c r="AD503" i="1"/>
  <c r="AD504" i="1"/>
  <c r="AH504" i="1" s="1"/>
  <c r="AD506" i="1"/>
  <c r="AH506" i="1" s="1"/>
  <c r="AD507" i="1"/>
  <c r="AH507" i="1" s="1"/>
  <c r="AD508" i="1"/>
  <c r="AH508" i="1" s="1"/>
  <c r="AD509" i="1"/>
  <c r="AH509" i="1" s="1"/>
  <c r="AD510" i="1"/>
  <c r="AH510" i="1" s="1"/>
  <c r="AD511" i="1"/>
  <c r="AH511" i="1" s="1"/>
  <c r="AD515" i="1"/>
  <c r="AH515" i="1" s="1"/>
  <c r="AD516" i="1"/>
  <c r="AH516" i="1" s="1"/>
  <c r="AD517" i="1"/>
  <c r="AH517" i="1" s="1"/>
  <c r="AD518" i="1"/>
  <c r="AH518" i="1" s="1"/>
  <c r="AD519" i="1"/>
  <c r="AH519" i="1" s="1"/>
  <c r="AD520" i="1"/>
  <c r="AH520" i="1" s="1"/>
  <c r="AD521" i="1"/>
  <c r="AH521" i="1" s="1"/>
  <c r="AD522" i="1"/>
  <c r="AH522" i="1" s="1"/>
  <c r="AD523" i="1"/>
  <c r="AH523" i="1" s="1"/>
  <c r="AD524" i="1"/>
  <c r="AH524" i="1" s="1"/>
  <c r="AD525" i="1"/>
  <c r="AH525" i="1" s="1"/>
  <c r="AD526" i="1"/>
  <c r="AH526" i="1" s="1"/>
  <c r="AD527" i="1"/>
  <c r="AH527" i="1" s="1"/>
  <c r="AD528" i="1"/>
  <c r="AH528" i="1" s="1"/>
  <c r="AD529" i="1"/>
  <c r="AH529" i="1" s="1"/>
  <c r="AD530" i="1"/>
  <c r="AH530" i="1" s="1"/>
  <c r="AD531" i="1"/>
  <c r="AH531" i="1" s="1"/>
  <c r="AD532" i="1"/>
  <c r="AH532" i="1" s="1"/>
  <c r="AD533" i="1"/>
  <c r="AH533" i="1" s="1"/>
  <c r="AD534" i="1"/>
  <c r="AH534" i="1" s="1"/>
  <c r="AD535" i="1"/>
  <c r="AH535" i="1" s="1"/>
  <c r="AD536" i="1"/>
  <c r="AH536" i="1" s="1"/>
  <c r="AD537" i="1"/>
  <c r="AD539" i="1"/>
  <c r="AH539" i="1" s="1"/>
  <c r="AD540" i="1"/>
  <c r="AH540" i="1" s="1"/>
  <c r="AD541" i="1"/>
  <c r="AH541" i="1" s="1"/>
  <c r="AD542" i="1"/>
  <c r="AL542" i="1" s="1"/>
  <c r="AD543" i="1"/>
  <c r="AH543" i="1" s="1"/>
  <c r="AD544" i="1"/>
  <c r="AH544" i="1" s="1"/>
  <c r="AD545" i="1"/>
  <c r="AH545" i="1" s="1"/>
  <c r="AD546" i="1"/>
  <c r="AH546" i="1" s="1"/>
  <c r="AD547" i="1"/>
  <c r="AH547" i="1" s="1"/>
  <c r="AD548" i="1"/>
  <c r="AH548" i="1" s="1"/>
  <c r="AD549" i="1"/>
  <c r="AH549" i="1" s="1"/>
  <c r="AD550" i="1"/>
  <c r="AD551" i="1"/>
  <c r="AH551" i="1" s="1"/>
  <c r="AD553" i="1"/>
  <c r="AH553" i="1" s="1"/>
  <c r="AD554" i="1"/>
  <c r="AH554" i="1" s="1"/>
  <c r="AD556" i="1"/>
  <c r="AH556" i="1" s="1"/>
  <c r="AD557" i="1"/>
  <c r="AH557" i="1" s="1"/>
  <c r="AD558" i="1"/>
  <c r="AH558" i="1" s="1"/>
  <c r="AD559" i="1"/>
  <c r="AH559" i="1" s="1"/>
  <c r="AD560" i="1"/>
  <c r="AH560" i="1" s="1"/>
  <c r="AD561" i="1"/>
  <c r="AD563" i="1"/>
  <c r="AH563" i="1" s="1"/>
  <c r="AD564" i="1"/>
  <c r="AH564" i="1" s="1"/>
  <c r="AD566" i="1"/>
  <c r="AH566" i="1" s="1"/>
  <c r="AD567" i="1"/>
  <c r="AH567" i="1" s="1"/>
  <c r="AD568" i="1"/>
  <c r="AH568" i="1" s="1"/>
  <c r="AD569" i="1"/>
  <c r="AH569" i="1" s="1"/>
  <c r="AD570" i="1"/>
  <c r="AH570" i="1" s="1"/>
  <c r="AD571" i="1"/>
  <c r="AH571" i="1" s="1"/>
  <c r="AD572" i="1"/>
  <c r="AH572" i="1" s="1"/>
  <c r="AD573" i="1"/>
  <c r="AH573" i="1" s="1"/>
  <c r="AD574" i="1"/>
  <c r="AH574" i="1" s="1"/>
  <c r="AD575" i="1"/>
  <c r="AH575" i="1" s="1"/>
  <c r="AD576" i="1"/>
  <c r="AH576" i="1" s="1"/>
  <c r="AD577" i="1"/>
  <c r="AH577" i="1" s="1"/>
  <c r="AD578" i="1"/>
  <c r="AH578" i="1" s="1"/>
  <c r="AD582" i="1"/>
  <c r="AH582" i="1" s="1"/>
  <c r="AD583" i="1"/>
  <c r="AH583" i="1" s="1"/>
  <c r="AD584" i="1"/>
  <c r="AH584" i="1" s="1"/>
  <c r="AD586" i="1"/>
  <c r="AH586" i="1" s="1"/>
  <c r="AD588" i="1"/>
  <c r="AH588" i="1" s="1"/>
  <c r="AD589" i="1"/>
  <c r="AH589" i="1" s="1"/>
  <c r="AD590" i="1"/>
  <c r="AH590" i="1" s="1"/>
  <c r="AD591" i="1"/>
  <c r="AH591" i="1" s="1"/>
  <c r="AD592" i="1"/>
  <c r="AH592" i="1" s="1"/>
  <c r="AD593" i="1"/>
  <c r="AH593" i="1" s="1"/>
  <c r="AD594" i="1"/>
  <c r="AH594" i="1" s="1"/>
  <c r="AD595" i="1"/>
  <c r="AH595" i="1" s="1"/>
  <c r="AD596" i="1"/>
  <c r="AH596" i="1" s="1"/>
  <c r="AD601" i="1"/>
  <c r="AH601" i="1" s="1"/>
  <c r="AD604" i="1"/>
  <c r="AH604" i="1" s="1"/>
  <c r="AD606" i="1"/>
  <c r="AH606" i="1" s="1"/>
  <c r="AD607" i="1"/>
  <c r="AH607" i="1" s="1"/>
  <c r="AD609" i="1"/>
  <c r="AD610" i="1"/>
  <c r="AH610" i="1" s="1"/>
  <c r="AD611" i="1"/>
  <c r="AH611" i="1" s="1"/>
  <c r="AD613" i="1"/>
  <c r="AH613" i="1" s="1"/>
  <c r="AD614" i="1"/>
  <c r="AH614" i="1" s="1"/>
  <c r="AD615" i="1"/>
  <c r="AH615" i="1" s="1"/>
  <c r="AD654" i="1"/>
  <c r="AH654" i="1" s="1"/>
  <c r="AD655" i="1"/>
  <c r="AH655" i="1" s="1"/>
  <c r="AD656" i="1"/>
  <c r="AH656" i="1" s="1"/>
  <c r="AD616" i="1"/>
  <c r="AH616" i="1" s="1"/>
  <c r="AD617" i="1"/>
  <c r="AH617" i="1" s="1"/>
  <c r="AD618" i="1"/>
  <c r="AH618" i="1" s="1"/>
  <c r="AD619" i="1"/>
  <c r="AH619" i="1" s="1"/>
  <c r="AD620" i="1"/>
  <c r="AH620" i="1" s="1"/>
  <c r="AD621" i="1"/>
  <c r="AH621" i="1" s="1"/>
  <c r="AD622" i="1"/>
  <c r="AH622" i="1" s="1"/>
  <c r="AD623" i="1"/>
  <c r="AH623" i="1" s="1"/>
  <c r="AD624" i="1"/>
  <c r="AH624" i="1" s="1"/>
  <c r="AD625" i="1"/>
  <c r="AH625" i="1" s="1"/>
  <c r="AD626" i="1"/>
  <c r="AH626" i="1" s="1"/>
  <c r="AD627" i="1"/>
  <c r="AH627" i="1" s="1"/>
  <c r="AD628" i="1"/>
  <c r="AH628" i="1" s="1"/>
  <c r="AD629" i="1"/>
  <c r="AH629" i="1" s="1"/>
  <c r="AD630" i="1"/>
  <c r="AH630" i="1" s="1"/>
  <c r="AD631" i="1"/>
  <c r="AH631" i="1" s="1"/>
  <c r="AD632" i="1"/>
  <c r="AH632" i="1" s="1"/>
  <c r="AD633" i="1"/>
  <c r="AH633" i="1" s="1"/>
  <c r="AD634" i="1"/>
  <c r="AH634" i="1" s="1"/>
  <c r="AD635" i="1"/>
  <c r="AH635" i="1" s="1"/>
  <c r="AD636" i="1"/>
  <c r="AH636" i="1" s="1"/>
  <c r="AD637" i="1"/>
  <c r="AH637" i="1" s="1"/>
  <c r="AD638" i="1"/>
  <c r="AH638" i="1" s="1"/>
  <c r="AD639" i="1"/>
  <c r="AH639" i="1" s="1"/>
  <c r="AD640" i="1"/>
  <c r="AH640" i="1" s="1"/>
  <c r="AD641" i="1"/>
  <c r="X641" i="1" s="1"/>
  <c r="AD642" i="1"/>
  <c r="AH642" i="1" s="1"/>
  <c r="AD643" i="1"/>
  <c r="AH643" i="1" s="1"/>
  <c r="AD644" i="1"/>
  <c r="AH644" i="1" s="1"/>
  <c r="AD645" i="1"/>
  <c r="AH645" i="1" s="1"/>
  <c r="AD646" i="1"/>
  <c r="AH646" i="1" s="1"/>
  <c r="AD647" i="1"/>
  <c r="AH647" i="1" s="1"/>
  <c r="AD648" i="1"/>
  <c r="AH648" i="1" s="1"/>
  <c r="AD649" i="1"/>
  <c r="AH649" i="1" s="1"/>
  <c r="AD650" i="1"/>
  <c r="AH650" i="1" s="1"/>
  <c r="AD651" i="1"/>
  <c r="AH651" i="1" s="1"/>
  <c r="AD652" i="1"/>
  <c r="AH652" i="1" s="1"/>
  <c r="AD653" i="1"/>
  <c r="AH653" i="1" s="1"/>
  <c r="AD657" i="1"/>
  <c r="AH657" i="1" s="1"/>
  <c r="AD658" i="1"/>
  <c r="AH658" i="1" s="1"/>
  <c r="AD659" i="1"/>
  <c r="AH659" i="1" s="1"/>
  <c r="AD660" i="1"/>
  <c r="AH660" i="1" s="1"/>
  <c r="AD661" i="1"/>
  <c r="AH661" i="1" s="1"/>
  <c r="AD663" i="1"/>
  <c r="AH663" i="1" s="1"/>
  <c r="AD664" i="1"/>
  <c r="AH664" i="1" s="1"/>
  <c r="AD665" i="1"/>
  <c r="AH665" i="1" s="1"/>
  <c r="AD667" i="1"/>
  <c r="AD668" i="1"/>
  <c r="AH668" i="1" s="1"/>
  <c r="AD669" i="1"/>
  <c r="AH669" i="1" s="1"/>
  <c r="AD670" i="1"/>
  <c r="AH670" i="1" s="1"/>
  <c r="AD671" i="1"/>
  <c r="AH671" i="1" s="1"/>
  <c r="AD672" i="1"/>
  <c r="AH672" i="1" s="1"/>
  <c r="AD673" i="1"/>
  <c r="AH673" i="1" s="1"/>
  <c r="AD674" i="1"/>
  <c r="AH674" i="1" s="1"/>
  <c r="AD675" i="1"/>
  <c r="AH675" i="1" s="1"/>
  <c r="AD676" i="1"/>
  <c r="AH676" i="1" s="1"/>
  <c r="AD677" i="1"/>
  <c r="AH677" i="1" s="1"/>
  <c r="AD678" i="1"/>
  <c r="AD679" i="1"/>
  <c r="AH679" i="1" s="1"/>
  <c r="AD680" i="1"/>
  <c r="AH680" i="1" s="1"/>
  <c r="AD681" i="1"/>
  <c r="AH681" i="1" s="1"/>
  <c r="AD682" i="1"/>
  <c r="AH682" i="1" s="1"/>
  <c r="AD683" i="1"/>
  <c r="AH683" i="1" s="1"/>
  <c r="AD684" i="1"/>
  <c r="AH684" i="1" s="1"/>
  <c r="AD688" i="1"/>
  <c r="AH688" i="1" s="1"/>
  <c r="AD689" i="1"/>
  <c r="AH689" i="1" s="1"/>
  <c r="AD690" i="1"/>
  <c r="AH690" i="1" s="1"/>
  <c r="AD692" i="1"/>
  <c r="AH692" i="1" s="1"/>
  <c r="AD697" i="1"/>
  <c r="AH697" i="1" s="1"/>
  <c r="AD698" i="1"/>
  <c r="AH698" i="1" s="1"/>
  <c r="AD699" i="1"/>
  <c r="AH699" i="1" s="1"/>
  <c r="AD700" i="1"/>
  <c r="AH700" i="1" s="1"/>
  <c r="AD701" i="1"/>
  <c r="AH701" i="1" s="1"/>
  <c r="AD702" i="1"/>
  <c r="AH702" i="1" s="1"/>
  <c r="AD703" i="1"/>
  <c r="AH703" i="1" s="1"/>
  <c r="AD704" i="1"/>
  <c r="AH704" i="1" s="1"/>
  <c r="AD705" i="1"/>
  <c r="AH705" i="1" s="1"/>
  <c r="AD706" i="1"/>
  <c r="AH706" i="1" s="1"/>
  <c r="AD707" i="1"/>
  <c r="AD708" i="1"/>
  <c r="AH708" i="1" s="1"/>
  <c r="AD709" i="1"/>
  <c r="AH709" i="1" s="1"/>
  <c r="AD710" i="1"/>
  <c r="AH710" i="1" s="1"/>
  <c r="AD711" i="1"/>
  <c r="AH711" i="1" s="1"/>
  <c r="AD712" i="1"/>
  <c r="AH712" i="1" s="1"/>
  <c r="AD713" i="1"/>
  <c r="AH713" i="1" s="1"/>
  <c r="AD714" i="1"/>
  <c r="AH714" i="1" s="1"/>
  <c r="AD715" i="1"/>
  <c r="AH715" i="1" s="1"/>
  <c r="AD716" i="1"/>
  <c r="AH716" i="1" s="1"/>
  <c r="AD717" i="1"/>
  <c r="AH717" i="1" s="1"/>
  <c r="AD718" i="1"/>
  <c r="AH718" i="1" s="1"/>
  <c r="AD719" i="1"/>
  <c r="AH719" i="1" s="1"/>
  <c r="AD720" i="1"/>
  <c r="AH720" i="1" s="1"/>
  <c r="AD721" i="1"/>
  <c r="AH721" i="1" s="1"/>
  <c r="AD722" i="1"/>
  <c r="AH722" i="1" s="1"/>
  <c r="AD723" i="1"/>
  <c r="AH723" i="1" s="1"/>
  <c r="AD724" i="1"/>
  <c r="AH724" i="1" s="1"/>
  <c r="AD725" i="1"/>
  <c r="AH725" i="1" s="1"/>
  <c r="AD726" i="1"/>
  <c r="AH726" i="1" s="1"/>
  <c r="AD727" i="1"/>
  <c r="AH727" i="1" s="1"/>
  <c r="AD728" i="1"/>
  <c r="AD729" i="1"/>
  <c r="AH729" i="1" s="1"/>
  <c r="AD730" i="1"/>
  <c r="AH730" i="1" s="1"/>
  <c r="AD731" i="1"/>
  <c r="AH731" i="1" s="1"/>
  <c r="AD732" i="1"/>
  <c r="AH732" i="1" s="1"/>
  <c r="AD733" i="1"/>
  <c r="AH733" i="1" s="1"/>
  <c r="AD734" i="1"/>
  <c r="AH734" i="1" s="1"/>
  <c r="AD735" i="1"/>
  <c r="AH735" i="1" s="1"/>
  <c r="AD736" i="1"/>
  <c r="AH736" i="1" s="1"/>
  <c r="AD737" i="1"/>
  <c r="AH737" i="1" s="1"/>
  <c r="AD738" i="1"/>
  <c r="AH738" i="1" s="1"/>
  <c r="AD739" i="1"/>
  <c r="AH739" i="1" s="1"/>
  <c r="AD740" i="1"/>
  <c r="AH740" i="1" s="1"/>
  <c r="AD742" i="1"/>
  <c r="AH742" i="1" s="1"/>
  <c r="AD743" i="1"/>
  <c r="AH743" i="1" s="1"/>
  <c r="AD744" i="1"/>
  <c r="AH744" i="1" s="1"/>
  <c r="AD745" i="1"/>
  <c r="AH745" i="1" s="1"/>
  <c r="AD746" i="1"/>
  <c r="AH746" i="1" s="1"/>
  <c r="AD747" i="1"/>
  <c r="AH747" i="1" s="1"/>
  <c r="AD748" i="1"/>
  <c r="AH748" i="1" s="1"/>
  <c r="AD749" i="1"/>
  <c r="AH749" i="1" s="1"/>
  <c r="AD750" i="1"/>
  <c r="AH750" i="1" s="1"/>
  <c r="AD756" i="1"/>
  <c r="AH756" i="1" s="1"/>
  <c r="AD757" i="1"/>
  <c r="AH757" i="1" s="1"/>
  <c r="AD758" i="1"/>
  <c r="AH758" i="1" s="1"/>
  <c r="AD759" i="1"/>
  <c r="AH759" i="1" s="1"/>
  <c r="AD760" i="1"/>
  <c r="AH760" i="1" s="1"/>
  <c r="AD761" i="1"/>
  <c r="AH761" i="1" s="1"/>
  <c r="AD762" i="1"/>
  <c r="AH762" i="1" s="1"/>
  <c r="AD763" i="1"/>
  <c r="AH763" i="1" s="1"/>
  <c r="AD764" i="1"/>
  <c r="AH764" i="1" s="1"/>
  <c r="AD765" i="1"/>
  <c r="AH765" i="1" s="1"/>
  <c r="AD766" i="1"/>
  <c r="AH766" i="1" s="1"/>
  <c r="AD767" i="1"/>
  <c r="AH767" i="1" s="1"/>
  <c r="AD768" i="1"/>
  <c r="AH768" i="1" s="1"/>
  <c r="AD769" i="1"/>
  <c r="AH769" i="1" s="1"/>
  <c r="AD770" i="1"/>
  <c r="AH770" i="1" s="1"/>
  <c r="AD771" i="1"/>
  <c r="AH771" i="1" s="1"/>
  <c r="AD772" i="1"/>
  <c r="AH772" i="1" s="1"/>
  <c r="AD773" i="1"/>
  <c r="AH773" i="1" s="1"/>
  <c r="AD774" i="1"/>
  <c r="AH774" i="1" s="1"/>
  <c r="AD775" i="1"/>
  <c r="AH775" i="1" s="1"/>
  <c r="AD776" i="1"/>
  <c r="AH776" i="1" s="1"/>
  <c r="AD777" i="1"/>
  <c r="AH777" i="1" s="1"/>
  <c r="AD778" i="1"/>
  <c r="AH778" i="1" s="1"/>
  <c r="AD779" i="1"/>
  <c r="AH779" i="1" s="1"/>
  <c r="AD780" i="1"/>
  <c r="AH780" i="1" s="1"/>
  <c r="AD781" i="1"/>
  <c r="AH781" i="1" s="1"/>
  <c r="AD782" i="1"/>
  <c r="AH782" i="1" s="1"/>
  <c r="AD783" i="1"/>
  <c r="AH783" i="1" s="1"/>
  <c r="AD784" i="1"/>
  <c r="AH784" i="1" s="1"/>
  <c r="AD785" i="1"/>
  <c r="AH785" i="1" s="1"/>
  <c r="AD786" i="1"/>
  <c r="AH786" i="1" s="1"/>
  <c r="AD787" i="1"/>
  <c r="AD788" i="1"/>
  <c r="AH788" i="1" s="1"/>
  <c r="AD789" i="1"/>
  <c r="AH789" i="1" s="1"/>
  <c r="AD790" i="1"/>
  <c r="AH790" i="1" s="1"/>
  <c r="AD791" i="1"/>
  <c r="AH791" i="1" s="1"/>
  <c r="AD792" i="1"/>
  <c r="AH792" i="1" s="1"/>
  <c r="AD793" i="1"/>
  <c r="AH793" i="1" s="1"/>
  <c r="AD794" i="1"/>
  <c r="AH794" i="1" s="1"/>
  <c r="AD795" i="1"/>
  <c r="AH795" i="1" s="1"/>
  <c r="AD796" i="1"/>
  <c r="AD797" i="1"/>
  <c r="AH797" i="1" s="1"/>
  <c r="AD798" i="1"/>
  <c r="AH798" i="1" s="1"/>
  <c r="AD799" i="1"/>
  <c r="AH799" i="1" s="1"/>
  <c r="AD800" i="1"/>
  <c r="AH800" i="1" s="1"/>
  <c r="AD801" i="1"/>
  <c r="AH801" i="1" s="1"/>
  <c r="AD802" i="1"/>
  <c r="AH802" i="1" s="1"/>
  <c r="AD803" i="1"/>
  <c r="AH803" i="1" s="1"/>
  <c r="AD804" i="1"/>
  <c r="AH804" i="1" s="1"/>
  <c r="AD805" i="1"/>
  <c r="AH805" i="1" s="1"/>
  <c r="AD806" i="1"/>
  <c r="AD807" i="1"/>
  <c r="AH807" i="1" s="1"/>
  <c r="AD808" i="1"/>
  <c r="AH808" i="1" s="1"/>
  <c r="AD809" i="1"/>
  <c r="AH809" i="1" s="1"/>
  <c r="AD810" i="1"/>
  <c r="AH810" i="1" s="1"/>
  <c r="AD811" i="1"/>
  <c r="AH811" i="1" s="1"/>
  <c r="AD812" i="1"/>
  <c r="AH812" i="1" s="1"/>
  <c r="AD813" i="1"/>
  <c r="AH813" i="1" s="1"/>
  <c r="AD814" i="1"/>
  <c r="AH814" i="1" s="1"/>
  <c r="AD815" i="1"/>
  <c r="AH815" i="1" s="1"/>
  <c r="AD816" i="1"/>
  <c r="AH816" i="1" s="1"/>
  <c r="AD817" i="1"/>
  <c r="AH817" i="1" s="1"/>
  <c r="AD818" i="1"/>
  <c r="AH818" i="1" s="1"/>
  <c r="AD820" i="1"/>
  <c r="AH820" i="1" s="1"/>
  <c r="AD822" i="1"/>
  <c r="AH822" i="1" s="1"/>
  <c r="AD823" i="1"/>
  <c r="AH823" i="1" s="1"/>
  <c r="AD824" i="1"/>
  <c r="AH824" i="1" s="1"/>
  <c r="AD825" i="1"/>
  <c r="AH825" i="1" s="1"/>
  <c r="AD826" i="1"/>
  <c r="AH826" i="1" s="1"/>
  <c r="AD827" i="1"/>
  <c r="AH827" i="1" s="1"/>
  <c r="AD828" i="1"/>
  <c r="AH828" i="1" s="1"/>
  <c r="AD829" i="1"/>
  <c r="AH829" i="1" s="1"/>
  <c r="AD830" i="1"/>
  <c r="AH830" i="1" s="1"/>
  <c r="AD831" i="1"/>
  <c r="AH831" i="1" s="1"/>
  <c r="AD832" i="1"/>
  <c r="AH832" i="1" s="1"/>
  <c r="AD833" i="1"/>
  <c r="AH833" i="1" s="1"/>
  <c r="AD834" i="1"/>
  <c r="AH834" i="1" s="1"/>
  <c r="AD835" i="1"/>
  <c r="AH835" i="1" s="1"/>
  <c r="AD836" i="1"/>
  <c r="AH836" i="1" s="1"/>
  <c r="AD837" i="1"/>
  <c r="AH837" i="1" s="1"/>
  <c r="AD838" i="1"/>
  <c r="AH838" i="1" s="1"/>
  <c r="AD839" i="1"/>
  <c r="AD840" i="1"/>
  <c r="AH840" i="1" s="1"/>
  <c r="AD841" i="1"/>
  <c r="AH841" i="1" s="1"/>
  <c r="AD842" i="1"/>
  <c r="AH842" i="1" s="1"/>
  <c r="AD843" i="1"/>
  <c r="AH843" i="1" s="1"/>
  <c r="AD844" i="1"/>
  <c r="AH844" i="1" s="1"/>
  <c r="AD845" i="1"/>
  <c r="AH845" i="1" s="1"/>
  <c r="AD846" i="1"/>
  <c r="AH846" i="1" s="1"/>
  <c r="AD847" i="1"/>
  <c r="AH847" i="1" s="1"/>
  <c r="AD848" i="1"/>
  <c r="AH848" i="1" s="1"/>
  <c r="AD849" i="1"/>
  <c r="AH849" i="1" s="1"/>
  <c r="AD850" i="1"/>
  <c r="AH850" i="1" s="1"/>
  <c r="AD851" i="1"/>
  <c r="AH851" i="1" s="1"/>
  <c r="AD852" i="1"/>
  <c r="AH852" i="1" s="1"/>
  <c r="AD853" i="1"/>
  <c r="AH853" i="1" s="1"/>
  <c r="AD854" i="1"/>
  <c r="AH854" i="1" s="1"/>
  <c r="AD855" i="1"/>
  <c r="AH855" i="1" s="1"/>
  <c r="AD856" i="1"/>
  <c r="AH856" i="1" s="1"/>
  <c r="AD857" i="1"/>
  <c r="AH857" i="1" s="1"/>
  <c r="AD858" i="1"/>
  <c r="AH858" i="1" s="1"/>
  <c r="AD859" i="1"/>
  <c r="AH859" i="1" s="1"/>
  <c r="AD860" i="1"/>
  <c r="AH860" i="1" s="1"/>
  <c r="AD861" i="1"/>
  <c r="AD862" i="1"/>
  <c r="AH862" i="1" s="1"/>
  <c r="AD863" i="1"/>
  <c r="AH863" i="1" s="1"/>
  <c r="AD864" i="1"/>
  <c r="AH864" i="1" s="1"/>
  <c r="AD865" i="1"/>
  <c r="AH865" i="1" s="1"/>
  <c r="AD866" i="1"/>
  <c r="AH866" i="1" s="1"/>
  <c r="AD867" i="1"/>
  <c r="AH867" i="1" s="1"/>
  <c r="AD868" i="1"/>
  <c r="AH868" i="1" s="1"/>
  <c r="AD869" i="1"/>
  <c r="AH869" i="1" s="1"/>
  <c r="AD871" i="1"/>
  <c r="AH871" i="1" s="1"/>
  <c r="AD872" i="1"/>
  <c r="AH872" i="1" s="1"/>
  <c r="AD873" i="1"/>
  <c r="AH873" i="1" s="1"/>
  <c r="AD874" i="1"/>
  <c r="AH874" i="1" s="1"/>
  <c r="AD875" i="1"/>
  <c r="AH875" i="1" s="1"/>
  <c r="AD876" i="1"/>
  <c r="AH876" i="1" s="1"/>
  <c r="AD877" i="1"/>
  <c r="AH877" i="1" s="1"/>
  <c r="AD878" i="1"/>
  <c r="AH878" i="1" s="1"/>
  <c r="AD879" i="1"/>
  <c r="AH879" i="1" s="1"/>
  <c r="AD880" i="1"/>
  <c r="AH880" i="1" s="1"/>
  <c r="AD881" i="1"/>
  <c r="AH881" i="1" s="1"/>
  <c r="AD882" i="1"/>
  <c r="AH882" i="1" s="1"/>
  <c r="AD885" i="1"/>
  <c r="AH885" i="1" s="1"/>
  <c r="AD886" i="1"/>
  <c r="AH886" i="1" s="1"/>
  <c r="AD887" i="1"/>
  <c r="AH887" i="1" s="1"/>
  <c r="AD888" i="1"/>
  <c r="AH888" i="1" s="1"/>
  <c r="AD889" i="1"/>
  <c r="AH889" i="1" s="1"/>
  <c r="AD891" i="1"/>
  <c r="AH891" i="1" s="1"/>
  <c r="AD900" i="1"/>
  <c r="AH900" i="1" s="1"/>
  <c r="AD901" i="1"/>
  <c r="AH901" i="1" s="1"/>
  <c r="AD902" i="1"/>
  <c r="AH902" i="1" s="1"/>
  <c r="AD903" i="1"/>
  <c r="AH903" i="1" s="1"/>
  <c r="AD904" i="1"/>
  <c r="AH904" i="1" s="1"/>
  <c r="AD905" i="1"/>
  <c r="AH905" i="1" s="1"/>
  <c r="AD906" i="1"/>
  <c r="AH906" i="1" s="1"/>
  <c r="AD908" i="1"/>
  <c r="AH908" i="1" s="1"/>
  <c r="AD909" i="1"/>
  <c r="AH909" i="1" s="1"/>
  <c r="AD910" i="1"/>
  <c r="AH910" i="1" s="1"/>
  <c r="AD911" i="1"/>
  <c r="AH911" i="1" s="1"/>
  <c r="AD912" i="1"/>
  <c r="AH912" i="1" s="1"/>
  <c r="AD913" i="1"/>
  <c r="AH913" i="1" s="1"/>
  <c r="AD914" i="1"/>
  <c r="AH914" i="1" s="1"/>
  <c r="AD915" i="1"/>
  <c r="AH915" i="1" s="1"/>
  <c r="AD916" i="1"/>
  <c r="AH916" i="1" s="1"/>
  <c r="AD917" i="1"/>
  <c r="AH917" i="1" s="1"/>
  <c r="AD918" i="1"/>
  <c r="AH918" i="1" s="1"/>
  <c r="AD919" i="1"/>
  <c r="AH919" i="1" s="1"/>
  <c r="AD920" i="1"/>
  <c r="AH920" i="1" s="1"/>
  <c r="AD921" i="1"/>
  <c r="AH921" i="1" s="1"/>
  <c r="AD922" i="1"/>
  <c r="AD923" i="1"/>
  <c r="AH923" i="1" s="1"/>
  <c r="AD924" i="1"/>
  <c r="AH924" i="1" s="1"/>
  <c r="AD925" i="1"/>
  <c r="AH925" i="1" s="1"/>
  <c r="AD926" i="1"/>
  <c r="AH926" i="1" s="1"/>
  <c r="AD927" i="1"/>
  <c r="AH927" i="1" s="1"/>
  <c r="AD928" i="1"/>
  <c r="AD929" i="1"/>
  <c r="AH929" i="1" s="1"/>
  <c r="AD930" i="1"/>
  <c r="AH930" i="1" s="1"/>
  <c r="AD931" i="1"/>
  <c r="AH931" i="1" s="1"/>
  <c r="AD932" i="1"/>
  <c r="AI932" i="1" s="1"/>
  <c r="AD933" i="1"/>
  <c r="AH933" i="1" s="1"/>
  <c r="AD934" i="1"/>
  <c r="AH934" i="1" s="1"/>
  <c r="AD935" i="1"/>
  <c r="AH935" i="1" s="1"/>
  <c r="AD936" i="1"/>
  <c r="AH936" i="1" s="1"/>
  <c r="AD937" i="1"/>
  <c r="AH937" i="1" s="1"/>
  <c r="AD938" i="1"/>
  <c r="AH938" i="1" s="1"/>
  <c r="AD939" i="1"/>
  <c r="AH939" i="1" s="1"/>
  <c r="AD940" i="1"/>
  <c r="AD941" i="1"/>
  <c r="AH941" i="1" s="1"/>
  <c r="AD942" i="1"/>
  <c r="AH942" i="1" s="1"/>
  <c r="AD943" i="1"/>
  <c r="AH943" i="1" s="1"/>
  <c r="AD945" i="1"/>
  <c r="AH945" i="1" s="1"/>
  <c r="AD946" i="1"/>
  <c r="AH946" i="1" s="1"/>
  <c r="AD947" i="1"/>
  <c r="AH947" i="1" s="1"/>
  <c r="AD948" i="1"/>
  <c r="AD949" i="1"/>
  <c r="AH949" i="1" s="1"/>
  <c r="AD950" i="1"/>
  <c r="AH950" i="1" s="1"/>
  <c r="AD951" i="1"/>
  <c r="AH951" i="1" s="1"/>
  <c r="AD953" i="1"/>
  <c r="AH953" i="1" s="1"/>
  <c r="AD954" i="1"/>
  <c r="AH954" i="1" s="1"/>
  <c r="AD955" i="1"/>
  <c r="AH955" i="1" s="1"/>
  <c r="AD956" i="1"/>
  <c r="AD957" i="1"/>
  <c r="AH957" i="1" s="1"/>
  <c r="AD959" i="1"/>
  <c r="AH959" i="1" s="1"/>
  <c r="AD960" i="1"/>
  <c r="AH960" i="1" s="1"/>
  <c r="AD961" i="1"/>
  <c r="AH961" i="1" s="1"/>
  <c r="AD962" i="1"/>
  <c r="AH962" i="1" s="1"/>
  <c r="AD963" i="1"/>
  <c r="AH963" i="1" s="1"/>
  <c r="AD964" i="1"/>
  <c r="AH964" i="1" s="1"/>
  <c r="AD965" i="1"/>
  <c r="AH965" i="1" s="1"/>
  <c r="AD966" i="1"/>
  <c r="AH966" i="1" s="1"/>
  <c r="AD967" i="1"/>
  <c r="AH967" i="1" s="1"/>
  <c r="AD968" i="1"/>
  <c r="AH968" i="1" s="1"/>
  <c r="AD969" i="1"/>
  <c r="AH969" i="1" s="1"/>
  <c r="AD970" i="1"/>
  <c r="AD971" i="1"/>
  <c r="AH971" i="1" s="1"/>
  <c r="AD972" i="1"/>
  <c r="AH972" i="1" s="1"/>
  <c r="AD973" i="1"/>
  <c r="AH973" i="1" s="1"/>
  <c r="AD974" i="1"/>
  <c r="AH974" i="1" s="1"/>
  <c r="AD975" i="1"/>
  <c r="AH975" i="1" s="1"/>
  <c r="AD976" i="1"/>
  <c r="AH976" i="1" s="1"/>
  <c r="AD977" i="1"/>
  <c r="AH977" i="1" s="1"/>
  <c r="AD978" i="1"/>
  <c r="AH978" i="1" s="1"/>
  <c r="AD979" i="1"/>
  <c r="AH979" i="1" s="1"/>
  <c r="AD980" i="1"/>
  <c r="AH980" i="1" s="1"/>
  <c r="AD981" i="1"/>
  <c r="AH981" i="1" s="1"/>
  <c r="AD983" i="1"/>
  <c r="AH983" i="1" s="1"/>
  <c r="AD984" i="1"/>
  <c r="AD985" i="1"/>
  <c r="AH985" i="1" s="1"/>
  <c r="AD986" i="1"/>
  <c r="AH986" i="1" s="1"/>
  <c r="AD987" i="1"/>
  <c r="AH987" i="1" s="1"/>
  <c r="AD988" i="1"/>
  <c r="AH988" i="1" s="1"/>
  <c r="AD989" i="1"/>
  <c r="AH989" i="1" s="1"/>
  <c r="AD990" i="1"/>
  <c r="AH990" i="1" s="1"/>
  <c r="AD991" i="1"/>
  <c r="AH991" i="1" s="1"/>
  <c r="AD992" i="1"/>
  <c r="AD993" i="1"/>
  <c r="AH993" i="1" s="1"/>
  <c r="AD994" i="1"/>
  <c r="AH994" i="1" s="1"/>
  <c r="AD995" i="1"/>
  <c r="AH995" i="1" s="1"/>
  <c r="AD996" i="1"/>
  <c r="AH996" i="1" s="1"/>
  <c r="AD997" i="1"/>
  <c r="AH997" i="1" s="1"/>
  <c r="AD998" i="1"/>
  <c r="AH998" i="1" s="1"/>
  <c r="AD999" i="1"/>
  <c r="AD1000" i="1"/>
  <c r="AH1000" i="1" s="1"/>
  <c r="AD1001" i="1"/>
  <c r="AH1001" i="1" s="1"/>
  <c r="AD1002" i="1"/>
  <c r="AH1002" i="1" s="1"/>
  <c r="AD1003" i="1"/>
  <c r="AD1005" i="1"/>
  <c r="AH1005" i="1" s="1"/>
  <c r="AD1006" i="1"/>
  <c r="AH1006" i="1" s="1"/>
  <c r="AD1007" i="1"/>
  <c r="AH1007" i="1" s="1"/>
  <c r="AD1009" i="1"/>
  <c r="AH1009" i="1" s="1"/>
  <c r="AD1010" i="1"/>
  <c r="AH1010" i="1" s="1"/>
  <c r="AD1011" i="1"/>
  <c r="AH1011" i="1" s="1"/>
  <c r="AD1012" i="1"/>
  <c r="AH1012" i="1" s="1"/>
  <c r="AD1013" i="1"/>
  <c r="AD1014" i="1"/>
  <c r="AH1014" i="1" s="1"/>
  <c r="AD1015" i="1"/>
  <c r="AH1015" i="1" s="1"/>
  <c r="AD1016" i="1"/>
  <c r="AH1016" i="1" s="1"/>
  <c r="AD1017" i="1"/>
  <c r="AH1017" i="1" s="1"/>
  <c r="AD1019" i="1"/>
  <c r="AH1019" i="1" s="1"/>
  <c r="AD1020" i="1"/>
  <c r="AH1020" i="1" s="1"/>
  <c r="AD1021" i="1"/>
  <c r="AH1021" i="1" s="1"/>
  <c r="AD1022" i="1"/>
  <c r="AD1023" i="1"/>
  <c r="AH1023" i="1" s="1"/>
  <c r="AD1024" i="1"/>
  <c r="AH1024" i="1" s="1"/>
  <c r="AD1025" i="1"/>
  <c r="AH1025" i="1" s="1"/>
  <c r="AD1026" i="1"/>
  <c r="AH1026" i="1" s="1"/>
  <c r="AD1027" i="1"/>
  <c r="AH1027" i="1" s="1"/>
  <c r="AD1029" i="1"/>
  <c r="AH1029" i="1" s="1"/>
  <c r="AD1030" i="1"/>
  <c r="AD1031" i="1"/>
  <c r="AH1031" i="1" s="1"/>
  <c r="AD1033" i="1"/>
  <c r="AH1033" i="1" s="1"/>
  <c r="AD1034" i="1"/>
  <c r="AH1034" i="1" s="1"/>
  <c r="AD1035" i="1"/>
  <c r="AH1035" i="1" s="1"/>
  <c r="AD1036" i="1"/>
  <c r="AH1036" i="1" s="1"/>
  <c r="AD1037" i="1"/>
  <c r="AH1037" i="1" s="1"/>
  <c r="AD1038" i="1"/>
  <c r="AH1038" i="1" s="1"/>
  <c r="AD1039" i="1"/>
  <c r="AH1039" i="1" s="1"/>
  <c r="AD1040" i="1"/>
  <c r="AD1041" i="1"/>
  <c r="AH1041" i="1" s="1"/>
  <c r="AD1042" i="1"/>
  <c r="AH1042" i="1" s="1"/>
  <c r="AD1043" i="1"/>
  <c r="AH1043" i="1" s="1"/>
  <c r="AD1044" i="1"/>
  <c r="AH1044" i="1" s="1"/>
  <c r="AD1045" i="1"/>
  <c r="AH1045" i="1" s="1"/>
  <c r="AD1046" i="1"/>
  <c r="AH1046" i="1" s="1"/>
  <c r="AD1047" i="1"/>
  <c r="AD1048" i="1"/>
  <c r="AH1048" i="1" s="1"/>
  <c r="AD1049" i="1"/>
  <c r="AH1049" i="1" s="1"/>
  <c r="AD1050" i="1"/>
  <c r="AH1050" i="1" s="1"/>
  <c r="AD1052" i="1"/>
  <c r="AH1052" i="1" s="1"/>
  <c r="AD1055" i="1"/>
  <c r="AH1055" i="1" s="1"/>
  <c r="AD1056" i="1"/>
  <c r="AD1057" i="1"/>
  <c r="AH1057" i="1" s="1"/>
  <c r="AD1058" i="1"/>
  <c r="AH1058" i="1" s="1"/>
  <c r="AD1059" i="1"/>
  <c r="AH1059" i="1" s="1"/>
  <c r="AD1060" i="1"/>
  <c r="AH1060" i="1" s="1"/>
  <c r="AD1061" i="1"/>
  <c r="AH1061" i="1" s="1"/>
  <c r="AD1062" i="1"/>
  <c r="AH1062" i="1" s="1"/>
  <c r="AD1068" i="1"/>
  <c r="AH1068" i="1" s="1"/>
  <c r="AD1069" i="1"/>
  <c r="AH1069" i="1" s="1"/>
  <c r="AD1070" i="1"/>
  <c r="AH1070" i="1" s="1"/>
  <c r="AD1071" i="1"/>
  <c r="AH1071" i="1" s="1"/>
  <c r="AD1073" i="1"/>
  <c r="AH1073" i="1" s="1"/>
  <c r="AD1074" i="1"/>
  <c r="AD1075" i="1"/>
  <c r="AH1075" i="1" s="1"/>
  <c r="AD1076" i="1"/>
  <c r="AH1076" i="1" s="1"/>
  <c r="AD1077" i="1"/>
  <c r="AH1077" i="1" s="1"/>
  <c r="AD1078" i="1"/>
  <c r="AH1078" i="1" s="1"/>
  <c r="AD1079" i="1"/>
  <c r="AH1079" i="1" s="1"/>
  <c r="AD1080" i="1"/>
  <c r="AD1084" i="1"/>
  <c r="AH1084" i="1" s="1"/>
  <c r="AD1086" i="1"/>
  <c r="AH1086" i="1" s="1"/>
  <c r="AD1087" i="1"/>
  <c r="AD1088" i="1"/>
  <c r="AH1088" i="1" s="1"/>
  <c r="AD1089" i="1"/>
  <c r="AH1089" i="1" s="1"/>
  <c r="AD1090" i="1"/>
  <c r="AH1090" i="1" s="1"/>
  <c r="AD1091" i="1"/>
  <c r="AH1091" i="1" s="1"/>
  <c r="AD1092" i="1"/>
  <c r="AH1092" i="1" s="1"/>
  <c r="AD1094" i="1"/>
  <c r="AD1095" i="1"/>
  <c r="AH1095" i="1" s="1"/>
  <c r="AD1096" i="1"/>
  <c r="AH1096" i="1" s="1"/>
  <c r="AD1097" i="1"/>
  <c r="AH1097" i="1" s="1"/>
  <c r="AD1098" i="1"/>
  <c r="AH1098" i="1" s="1"/>
  <c r="AD1063" i="1"/>
  <c r="AH1063" i="1" s="1"/>
  <c r="AD1064" i="1"/>
  <c r="AL1064" i="1" s="1"/>
  <c r="AD1065" i="1"/>
  <c r="AH1065" i="1" s="1"/>
  <c r="AD1066" i="1"/>
  <c r="AD1067" i="1"/>
  <c r="AH1067" i="1" s="1"/>
  <c r="AD1099" i="1"/>
  <c r="AH1099" i="1" s="1"/>
  <c r="AD1100" i="1"/>
  <c r="AH1100" i="1" s="1"/>
  <c r="AD1106" i="1"/>
  <c r="AH1106" i="1" s="1"/>
  <c r="AD1107" i="1"/>
  <c r="AH1107" i="1" s="1"/>
  <c r="AD1112" i="1"/>
  <c r="AH1112" i="1" s="1"/>
  <c r="AD1113" i="1"/>
  <c r="AH1113" i="1" s="1"/>
  <c r="AD1114" i="1"/>
  <c r="AH1114" i="1" s="1"/>
  <c r="AD1115" i="1"/>
  <c r="AD1117" i="1"/>
  <c r="AH1117" i="1" s="1"/>
  <c r="AD1118" i="1"/>
  <c r="AH1118" i="1" s="1"/>
  <c r="AD1119" i="1"/>
  <c r="AH1119" i="1" s="1"/>
  <c r="AD1120" i="1"/>
  <c r="AH1120" i="1" s="1"/>
  <c r="AD1121" i="1"/>
  <c r="AH1121" i="1" s="1"/>
  <c r="AD1122" i="1"/>
  <c r="AH1122" i="1" s="1"/>
  <c r="AD1123" i="1"/>
  <c r="AD1124" i="1"/>
  <c r="AH1124" i="1" s="1"/>
  <c r="AD1125" i="1"/>
  <c r="AH1125" i="1" s="1"/>
  <c r="AD1126" i="1"/>
  <c r="AH1126" i="1" s="1"/>
  <c r="AD1127" i="1"/>
  <c r="AH1127" i="1" s="1"/>
  <c r="AD1128" i="1"/>
  <c r="AH1128" i="1" s="1"/>
  <c r="AD1129" i="1"/>
  <c r="AH1129" i="1" s="1"/>
  <c r="AD1131" i="1"/>
  <c r="AH1131" i="1" s="1"/>
  <c r="AD1130" i="1"/>
  <c r="AH1130" i="1" s="1"/>
  <c r="AD1132" i="1"/>
  <c r="AH1132" i="1" s="1"/>
  <c r="AD1133" i="1"/>
  <c r="AH1133" i="1" s="1"/>
  <c r="AD1134" i="1"/>
  <c r="AH1134" i="1" s="1"/>
  <c r="AD1135" i="1"/>
  <c r="AH1135" i="1" s="1"/>
  <c r="AD1136" i="1"/>
  <c r="AH1136" i="1" s="1"/>
  <c r="AD1137" i="1"/>
  <c r="AH1137" i="1" s="1"/>
  <c r="AD1138" i="1"/>
  <c r="AH1138" i="1" s="1"/>
  <c r="AD1139" i="1"/>
  <c r="AH1139" i="1" s="1"/>
  <c r="AD1140" i="1"/>
  <c r="AH1140" i="1" s="1"/>
  <c r="AD1141" i="1"/>
  <c r="AD1143" i="1"/>
  <c r="AH1143" i="1" s="1"/>
  <c r="AD1144" i="1"/>
  <c r="AH1144" i="1" s="1"/>
  <c r="AD1145" i="1"/>
  <c r="AH1145" i="1" s="1"/>
  <c r="AD1146" i="1"/>
  <c r="AH1146" i="1" s="1"/>
  <c r="AD1147" i="1"/>
  <c r="AH1147" i="1" s="1"/>
  <c r="AD1148" i="1"/>
  <c r="AH1148" i="1" s="1"/>
  <c r="AD1149" i="1"/>
  <c r="AH1149" i="1" s="1"/>
  <c r="AD1150" i="1"/>
  <c r="AD1151" i="1"/>
  <c r="AH1151" i="1" s="1"/>
  <c r="AD1152" i="1"/>
  <c r="AH1152" i="1" s="1"/>
  <c r="AD1153" i="1"/>
  <c r="AH1153" i="1" s="1"/>
  <c r="AD1154" i="1"/>
  <c r="AH1154" i="1" s="1"/>
  <c r="AD1155" i="1"/>
  <c r="AH1155" i="1" s="1"/>
  <c r="AD1156" i="1"/>
  <c r="AD1157" i="1"/>
  <c r="AH1157" i="1" s="1"/>
  <c r="AD1158" i="1"/>
  <c r="AH1158" i="1" s="1"/>
  <c r="AD1159" i="1"/>
  <c r="AH1159" i="1" s="1"/>
  <c r="AD1160" i="1"/>
  <c r="AH1160" i="1" s="1"/>
  <c r="AD1161" i="1"/>
  <c r="AH1161" i="1" s="1"/>
  <c r="AD1162" i="1"/>
  <c r="AH1162" i="1" s="1"/>
  <c r="AD1163" i="1"/>
  <c r="AD1165" i="1"/>
  <c r="AH1165" i="1" s="1"/>
  <c r="AD1167" i="1"/>
  <c r="AH1167" i="1" s="1"/>
  <c r="AD1168" i="1"/>
  <c r="AH1168" i="1" s="1"/>
  <c r="AD1169" i="1"/>
  <c r="AL1169" i="1" s="1"/>
  <c r="AD1170" i="1"/>
  <c r="AH1170" i="1" s="1"/>
  <c r="AD1171" i="1"/>
  <c r="AH1171" i="1" s="1"/>
  <c r="AD1172" i="1"/>
  <c r="AH1172" i="1" s="1"/>
  <c r="AD1173" i="1"/>
  <c r="AD1174" i="1"/>
  <c r="AH1174" i="1" s="1"/>
  <c r="AD1175" i="1"/>
  <c r="AH1175" i="1" s="1"/>
  <c r="AD1176" i="1"/>
  <c r="AH1176" i="1" s="1"/>
  <c r="AD1177" i="1"/>
  <c r="AH1177" i="1" s="1"/>
  <c r="AD1178" i="1"/>
  <c r="AH1178" i="1" s="1"/>
  <c r="AD1179" i="1"/>
  <c r="AD1180" i="1"/>
  <c r="AH1180" i="1" s="1"/>
  <c r="AD1181" i="1"/>
  <c r="AH1181" i="1" s="1"/>
  <c r="AD1182" i="1"/>
  <c r="AH1182" i="1" s="1"/>
  <c r="AD1183" i="1"/>
  <c r="AH1183" i="1" s="1"/>
  <c r="AD1184" i="1"/>
  <c r="AD1185" i="1"/>
  <c r="AH1185" i="1" s="1"/>
  <c r="AD1186" i="1"/>
  <c r="AH1186" i="1" s="1"/>
  <c r="AD1187" i="1"/>
  <c r="AH1187" i="1" s="1"/>
  <c r="AD1188" i="1"/>
  <c r="AH1188" i="1" s="1"/>
  <c r="AD1189" i="1"/>
  <c r="AH1189" i="1" s="1"/>
  <c r="AD1190" i="1"/>
  <c r="AH1190" i="1" s="1"/>
  <c r="AD1191" i="1"/>
  <c r="AH1191" i="1" s="1"/>
  <c r="AD1192" i="1"/>
  <c r="AD1193" i="1"/>
  <c r="AH1193" i="1" s="1"/>
  <c r="AD1194" i="1"/>
  <c r="AH1194" i="1" s="1"/>
  <c r="AD1195" i="1"/>
  <c r="AH1195" i="1" s="1"/>
  <c r="AD1196" i="1"/>
  <c r="AH1196" i="1" s="1"/>
  <c r="AD1197" i="1"/>
  <c r="AH1197" i="1" s="1"/>
  <c r="AD1198" i="1"/>
  <c r="AH1198" i="1" s="1"/>
  <c r="AD1199" i="1"/>
  <c r="AD1200" i="1"/>
  <c r="AH1200" i="1" s="1"/>
  <c r="AD1201" i="1"/>
  <c r="AH1201" i="1" s="1"/>
  <c r="AD1203" i="1"/>
  <c r="AH1203" i="1" s="1"/>
  <c r="AD1204" i="1"/>
  <c r="AH1204" i="1" s="1"/>
  <c r="AD1205" i="1"/>
  <c r="AH1205" i="1" s="1"/>
  <c r="AD1206" i="1"/>
  <c r="AH1206" i="1" s="1"/>
  <c r="AD1207" i="1"/>
  <c r="AH1207" i="1" s="1"/>
  <c r="AD1208" i="1"/>
  <c r="AH1208" i="1" s="1"/>
  <c r="AD1209" i="1"/>
  <c r="AH1209" i="1" s="1"/>
  <c r="AD1210" i="1"/>
  <c r="AH1210" i="1" s="1"/>
  <c r="AD1211" i="1"/>
  <c r="AH1211" i="1" s="1"/>
  <c r="AD1212" i="1"/>
  <c r="AH1212" i="1" s="1"/>
  <c r="AD1213" i="1"/>
  <c r="AH1213" i="1" s="1"/>
  <c r="AD1214" i="1"/>
  <c r="AH1214" i="1" s="1"/>
  <c r="AD1215" i="1"/>
  <c r="AD1216" i="1"/>
  <c r="AH1216" i="1" s="1"/>
  <c r="AD1217" i="1"/>
  <c r="AH1217" i="1" s="1"/>
  <c r="AD1218" i="1"/>
  <c r="AH1218" i="1" s="1"/>
  <c r="AD1219" i="1"/>
  <c r="AH1219" i="1" s="1"/>
  <c r="AD1220" i="1"/>
  <c r="AH1220" i="1" s="1"/>
  <c r="AD1221" i="1"/>
  <c r="AH1221" i="1" s="1"/>
  <c r="AD1222" i="1"/>
  <c r="AD1223" i="1"/>
  <c r="AH1223" i="1" s="1"/>
  <c r="AD1224" i="1"/>
  <c r="AH1224" i="1" s="1"/>
  <c r="AD1225" i="1"/>
  <c r="AH1225" i="1" s="1"/>
  <c r="AD1226" i="1"/>
  <c r="AH1226" i="1" s="1"/>
  <c r="AD1227" i="1"/>
  <c r="AH1227" i="1" s="1"/>
  <c r="AD1228" i="1"/>
  <c r="AH1228" i="1" s="1"/>
  <c r="AD1229" i="1"/>
  <c r="AH1229" i="1" s="1"/>
  <c r="AD1230" i="1"/>
  <c r="AD1231" i="1"/>
  <c r="AH1231" i="1" s="1"/>
  <c r="AD1232" i="1"/>
  <c r="AH1232" i="1" s="1"/>
  <c r="AD1233" i="1"/>
  <c r="AH1233" i="1" s="1"/>
  <c r="AD1234" i="1"/>
  <c r="AH1234" i="1" s="1"/>
  <c r="AD1235" i="1"/>
  <c r="AH1235" i="1" s="1"/>
  <c r="AD1236" i="1"/>
  <c r="AH1236" i="1" s="1"/>
  <c r="AD1237" i="1"/>
  <c r="AH1237" i="1" s="1"/>
  <c r="AD1238" i="1"/>
  <c r="AD1239" i="1"/>
  <c r="AH1239" i="1" s="1"/>
  <c r="AD1240" i="1"/>
  <c r="AH1240" i="1" s="1"/>
  <c r="AD1241" i="1"/>
  <c r="AH1241" i="1" s="1"/>
  <c r="AD1242" i="1"/>
  <c r="AH1242" i="1" s="1"/>
  <c r="AD1243" i="1"/>
  <c r="AH1243" i="1" s="1"/>
  <c r="AD1244" i="1"/>
  <c r="AH1244" i="1" s="1"/>
  <c r="AD1245" i="1"/>
  <c r="AH1245" i="1" s="1"/>
  <c r="AD1246" i="1"/>
  <c r="AD1247" i="1"/>
  <c r="AH1247" i="1" s="1"/>
  <c r="AD1248" i="1"/>
  <c r="AH1248" i="1" s="1"/>
  <c r="AD1249" i="1"/>
  <c r="AH1249" i="1" s="1"/>
  <c r="AD1250" i="1"/>
  <c r="AH1250" i="1" s="1"/>
  <c r="AD1251" i="1"/>
  <c r="AH1251" i="1" s="1"/>
  <c r="AD1252" i="1"/>
  <c r="AH1252" i="1" s="1"/>
  <c r="AD1253" i="1"/>
  <c r="AH1253" i="1" s="1"/>
  <c r="AD1254" i="1"/>
  <c r="AD1255" i="1"/>
  <c r="AH1255" i="1" s="1"/>
  <c r="AD1256" i="1"/>
  <c r="AH1256" i="1" s="1"/>
  <c r="AD1257" i="1"/>
  <c r="AH1257" i="1" s="1"/>
  <c r="AD1258" i="1"/>
  <c r="AH1258" i="1" s="1"/>
  <c r="AD1259" i="1"/>
  <c r="AH1259" i="1" s="1"/>
  <c r="AD1260" i="1"/>
  <c r="AH1260" i="1" s="1"/>
  <c r="AD1261" i="1"/>
  <c r="AH1261" i="1" s="1"/>
  <c r="AD1263" i="1"/>
  <c r="AD1265" i="1"/>
  <c r="AH1265" i="1" s="1"/>
  <c r="AD1266" i="1"/>
  <c r="AH1266" i="1" s="1"/>
  <c r="AD1267" i="1"/>
  <c r="AH1267" i="1" s="1"/>
  <c r="AD1268" i="1"/>
  <c r="AH1268" i="1" s="1"/>
  <c r="AD1269" i="1"/>
  <c r="AH1269" i="1" s="1"/>
  <c r="AD1270" i="1"/>
  <c r="AH1270" i="1" s="1"/>
  <c r="AD1271" i="1"/>
  <c r="AH1271" i="1" s="1"/>
  <c r="AD1272" i="1"/>
  <c r="AH1272" i="1" s="1"/>
  <c r="AD1273" i="1"/>
  <c r="AH1273" i="1" s="1"/>
  <c r="AD1274" i="1"/>
  <c r="AH1274" i="1" s="1"/>
  <c r="AD1275" i="1"/>
  <c r="AH1275" i="1" s="1"/>
  <c r="AD1276" i="1"/>
  <c r="AH1276" i="1" s="1"/>
  <c r="AD1277" i="1"/>
  <c r="AH1277" i="1" s="1"/>
  <c r="AD1278" i="1"/>
  <c r="AH1278" i="1" s="1"/>
  <c r="AD1279" i="1"/>
  <c r="AH1279" i="1" s="1"/>
  <c r="AD1280" i="1"/>
  <c r="AH1280" i="1" s="1"/>
  <c r="AD1281" i="1"/>
  <c r="AD1282" i="1"/>
  <c r="AH1282" i="1" s="1"/>
  <c r="AD1283" i="1"/>
  <c r="AH1283" i="1" s="1"/>
  <c r="AD1284" i="1"/>
  <c r="AH1284" i="1" s="1"/>
  <c r="AD1285" i="1"/>
  <c r="AH1285" i="1" s="1"/>
  <c r="AD1286" i="1"/>
  <c r="AH1286" i="1" s="1"/>
  <c r="AD1287" i="1"/>
  <c r="AH1287" i="1" s="1"/>
  <c r="AD1288" i="1"/>
  <c r="AH1288" i="1" s="1"/>
  <c r="AD1289" i="1"/>
  <c r="AD1290" i="1"/>
  <c r="AH1290" i="1" s="1"/>
  <c r="AD1291" i="1"/>
  <c r="AH1291" i="1" s="1"/>
  <c r="AD1292" i="1"/>
  <c r="AH1292" i="1" s="1"/>
  <c r="AD1293" i="1"/>
  <c r="AH1293" i="1" s="1"/>
  <c r="AD1294" i="1"/>
  <c r="AH1294" i="1" s="1"/>
  <c r="AD1295" i="1"/>
  <c r="AH1295" i="1" s="1"/>
  <c r="AD1296" i="1"/>
  <c r="AH1296" i="1" s="1"/>
  <c r="AD1297" i="1"/>
  <c r="AD1298" i="1"/>
  <c r="AH1298" i="1" s="1"/>
  <c r="AD1299" i="1"/>
  <c r="AH1299" i="1" s="1"/>
  <c r="AD1300" i="1"/>
  <c r="AH1300" i="1" s="1"/>
  <c r="AD1301" i="1"/>
  <c r="AH1301" i="1" s="1"/>
  <c r="AD1302" i="1"/>
  <c r="AH1302" i="1" s="1"/>
  <c r="AD1303" i="1"/>
  <c r="AH1303" i="1" s="1"/>
  <c r="AD1304" i="1"/>
  <c r="AH1304" i="1" s="1"/>
  <c r="AD1305" i="1"/>
  <c r="AD1306" i="1"/>
  <c r="AH1306" i="1" s="1"/>
  <c r="AD1307" i="1"/>
  <c r="AH1307" i="1" s="1"/>
  <c r="AD1308" i="1"/>
  <c r="AH1308" i="1" s="1"/>
  <c r="AD1309" i="1"/>
  <c r="AH1309" i="1" s="1"/>
  <c r="AD1310" i="1"/>
  <c r="AH1310" i="1" s="1"/>
  <c r="AD1311" i="1"/>
  <c r="AH1311" i="1" s="1"/>
  <c r="AD1312" i="1"/>
  <c r="AH1312" i="1" s="1"/>
  <c r="AD1313" i="1"/>
  <c r="AD1314" i="1"/>
  <c r="AH1314" i="1" s="1"/>
  <c r="AD1315" i="1"/>
  <c r="AH1315" i="1" s="1"/>
  <c r="AD1316" i="1"/>
  <c r="AH1316" i="1" s="1"/>
  <c r="AD1317" i="1"/>
  <c r="AH1317" i="1" s="1"/>
  <c r="AD1318" i="1"/>
  <c r="AH1318" i="1" s="1"/>
  <c r="AD1319" i="1"/>
  <c r="AD1320" i="1"/>
  <c r="AH1320" i="1" s="1"/>
  <c r="AD1321" i="1"/>
  <c r="AH1321" i="1" s="1"/>
  <c r="AD1322" i="1"/>
  <c r="AH1322" i="1" s="1"/>
  <c r="AD1323" i="1"/>
  <c r="AH1323" i="1" s="1"/>
  <c r="AD1324" i="1"/>
  <c r="AD1325" i="1"/>
  <c r="AH1325" i="1" s="1"/>
  <c r="AD1326" i="1"/>
  <c r="AH1326" i="1" s="1"/>
  <c r="AD1327" i="1"/>
  <c r="AH1327" i="1" s="1"/>
  <c r="AD1328" i="1"/>
  <c r="AH1328" i="1" s="1"/>
  <c r="AD1329" i="1"/>
  <c r="AH1329" i="1" s="1"/>
  <c r="AD1330" i="1"/>
  <c r="AH1330" i="1" s="1"/>
  <c r="AD1331" i="1"/>
  <c r="AD1332" i="1"/>
  <c r="AH1332" i="1" s="1"/>
  <c r="AD1333" i="1"/>
  <c r="AH1333" i="1" s="1"/>
  <c r="AD1334" i="1"/>
  <c r="AH1334" i="1" s="1"/>
  <c r="AD1335" i="1"/>
  <c r="AH1335" i="1" s="1"/>
  <c r="AD1336" i="1"/>
  <c r="AH1336" i="1" s="1"/>
  <c r="AD1337" i="1"/>
  <c r="AH1337" i="1" s="1"/>
  <c r="AD1338" i="1"/>
  <c r="AD1339" i="1"/>
  <c r="AH1339" i="1" s="1"/>
  <c r="AD1340" i="1"/>
  <c r="AH1340" i="1" s="1"/>
  <c r="AD1341" i="1"/>
  <c r="AH1341" i="1" s="1"/>
  <c r="AD1342" i="1"/>
  <c r="AH1342" i="1" s="1"/>
  <c r="AD1343" i="1"/>
  <c r="AH1343" i="1" s="1"/>
  <c r="AD1344" i="1"/>
  <c r="AH1344" i="1" s="1"/>
  <c r="AD1345" i="1"/>
  <c r="AH1345" i="1" s="1"/>
  <c r="AD1346" i="1"/>
  <c r="AH1346" i="1" s="1"/>
  <c r="AD1347" i="1"/>
  <c r="AH1347" i="1" s="1"/>
  <c r="AD1348" i="1"/>
  <c r="AD1349" i="1"/>
  <c r="AH1349" i="1" s="1"/>
  <c r="AD1351" i="1"/>
  <c r="AH1351" i="1" s="1"/>
  <c r="AD1352" i="1"/>
  <c r="AH1352" i="1" s="1"/>
  <c r="AD1353" i="1"/>
  <c r="AH1353" i="1" s="1"/>
  <c r="AD1354" i="1"/>
  <c r="AH1354" i="1" s="1"/>
  <c r="AH1355" i="1"/>
  <c r="AD1356" i="1"/>
  <c r="AD1357" i="1"/>
  <c r="AH1357" i="1" s="1"/>
  <c r="AD1359" i="1"/>
  <c r="AH1359" i="1" s="1"/>
  <c r="AD1361" i="1"/>
  <c r="AH1361" i="1" s="1"/>
  <c r="AD1363" i="1"/>
  <c r="AH1363" i="1" s="1"/>
  <c r="AD1365" i="1"/>
  <c r="AH1365" i="1" s="1"/>
  <c r="AD1366" i="1"/>
  <c r="AH1366" i="1" s="1"/>
  <c r="AD1367" i="1"/>
  <c r="AH1367" i="1" s="1"/>
  <c r="AD1368" i="1"/>
  <c r="AH1368" i="1" s="1"/>
  <c r="AD1369" i="1"/>
  <c r="AH1369" i="1" s="1"/>
  <c r="AD1370" i="1"/>
  <c r="AD1371" i="1"/>
  <c r="AH1371" i="1" s="1"/>
  <c r="AD1372" i="1"/>
  <c r="AH1372" i="1" s="1"/>
  <c r="AD1373" i="1"/>
  <c r="AH1373" i="1" s="1"/>
  <c r="AD1374" i="1"/>
  <c r="AH1374" i="1" s="1"/>
  <c r="AD1375" i="1"/>
  <c r="AH1375" i="1" s="1"/>
  <c r="AD1376" i="1"/>
  <c r="AD1377" i="1"/>
  <c r="AH1377" i="1" s="1"/>
  <c r="AD1378" i="1"/>
  <c r="AH1378" i="1" s="1"/>
  <c r="AD1379" i="1"/>
  <c r="AH1379" i="1" s="1"/>
  <c r="AD1380" i="1"/>
  <c r="AH1380" i="1" s="1"/>
  <c r="AD1381" i="1"/>
  <c r="AH1381" i="1" s="1"/>
  <c r="AD1382" i="1"/>
  <c r="AH1382" i="1" s="1"/>
  <c r="AD1383" i="1"/>
  <c r="AH1383" i="1" s="1"/>
  <c r="AD1384" i="1"/>
  <c r="AH1384" i="1" s="1"/>
  <c r="AD1385" i="1"/>
  <c r="AH1385" i="1" s="1"/>
  <c r="AD1387" i="1"/>
  <c r="AH1387" i="1" s="1"/>
  <c r="AD1390" i="1"/>
  <c r="AH1390" i="1" s="1"/>
  <c r="AD1392" i="1"/>
  <c r="AH1392" i="1" s="1"/>
  <c r="AD1393" i="1"/>
  <c r="AH1393" i="1" s="1"/>
  <c r="AD1394" i="1"/>
  <c r="AH1394" i="1" s="1"/>
  <c r="AD1395" i="1"/>
  <c r="AH1395" i="1" s="1"/>
  <c r="AD1396" i="1"/>
  <c r="AH1396" i="1" s="1"/>
  <c r="AD1397" i="1"/>
  <c r="AH1397" i="1" s="1"/>
  <c r="AD1399" i="1"/>
  <c r="AH1399" i="1" s="1"/>
  <c r="AD1411" i="1"/>
  <c r="AH1411" i="1" s="1"/>
  <c r="AD1417" i="1"/>
  <c r="AD1419" i="1"/>
  <c r="AH1419" i="1" s="1"/>
  <c r="AD1420" i="1"/>
  <c r="AH1420" i="1" s="1"/>
  <c r="AD1421" i="1"/>
  <c r="AH1421" i="1" s="1"/>
  <c r="AD1423" i="1"/>
  <c r="AH1423" i="1" s="1"/>
  <c r="AD1424" i="1"/>
  <c r="AH1424" i="1" s="1"/>
  <c r="AD1425" i="1"/>
  <c r="AD1426" i="1"/>
  <c r="AH1426" i="1" s="1"/>
  <c r="AD1427" i="1"/>
  <c r="AH1427" i="1" s="1"/>
  <c r="AD1428" i="1"/>
  <c r="AH1428" i="1" s="1"/>
  <c r="AD1429" i="1"/>
  <c r="AH1429" i="1" s="1"/>
  <c r="AD1431" i="1"/>
  <c r="AH1431" i="1" s="1"/>
  <c r="AD1432" i="1"/>
  <c r="AH1432" i="1" s="1"/>
  <c r="AD1433" i="1"/>
  <c r="AH1433" i="1" s="1"/>
  <c r="AD1434" i="1"/>
  <c r="AD1435" i="1"/>
  <c r="AH1435" i="1" s="1"/>
  <c r="AD1436" i="1"/>
  <c r="AH1436" i="1" s="1"/>
  <c r="AD1437" i="1"/>
  <c r="AH1437" i="1" s="1"/>
  <c r="AD1438" i="1"/>
  <c r="AH1438" i="1" s="1"/>
  <c r="AD1439" i="1"/>
  <c r="AH1439" i="1" s="1"/>
  <c r="AD1440" i="1"/>
  <c r="AH1440" i="1" s="1"/>
  <c r="AD1441" i="1"/>
  <c r="AH1441" i="1" s="1"/>
  <c r="AD1442" i="1"/>
  <c r="AH1442" i="1" s="1"/>
  <c r="AD1443" i="1"/>
  <c r="AH1443" i="1" s="1"/>
  <c r="AD1444" i="1"/>
  <c r="AH1444" i="1" s="1"/>
  <c r="AD1445" i="1"/>
  <c r="AH1445" i="1" s="1"/>
  <c r="AD1446" i="1"/>
  <c r="AH1446" i="1" s="1"/>
  <c r="AD1447" i="1"/>
  <c r="AL1447" i="1" s="1"/>
  <c r="AD1448" i="1"/>
  <c r="AH1448" i="1" s="1"/>
  <c r="AD1449" i="1"/>
  <c r="AH1449" i="1" s="1"/>
  <c r="AD1450" i="1"/>
  <c r="AH1450" i="1" s="1"/>
  <c r="AD1451" i="1"/>
  <c r="AH1451" i="1" s="1"/>
  <c r="AD1452" i="1"/>
  <c r="AH1452" i="1" s="1"/>
  <c r="AD1453" i="1"/>
  <c r="AH1453" i="1" s="1"/>
  <c r="AD1454" i="1"/>
  <c r="AH1454" i="1" s="1"/>
  <c r="AD1455" i="1"/>
  <c r="AH1455" i="1" s="1"/>
  <c r="AD1456" i="1"/>
  <c r="AH1456" i="1" s="1"/>
  <c r="AD1457" i="1"/>
  <c r="AD1459" i="1"/>
  <c r="AH1459" i="1" s="1"/>
  <c r="AD1461" i="1"/>
  <c r="AL1461" i="1" s="1"/>
  <c r="AD1462" i="1"/>
  <c r="AH1462" i="1" s="1"/>
  <c r="AD1463" i="1"/>
  <c r="AH1463" i="1" s="1"/>
  <c r="AD1464" i="1"/>
  <c r="AH1464" i="1" s="1"/>
  <c r="AD1471" i="1"/>
  <c r="AD1472" i="1"/>
  <c r="AH1472" i="1" s="1"/>
  <c r="AD1473" i="1"/>
  <c r="AH1473" i="1" s="1"/>
  <c r="AD1474" i="1"/>
  <c r="AL1474" i="1" s="1"/>
  <c r="AD1475" i="1"/>
  <c r="AH1475" i="1" s="1"/>
  <c r="AD1476" i="1"/>
  <c r="AD1477" i="1"/>
  <c r="AH1477" i="1" s="1"/>
  <c r="AD1478" i="1"/>
  <c r="AH1478" i="1" s="1"/>
  <c r="AD1479" i="1"/>
  <c r="AH1479" i="1" s="1"/>
  <c r="AD1484" i="1"/>
  <c r="AH1484" i="1" s="1"/>
  <c r="AD1486" i="1"/>
  <c r="AH1486" i="1" s="1"/>
  <c r="AD1487" i="1"/>
  <c r="AH1487" i="1" s="1"/>
  <c r="AD1488" i="1"/>
  <c r="AH1488" i="1" s="1"/>
  <c r="AD1480" i="1"/>
  <c r="AH1480" i="1" s="1"/>
  <c r="AD1481" i="1"/>
  <c r="AH1481" i="1" s="1"/>
  <c r="AD1482" i="1"/>
  <c r="AH1482" i="1" s="1"/>
  <c r="AD1489" i="1"/>
  <c r="AH1489" i="1" s="1"/>
  <c r="AD1490" i="1"/>
  <c r="AH1490" i="1" s="1"/>
  <c r="AD1491" i="1"/>
  <c r="AH1491" i="1" s="1"/>
  <c r="AD1495" i="1"/>
  <c r="AH1495" i="1" s="1"/>
  <c r="AD1496" i="1"/>
  <c r="AD1497" i="1"/>
  <c r="AH1497" i="1" s="1"/>
  <c r="AD1498" i="1"/>
  <c r="AH1498" i="1" s="1"/>
  <c r="AD1499" i="1"/>
  <c r="AH1499" i="1" s="1"/>
  <c r="AD1500" i="1"/>
  <c r="AH1500" i="1" s="1"/>
  <c r="AD1501" i="1"/>
  <c r="AH1501" i="1" s="1"/>
  <c r="AD1502" i="1"/>
  <c r="AH1502" i="1" s="1"/>
  <c r="AD1503" i="1"/>
  <c r="AH1503" i="1" s="1"/>
  <c r="AD1504" i="1"/>
  <c r="AH1504" i="1" s="1"/>
  <c r="AD1505" i="1"/>
  <c r="AH1505" i="1" s="1"/>
  <c r="AD1506" i="1"/>
  <c r="AH1506" i="1" s="1"/>
  <c r="AD1508" i="1"/>
  <c r="AH1508" i="1" s="1"/>
  <c r="AD1509" i="1"/>
  <c r="AD1510" i="1"/>
  <c r="AH1510" i="1" s="1"/>
  <c r="AD1511" i="1"/>
  <c r="AH1511" i="1" s="1"/>
  <c r="AD1512" i="1"/>
  <c r="AH1512" i="1" s="1"/>
  <c r="AD1514" i="1"/>
  <c r="AH1514" i="1" s="1"/>
  <c r="AD1515" i="1"/>
  <c r="AH1515" i="1" s="1"/>
  <c r="AD1516" i="1"/>
  <c r="AH1516" i="1" s="1"/>
  <c r="AD1517" i="1"/>
  <c r="AH1517" i="1" s="1"/>
  <c r="AD1518" i="1"/>
  <c r="AD1519" i="1"/>
  <c r="AH1519" i="1" s="1"/>
  <c r="AD1520" i="1"/>
  <c r="AH1520" i="1" s="1"/>
  <c r="AD1521" i="1"/>
  <c r="AH1521" i="1" s="1"/>
  <c r="AD1522" i="1"/>
  <c r="AH1522" i="1" s="1"/>
  <c r="AD1523" i="1"/>
  <c r="AH1523" i="1" s="1"/>
  <c r="AD1524" i="1"/>
  <c r="AH1524" i="1" s="1"/>
  <c r="AD1525" i="1"/>
  <c r="AH1525" i="1" s="1"/>
  <c r="AD1526" i="1"/>
  <c r="AD1527" i="1"/>
  <c r="AH1527" i="1" s="1"/>
  <c r="AD1528" i="1"/>
  <c r="AH1528" i="1" s="1"/>
  <c r="AD1529" i="1"/>
  <c r="AH1529" i="1" s="1"/>
  <c r="AD1530" i="1"/>
  <c r="AH1530" i="1" s="1"/>
  <c r="AD1531" i="1"/>
  <c r="AH1531" i="1" s="1"/>
  <c r="AD1532" i="1"/>
  <c r="AH1532" i="1" s="1"/>
  <c r="AD1533" i="1"/>
  <c r="AH1533" i="1" s="1"/>
  <c r="AD1534" i="1"/>
  <c r="AH1534" i="1" s="1"/>
  <c r="AD1535" i="1"/>
  <c r="AH1535" i="1" s="1"/>
  <c r="AD1536" i="1"/>
  <c r="AH1536" i="1" s="1"/>
  <c r="AD1537" i="1"/>
  <c r="AH1537" i="1" s="1"/>
  <c r="AD1538" i="1"/>
  <c r="AH1538" i="1" s="1"/>
  <c r="AD1539" i="1"/>
  <c r="AH1539" i="1" s="1"/>
  <c r="AD1540" i="1"/>
  <c r="AD1541" i="1"/>
  <c r="AH1541" i="1" s="1"/>
  <c r="AD1542" i="1"/>
  <c r="AH1542" i="1" s="1"/>
  <c r="AD1543" i="1"/>
  <c r="AH1543" i="1" s="1"/>
  <c r="AD1544" i="1"/>
  <c r="AH1544" i="1" s="1"/>
  <c r="AD1546" i="1"/>
  <c r="AH1546" i="1" s="1"/>
  <c r="AD1547" i="1"/>
  <c r="AH1547" i="1" s="1"/>
  <c r="AD1551" i="1"/>
  <c r="AH1551" i="1" s="1"/>
  <c r="AD1552" i="1"/>
  <c r="AH1552" i="1" s="1"/>
  <c r="AD1553" i="1"/>
  <c r="AH1553" i="1" s="1"/>
  <c r="AD1554" i="1"/>
  <c r="AH1554" i="1" s="1"/>
  <c r="AD1555" i="1"/>
  <c r="AH1555" i="1" s="1"/>
  <c r="AD1556" i="1"/>
  <c r="AH1556" i="1" s="1"/>
  <c r="AD1557" i="1"/>
  <c r="AH1557" i="1" s="1"/>
  <c r="AD1558" i="1"/>
  <c r="AH1558" i="1" s="1"/>
  <c r="AD1559" i="1"/>
  <c r="AH1559" i="1" s="1"/>
  <c r="AD1560" i="1"/>
  <c r="AH1560" i="1" s="1"/>
  <c r="AD1561" i="1"/>
  <c r="AH1561" i="1" s="1"/>
  <c r="AD1562" i="1"/>
  <c r="AH1562" i="1" s="1"/>
  <c r="AD1563" i="1"/>
  <c r="AH1563" i="1" s="1"/>
  <c r="AD1564" i="1"/>
  <c r="AH1564" i="1" s="1"/>
  <c r="AD1565" i="1"/>
  <c r="AH1565" i="1" s="1"/>
  <c r="AD1566" i="1"/>
  <c r="AH1566" i="1" s="1"/>
  <c r="AD1568" i="1"/>
  <c r="AH1568" i="1" s="1"/>
  <c r="AD1573" i="1"/>
  <c r="AH1573" i="1" s="1"/>
  <c r="AD1574" i="1"/>
  <c r="AH1574" i="1" s="1"/>
  <c r="AD1575" i="1"/>
  <c r="AH1575" i="1" s="1"/>
  <c r="AD1576" i="1"/>
  <c r="AH1576" i="1" s="1"/>
  <c r="AD1577" i="1"/>
  <c r="AH1577" i="1" s="1"/>
  <c r="AD1578" i="1"/>
  <c r="AH1578" i="1" s="1"/>
  <c r="AD1579" i="1"/>
  <c r="AH1579" i="1" s="1"/>
  <c r="AD1583" i="1"/>
  <c r="AH1583" i="1" s="1"/>
  <c r="AD1584" i="1"/>
  <c r="AH1584" i="1" s="1"/>
  <c r="AD1585" i="1"/>
  <c r="AH1585" i="1" s="1"/>
  <c r="AD1586" i="1"/>
  <c r="AH1586" i="1" s="1"/>
  <c r="AD1587" i="1"/>
  <c r="AH1587" i="1" s="1"/>
  <c r="AD1588" i="1"/>
  <c r="AD1589" i="1"/>
  <c r="AH1589" i="1" s="1"/>
  <c r="AD1596" i="1"/>
  <c r="AH1596" i="1" s="1"/>
  <c r="AD1597" i="1"/>
  <c r="AH1597" i="1" s="1"/>
  <c r="AD1598" i="1"/>
  <c r="AH1598" i="1" s="1"/>
  <c r="AD1599" i="1"/>
  <c r="AH1599" i="1" s="1"/>
  <c r="AD1600" i="1"/>
  <c r="AH1600" i="1" s="1"/>
  <c r="AD1601" i="1"/>
  <c r="AH1601" i="1" s="1"/>
  <c r="AD1602" i="1"/>
  <c r="AD1603" i="1"/>
  <c r="AH1603" i="1" s="1"/>
  <c r="AD1604" i="1"/>
  <c r="AH1604" i="1" s="1"/>
  <c r="AD1605" i="1"/>
  <c r="AH1605" i="1" s="1"/>
  <c r="AD1606" i="1"/>
  <c r="AH1606" i="1" s="1"/>
  <c r="AD1608" i="1"/>
  <c r="AH1608" i="1" s="1"/>
  <c r="AD1609" i="1"/>
  <c r="AH1609" i="1" s="1"/>
  <c r="AD1610" i="1"/>
  <c r="AD1611" i="1"/>
  <c r="AH1611" i="1" s="1"/>
  <c r="AD1612" i="1"/>
  <c r="AH1612" i="1" s="1"/>
  <c r="AD1613" i="1"/>
  <c r="AD1614" i="1"/>
  <c r="AH1614" i="1" s="1"/>
  <c r="AD1615" i="1"/>
  <c r="AH1615" i="1" s="1"/>
  <c r="AD1616" i="1"/>
  <c r="AH1616" i="1" s="1"/>
  <c r="AD1620" i="1"/>
  <c r="AH1620" i="1" s="1"/>
  <c r="AD1621" i="1"/>
  <c r="AH1621" i="1" s="1"/>
  <c r="AD1622" i="1"/>
  <c r="AH1622" i="1" s="1"/>
  <c r="AD1623" i="1"/>
  <c r="AH1623" i="1" s="1"/>
  <c r="AD1624" i="1"/>
  <c r="AD1625" i="1"/>
  <c r="AH1625" i="1" s="1"/>
  <c r="AD1626" i="1"/>
  <c r="AH1626" i="1" s="1"/>
  <c r="AD1633" i="1"/>
  <c r="AH1633" i="1" s="1"/>
  <c r="AD1634" i="1"/>
  <c r="AH1634" i="1" s="1"/>
  <c r="AD1635" i="1"/>
  <c r="AH1635" i="1" s="1"/>
  <c r="AD1636" i="1"/>
  <c r="AH1636" i="1" s="1"/>
  <c r="AD1637" i="1"/>
  <c r="AH1637" i="1" s="1"/>
  <c r="AD1638" i="1"/>
  <c r="AD1639" i="1"/>
  <c r="AH1639" i="1" s="1"/>
  <c r="AD1640" i="1"/>
  <c r="AH1640" i="1" s="1"/>
  <c r="AD1641" i="1"/>
  <c r="AH1641" i="1" s="1"/>
  <c r="AD1642" i="1"/>
  <c r="AH1642" i="1" s="1"/>
  <c r="AD1643" i="1"/>
  <c r="AH1643" i="1" s="1"/>
  <c r="AD1644" i="1"/>
  <c r="AH1644" i="1" s="1"/>
  <c r="AD1645" i="1"/>
  <c r="AH1645" i="1" s="1"/>
  <c r="AD1646" i="1"/>
  <c r="AH1646" i="1" s="1"/>
  <c r="AD1647" i="1"/>
  <c r="AH1647" i="1" s="1"/>
  <c r="AD1648" i="1"/>
  <c r="AH1648" i="1" s="1"/>
  <c r="AD1649" i="1"/>
  <c r="AH1649" i="1" s="1"/>
  <c r="AD1650" i="1"/>
  <c r="AH1650" i="1" s="1"/>
  <c r="AD1651" i="1"/>
  <c r="AH1651" i="1" s="1"/>
  <c r="AD1652" i="1"/>
  <c r="AH1652" i="1" s="1"/>
  <c r="AD1653" i="1"/>
  <c r="AH1653" i="1" s="1"/>
  <c r="AD1654" i="1"/>
  <c r="AH1654" i="1" s="1"/>
  <c r="AD1655" i="1"/>
  <c r="AH1655" i="1" s="1"/>
  <c r="AD1656" i="1"/>
  <c r="AH1656" i="1" s="1"/>
  <c r="AD1657" i="1"/>
  <c r="AH1657" i="1" s="1"/>
  <c r="AD1658" i="1"/>
  <c r="AH1658" i="1" s="1"/>
  <c r="AD1659" i="1"/>
  <c r="AH1659" i="1" s="1"/>
  <c r="AD1660" i="1"/>
  <c r="AD1661" i="1"/>
  <c r="AH1661" i="1" s="1"/>
  <c r="AD1663" i="1"/>
  <c r="AH1663" i="1" s="1"/>
  <c r="AD1667" i="1"/>
  <c r="AH1667" i="1" s="1"/>
  <c r="AD1669" i="1"/>
  <c r="AH1669" i="1" s="1"/>
  <c r="AD1670" i="1"/>
  <c r="AH1670" i="1" s="1"/>
  <c r="AD1671" i="1"/>
  <c r="AH1671" i="1" s="1"/>
  <c r="AD1672" i="1"/>
  <c r="AH1672" i="1" s="1"/>
  <c r="AD1673" i="1"/>
  <c r="AD1674" i="1"/>
  <c r="AH1674" i="1" s="1"/>
  <c r="AD1675" i="1"/>
  <c r="AH1675" i="1" s="1"/>
  <c r="AD1676" i="1"/>
  <c r="AH1676" i="1" s="1"/>
  <c r="AD1677" i="1"/>
  <c r="AH1677" i="1" s="1"/>
  <c r="AD1678" i="1"/>
  <c r="AH1678" i="1" s="1"/>
  <c r="AD1679" i="1"/>
  <c r="AH1679" i="1" s="1"/>
  <c r="AD1680" i="1"/>
  <c r="AH1680" i="1" s="1"/>
  <c r="AD1681" i="1"/>
  <c r="AD1682" i="1"/>
  <c r="AH1682" i="1" s="1"/>
  <c r="AD1683" i="1"/>
  <c r="AH1683" i="1" s="1"/>
  <c r="AD1684" i="1"/>
  <c r="AH1684" i="1" s="1"/>
  <c r="AD1685" i="1"/>
  <c r="AH1685" i="1" s="1"/>
  <c r="AD1686" i="1"/>
  <c r="AH1686" i="1" s="1"/>
  <c r="AD1687" i="1"/>
  <c r="AH1687" i="1" s="1"/>
  <c r="AD1688" i="1"/>
  <c r="AH1688" i="1" s="1"/>
  <c r="AD1689" i="1"/>
  <c r="AD1690" i="1"/>
  <c r="AH1690" i="1" s="1"/>
  <c r="AD1692" i="1"/>
  <c r="AH1692" i="1" s="1"/>
  <c r="AD1693" i="1"/>
  <c r="AH1693" i="1" s="1"/>
  <c r="AD1694" i="1"/>
  <c r="AH1694" i="1" s="1"/>
  <c r="AD1695" i="1"/>
  <c r="AD1696" i="1"/>
  <c r="AL1696" i="1" s="1"/>
  <c r="AD1697" i="1"/>
  <c r="AH1697" i="1" s="1"/>
  <c r="AD1698" i="1"/>
  <c r="AH1698" i="1" s="1"/>
  <c r="AD1699" i="1"/>
  <c r="AH1699" i="1" s="1"/>
  <c r="AD1700" i="1"/>
  <c r="AH1700" i="1" s="1"/>
  <c r="AD1701" i="1"/>
  <c r="AH1701" i="1" s="1"/>
  <c r="AD1702" i="1"/>
  <c r="AH1702" i="1" s="1"/>
  <c r="AD1703" i="1"/>
  <c r="AD1704" i="1"/>
  <c r="AH1704" i="1" s="1"/>
  <c r="AD1705" i="1"/>
  <c r="AH1705" i="1" s="1"/>
  <c r="AD1706" i="1"/>
  <c r="AH1706" i="1" s="1"/>
  <c r="AD1707" i="1"/>
  <c r="AH1707" i="1" s="1"/>
  <c r="AD1708" i="1"/>
  <c r="AH1708" i="1" s="1"/>
  <c r="AD1709" i="1"/>
  <c r="AH1709" i="1" s="1"/>
  <c r="AD1713" i="1"/>
  <c r="AH1713" i="1" s="1"/>
  <c r="AD1714" i="1"/>
  <c r="AD1715" i="1"/>
  <c r="AH1715" i="1" s="1"/>
  <c r="AD1716" i="1"/>
  <c r="AH1716" i="1" s="1"/>
  <c r="AD1717" i="1"/>
  <c r="AH1717" i="1" s="1"/>
  <c r="AD1718" i="1"/>
  <c r="AH1718" i="1" s="1"/>
  <c r="AD1719" i="1"/>
  <c r="AH1719" i="1" s="1"/>
  <c r="AD1720" i="1"/>
  <c r="AD1721" i="1"/>
  <c r="AH1721" i="1" s="1"/>
  <c r="AD1722" i="1"/>
  <c r="AH1722" i="1" s="1"/>
  <c r="AD1723" i="1"/>
  <c r="AH1723" i="1" s="1"/>
  <c r="AD1724" i="1"/>
  <c r="AH1724" i="1" s="1"/>
  <c r="AD1725" i="1"/>
  <c r="AH1725" i="1" s="1"/>
  <c r="AD1741" i="1"/>
  <c r="AH1741" i="1" s="1"/>
  <c r="AD1742" i="1"/>
  <c r="AD1743" i="1"/>
  <c r="AH1743" i="1" s="1"/>
  <c r="AD1744" i="1"/>
  <c r="AH1744" i="1" s="1"/>
  <c r="AD1745" i="1"/>
  <c r="AH1745" i="1" s="1"/>
  <c r="AD1746" i="1"/>
  <c r="AH1746" i="1" s="1"/>
  <c r="AD1753" i="1"/>
  <c r="AH1753" i="1" s="1"/>
  <c r="AD1755" i="1"/>
  <c r="AH1755" i="1" s="1"/>
  <c r="AD1756" i="1"/>
  <c r="AH1756" i="1" s="1"/>
  <c r="AH1761" i="1"/>
  <c r="AH1762" i="1"/>
  <c r="AH1763" i="1"/>
  <c r="AH1764" i="1"/>
  <c r="AD1765" i="1"/>
  <c r="AD1766" i="1"/>
  <c r="AH1766" i="1" s="1"/>
  <c r="AD1767" i="1"/>
  <c r="AH1767" i="1" s="1"/>
  <c r="AD1768" i="1"/>
  <c r="AH1768" i="1" s="1"/>
  <c r="AD1769" i="1"/>
  <c r="AH1769" i="1" s="1"/>
  <c r="AD1770" i="1"/>
  <c r="AH1770" i="1" s="1"/>
  <c r="AD1771" i="1"/>
  <c r="AH1771" i="1" s="1"/>
  <c r="AD1772" i="1"/>
  <c r="AH1772" i="1" s="1"/>
  <c r="AD1773" i="1"/>
  <c r="AH1773" i="1" s="1"/>
  <c r="AB415" i="1"/>
  <c r="AI415" i="1"/>
  <c r="AJ415" i="1"/>
  <c r="AE415" i="1"/>
  <c r="Z415" i="1"/>
  <c r="V415" i="1"/>
  <c r="U415" i="1"/>
  <c r="T415" i="1"/>
  <c r="S415" i="1"/>
  <c r="AJ414" i="1"/>
  <c r="AI414" i="1"/>
  <c r="AE414" i="1"/>
  <c r="AB414" i="1"/>
  <c r="Z414" i="1"/>
  <c r="V414" i="1"/>
  <c r="AJ63" i="1"/>
  <c r="AI63" i="1"/>
  <c r="AE63" i="1"/>
  <c r="AB63" i="1"/>
  <c r="Z63" i="1"/>
  <c r="V63" i="1"/>
  <c r="U63" i="1"/>
  <c r="T63" i="1"/>
  <c r="S63" i="1"/>
  <c r="AD1712" i="1"/>
  <c r="AH1712" i="1" s="1"/>
  <c r="AD1711" i="1"/>
  <c r="AL1711" i="1" s="1"/>
  <c r="AD1710" i="1"/>
  <c r="AL1710" i="1" s="1"/>
  <c r="AD899" i="1"/>
  <c r="AH899" i="1" s="1"/>
  <c r="AD898" i="1"/>
  <c r="AH898" i="1" s="1"/>
  <c r="AD896" i="1"/>
  <c r="AH896" i="1" s="1"/>
  <c r="AD1083" i="1"/>
  <c r="AH1083" i="1" s="1"/>
  <c r="AD1082" i="1"/>
  <c r="AH1082" i="1" s="1"/>
  <c r="AD1081" i="1"/>
  <c r="AH1081" i="1" s="1"/>
  <c r="AD1752" i="1"/>
  <c r="AL1752" i="1" s="1"/>
  <c r="AD1750" i="1"/>
  <c r="AI1750" i="1" s="1"/>
  <c r="AD1740" i="1"/>
  <c r="AH1740" i="1" s="1"/>
  <c r="AD1739" i="1"/>
  <c r="AH1739" i="1" s="1"/>
  <c r="AD1738" i="1"/>
  <c r="AH1738" i="1" s="1"/>
  <c r="AD1734" i="1"/>
  <c r="AL1734" i="1" s="1"/>
  <c r="AD1733" i="1"/>
  <c r="AH1733" i="1" s="1"/>
  <c r="AD1732" i="1"/>
  <c r="AH1732" i="1" s="1"/>
  <c r="AD581" i="1"/>
  <c r="AD580" i="1"/>
  <c r="AL580" i="1" s="1"/>
  <c r="AD579" i="1"/>
  <c r="AH579" i="1" s="1"/>
  <c r="AD1550" i="1"/>
  <c r="AH1550" i="1" s="1"/>
  <c r="AD1549" i="1"/>
  <c r="AH1549" i="1" s="1"/>
  <c r="AD1548" i="1"/>
  <c r="AL1548" i="1" s="1"/>
  <c r="AD1572" i="1"/>
  <c r="AL1572" i="1" s="1"/>
  <c r="AD1571" i="1"/>
  <c r="AL1571" i="1" s="1"/>
  <c r="AD1570" i="1"/>
  <c r="AH1570" i="1" s="1"/>
  <c r="AD1737" i="1"/>
  <c r="AL1737" i="1" s="1"/>
  <c r="AD1736" i="1"/>
  <c r="AL1736" i="1" s="1"/>
  <c r="AD1735" i="1"/>
  <c r="AD1592" i="1"/>
  <c r="AL1592" i="1" s="1"/>
  <c r="AD1591" i="1"/>
  <c r="AL1591" i="1" s="1"/>
  <c r="AD1590" i="1"/>
  <c r="AL1590" i="1" s="1"/>
  <c r="AD599" i="1"/>
  <c r="AL599" i="1" s="1"/>
  <c r="AD598" i="1"/>
  <c r="AH598" i="1" s="1"/>
  <c r="AD597" i="1"/>
  <c r="AL597" i="1" s="1"/>
  <c r="AD1494" i="1"/>
  <c r="AD1493" i="1"/>
  <c r="AL1493" i="1" s="1"/>
  <c r="AD1492" i="1"/>
  <c r="AH1492" i="1" s="1"/>
  <c r="AD1728" i="1"/>
  <c r="AL1728" i="1" s="1"/>
  <c r="AD1726" i="1"/>
  <c r="AI1726" i="1" s="1"/>
  <c r="AD1403" i="1"/>
  <c r="AH1403" i="1" s="1"/>
  <c r="AD1402" i="1"/>
  <c r="AL1402" i="1" s="1"/>
  <c r="AD1401" i="1"/>
  <c r="AL1401" i="1" s="1"/>
  <c r="AD1731" i="1"/>
  <c r="AL1731" i="1" s="1"/>
  <c r="AD1730" i="1"/>
  <c r="AL1730" i="1" s="1"/>
  <c r="AD1729" i="1"/>
  <c r="AL1729" i="1" s="1"/>
  <c r="AD122" i="1"/>
  <c r="AI122" i="1" s="1"/>
  <c r="AD120" i="1"/>
  <c r="AI120" i="1" s="1"/>
  <c r="AD473" i="1"/>
  <c r="AL473" i="1" s="1"/>
  <c r="AD472" i="1"/>
  <c r="AH472" i="1" s="1"/>
  <c r="AD471" i="1"/>
  <c r="AH471" i="1" s="1"/>
  <c r="AD1406" i="1"/>
  <c r="AL1406" i="1" s="1"/>
  <c r="AD1405" i="1"/>
  <c r="AH1405" i="1" s="1"/>
  <c r="AD1404" i="1"/>
  <c r="AI1404" i="1" s="1"/>
  <c r="AD403" i="1"/>
  <c r="AH403" i="1" s="1"/>
  <c r="AD401" i="1"/>
  <c r="AL401" i="1" s="1"/>
  <c r="AD1595" i="1"/>
  <c r="AL1595" i="1" s="1"/>
  <c r="AD1594" i="1"/>
  <c r="AH1594" i="1" s="1"/>
  <c r="AD1593" i="1"/>
  <c r="AL1593" i="1" s="1"/>
  <c r="AD1111" i="1"/>
  <c r="AL1111" i="1" s="1"/>
  <c r="AD1110" i="1"/>
  <c r="AH1110" i="1" s="1"/>
  <c r="AD1109" i="1"/>
  <c r="AL1109" i="1" s="1"/>
  <c r="AD687" i="1"/>
  <c r="AL687" i="1" s="1"/>
  <c r="AD685" i="1"/>
  <c r="AL685" i="1" s="1"/>
  <c r="AD1764" i="1"/>
  <c r="AD1763" i="1"/>
  <c r="AD1762" i="1"/>
  <c r="AD1761" i="1"/>
  <c r="AD1569" i="1"/>
  <c r="AL1569" i="1" s="1"/>
  <c r="AD1567" i="1"/>
  <c r="AL1567" i="1" s="1"/>
  <c r="AD1485" i="1"/>
  <c r="AL1485" i="1" s="1"/>
  <c r="AD1483" i="1"/>
  <c r="AL1483" i="1" s="1"/>
  <c r="AD1460" i="1"/>
  <c r="AL1460" i="1" s="1"/>
  <c r="AD1458" i="1"/>
  <c r="AL1458" i="1" s="1"/>
  <c r="AD1412" i="1"/>
  <c r="AL1412" i="1" s="1"/>
  <c r="AD1410" i="1"/>
  <c r="AL1410" i="1" s="1"/>
  <c r="AD1400" i="1"/>
  <c r="AL1400" i="1" s="1"/>
  <c r="AD1398" i="1"/>
  <c r="AL1398" i="1" s="1"/>
  <c r="AD1391" i="1"/>
  <c r="AL1391" i="1" s="1"/>
  <c r="AD1389" i="1"/>
  <c r="AL1389" i="1" s="1"/>
  <c r="AD1388" i="1"/>
  <c r="AL1388" i="1" s="1"/>
  <c r="AD1386" i="1"/>
  <c r="AL1386" i="1" s="1"/>
  <c r="AD1360" i="1"/>
  <c r="AL1360" i="1" s="1"/>
  <c r="AD1358" i="1"/>
  <c r="AL1358" i="1" s="1"/>
  <c r="AD1264" i="1"/>
  <c r="AL1264" i="1" s="1"/>
  <c r="AD1262" i="1"/>
  <c r="AL1262" i="1" s="1"/>
  <c r="AD1166" i="1"/>
  <c r="AI1166" i="1" s="1"/>
  <c r="AD1164" i="1"/>
  <c r="AL1164" i="1" s="1"/>
  <c r="AD1108" i="1"/>
  <c r="AL1108" i="1" s="1"/>
  <c r="AD1105" i="1"/>
  <c r="AL1105" i="1" s="1"/>
  <c r="AD1053" i="1"/>
  <c r="AL1053" i="1" s="1"/>
  <c r="AD1051" i="1"/>
  <c r="AL1051" i="1" s="1"/>
  <c r="AD821" i="1"/>
  <c r="AL821" i="1" s="1"/>
  <c r="AD819" i="1"/>
  <c r="AL819" i="1" s="1"/>
  <c r="AD693" i="1"/>
  <c r="AL693" i="1" s="1"/>
  <c r="AD691" i="1"/>
  <c r="AL691" i="1" s="1"/>
  <c r="AD605" i="1"/>
  <c r="AL605" i="1" s="1"/>
  <c r="AD603" i="1"/>
  <c r="AL603" i="1" s="1"/>
  <c r="AD602" i="1"/>
  <c r="AL602" i="1" s="1"/>
  <c r="AD600" i="1"/>
  <c r="AL600" i="1" s="1"/>
  <c r="AD587" i="1"/>
  <c r="AL587" i="1" s="1"/>
  <c r="AD585" i="1"/>
  <c r="AL585" i="1" s="1"/>
  <c r="AD461" i="1"/>
  <c r="AL461" i="1" s="1"/>
  <c r="AD459" i="1"/>
  <c r="AL459" i="1" s="1"/>
  <c r="AD458" i="1"/>
  <c r="AL458" i="1" s="1"/>
  <c r="AD456" i="1"/>
  <c r="AL456" i="1" s="1"/>
  <c r="L1780" i="1"/>
  <c r="AJ1064" i="1"/>
  <c r="AI1064" i="1"/>
  <c r="AE1064" i="1"/>
  <c r="AB1064" i="1"/>
  <c r="Z1064" i="1"/>
  <c r="V1064" i="1"/>
  <c r="U1064" i="1"/>
  <c r="T1064" i="1"/>
  <c r="S1064" i="1"/>
  <c r="S1079" i="1"/>
  <c r="T1079" i="1"/>
  <c r="U1079" i="1"/>
  <c r="V1079" i="1"/>
  <c r="Z1079" i="1"/>
  <c r="AE1079" i="1"/>
  <c r="AJ922" i="1"/>
  <c r="AI922" i="1"/>
  <c r="AE922" i="1"/>
  <c r="AB922" i="1"/>
  <c r="Z922" i="1"/>
  <c r="V922" i="1"/>
  <c r="U922" i="1"/>
  <c r="T922" i="1"/>
  <c r="S922" i="1"/>
  <c r="AJ1463" i="1"/>
  <c r="AI1463" i="1"/>
  <c r="AE1463" i="1"/>
  <c r="AB1463" i="1"/>
  <c r="Z1463" i="1"/>
  <c r="V1463" i="1"/>
  <c r="U1463" i="1"/>
  <c r="T1463" i="1"/>
  <c r="S1463" i="1"/>
  <c r="AJ926" i="1"/>
  <c r="AI926" i="1"/>
  <c r="AE926" i="1"/>
  <c r="AB926" i="1"/>
  <c r="Z926" i="1"/>
  <c r="V926" i="1"/>
  <c r="U926" i="1"/>
  <c r="T926" i="1"/>
  <c r="S926" i="1"/>
  <c r="AJ113" i="1"/>
  <c r="AI113" i="1"/>
  <c r="AE113" i="1"/>
  <c r="AB113" i="1"/>
  <c r="Z113" i="1"/>
  <c r="V113" i="1"/>
  <c r="U113" i="1"/>
  <c r="T113" i="1"/>
  <c r="S113" i="1"/>
  <c r="AJ60" i="1"/>
  <c r="AI60" i="1"/>
  <c r="AE60" i="1"/>
  <c r="AB60" i="1"/>
  <c r="Z60" i="1"/>
  <c r="V60" i="1"/>
  <c r="U60" i="1"/>
  <c r="T60" i="1"/>
  <c r="S60" i="1"/>
  <c r="AJ1606" i="1"/>
  <c r="AI1606" i="1"/>
  <c r="AE1606" i="1"/>
  <c r="AB1606" i="1"/>
  <c r="Z1606" i="1"/>
  <c r="V1606" i="1"/>
  <c r="U1606" i="1"/>
  <c r="T1606" i="1"/>
  <c r="S1606" i="1"/>
  <c r="AJ1540" i="1"/>
  <c r="AI1540" i="1"/>
  <c r="AE1540" i="1"/>
  <c r="AB1540" i="1"/>
  <c r="Z1540" i="1"/>
  <c r="V1540" i="1"/>
  <c r="U1540" i="1"/>
  <c r="T1540" i="1"/>
  <c r="S1540" i="1"/>
  <c r="H1711" i="1"/>
  <c r="I1711" i="1"/>
  <c r="W1711" i="1" s="1"/>
  <c r="AJ869" i="1"/>
  <c r="AI869" i="1"/>
  <c r="AE869" i="1"/>
  <c r="AB869" i="1"/>
  <c r="Z869" i="1"/>
  <c r="V869" i="1"/>
  <c r="U869" i="1"/>
  <c r="T869" i="1"/>
  <c r="S869" i="1"/>
  <c r="AJ656" i="1"/>
  <c r="AI656" i="1"/>
  <c r="AE656" i="1"/>
  <c r="AB656" i="1"/>
  <c r="Z656" i="1"/>
  <c r="V656" i="1"/>
  <c r="S656" i="1"/>
  <c r="AJ655" i="1"/>
  <c r="AI655" i="1"/>
  <c r="AE655" i="1"/>
  <c r="AB655" i="1"/>
  <c r="Z655" i="1"/>
  <c r="V655" i="1"/>
  <c r="U655" i="1"/>
  <c r="T655" i="1"/>
  <c r="S655" i="1"/>
  <c r="AJ654" i="1"/>
  <c r="AI654" i="1"/>
  <c r="AE654" i="1"/>
  <c r="AB654" i="1"/>
  <c r="Z654" i="1"/>
  <c r="V654" i="1"/>
  <c r="AJ548" i="1"/>
  <c r="AI548" i="1"/>
  <c r="AE548" i="1"/>
  <c r="AB548" i="1"/>
  <c r="Z548" i="1"/>
  <c r="V548" i="1"/>
  <c r="U548" i="1"/>
  <c r="T548" i="1"/>
  <c r="S548" i="1"/>
  <c r="H898" i="1"/>
  <c r="I898" i="1"/>
  <c r="W898" i="1" s="1"/>
  <c r="AJ99" i="1"/>
  <c r="AI99" i="1"/>
  <c r="AE99" i="1"/>
  <c r="AB99" i="1"/>
  <c r="Z99" i="1"/>
  <c r="V99" i="1"/>
  <c r="U99" i="1"/>
  <c r="T99" i="1"/>
  <c r="S99" i="1"/>
  <c r="AJ1098" i="1"/>
  <c r="AI1098" i="1"/>
  <c r="AE1098" i="1"/>
  <c r="AB1098" i="1"/>
  <c r="Z1098" i="1"/>
  <c r="AJ1097" i="1"/>
  <c r="AI1097" i="1"/>
  <c r="AE1097" i="1"/>
  <c r="AB1097" i="1"/>
  <c r="Z1097" i="1"/>
  <c r="V1097" i="1"/>
  <c r="U1097" i="1"/>
  <c r="T1097" i="1"/>
  <c r="S1097" i="1"/>
  <c r="AJ1096" i="1"/>
  <c r="AI1096" i="1"/>
  <c r="AE1096" i="1"/>
  <c r="AB1096" i="1"/>
  <c r="Z1096" i="1"/>
  <c r="V1096" i="1"/>
  <c r="AJ1302" i="1"/>
  <c r="AI1302" i="1"/>
  <c r="AE1302" i="1"/>
  <c r="AB1302" i="1"/>
  <c r="Z1302" i="1"/>
  <c r="AJ1301" i="1"/>
  <c r="AI1301" i="1"/>
  <c r="AE1301" i="1"/>
  <c r="AB1301" i="1"/>
  <c r="Z1301" i="1"/>
  <c r="V1301" i="1"/>
  <c r="U1301" i="1"/>
  <c r="T1301" i="1"/>
  <c r="S1301" i="1"/>
  <c r="AJ1300" i="1"/>
  <c r="AI1300" i="1"/>
  <c r="AE1300" i="1"/>
  <c r="AB1300" i="1"/>
  <c r="Z1300" i="1"/>
  <c r="V1300" i="1"/>
  <c r="AJ912" i="1"/>
  <c r="AI912" i="1"/>
  <c r="AE912" i="1"/>
  <c r="AB912" i="1"/>
  <c r="Z912" i="1"/>
  <c r="V912" i="1"/>
  <c r="S912" i="1"/>
  <c r="AJ911" i="1"/>
  <c r="AI911" i="1"/>
  <c r="AE911" i="1"/>
  <c r="AB911" i="1"/>
  <c r="Z911" i="1"/>
  <c r="V911" i="1"/>
  <c r="U911" i="1"/>
  <c r="T911" i="1"/>
  <c r="S911" i="1"/>
  <c r="AJ910" i="1"/>
  <c r="AI910" i="1"/>
  <c r="AE910" i="1"/>
  <c r="AB910" i="1"/>
  <c r="Z910" i="1"/>
  <c r="V910" i="1"/>
  <c r="U910" i="1"/>
  <c r="T910" i="1"/>
  <c r="S910" i="1"/>
  <c r="AJ909" i="1"/>
  <c r="AI909" i="1"/>
  <c r="AE909" i="1"/>
  <c r="AB909" i="1"/>
  <c r="Z909" i="1"/>
  <c r="V909" i="1"/>
  <c r="X898" i="1"/>
  <c r="X1711" i="1"/>
  <c r="AJ1455" i="1"/>
  <c r="AI1455" i="1"/>
  <c r="AE1455" i="1"/>
  <c r="AB1455" i="1"/>
  <c r="Z1455" i="1"/>
  <c r="V1455" i="1"/>
  <c r="U1455" i="1"/>
  <c r="T1455" i="1"/>
  <c r="S1455" i="1"/>
  <c r="AJ1287" i="1"/>
  <c r="AI1287" i="1"/>
  <c r="AE1287" i="1"/>
  <c r="AB1287" i="1"/>
  <c r="Z1287" i="1"/>
  <c r="V1287" i="1"/>
  <c r="U1287" i="1"/>
  <c r="T1287" i="1"/>
  <c r="S1287" i="1"/>
  <c r="AJ1474" i="1"/>
  <c r="AI1474" i="1"/>
  <c r="AE1474" i="1"/>
  <c r="AB1474" i="1"/>
  <c r="Z1474" i="1"/>
  <c r="V1474" i="1"/>
  <c r="U1474" i="1"/>
  <c r="T1474" i="1"/>
  <c r="S1474" i="1"/>
  <c r="S1454" i="1"/>
  <c r="T1454" i="1"/>
  <c r="U1454" i="1"/>
  <c r="V1454" i="1"/>
  <c r="Z1454" i="1"/>
  <c r="AB1454" i="1"/>
  <c r="AE1454" i="1"/>
  <c r="AI1454" i="1"/>
  <c r="AJ1454" i="1"/>
  <c r="AJ356" i="1"/>
  <c r="AI356" i="1"/>
  <c r="AE356" i="1"/>
  <c r="AB356" i="1"/>
  <c r="Z356" i="1"/>
  <c r="V356" i="1"/>
  <c r="U356" i="1"/>
  <c r="T356" i="1"/>
  <c r="S356" i="1"/>
  <c r="AJ266" i="1"/>
  <c r="AI266" i="1"/>
  <c r="AE266" i="1"/>
  <c r="AB266" i="1"/>
  <c r="Z266" i="1"/>
  <c r="V266" i="1"/>
  <c r="U266" i="1"/>
  <c r="T266" i="1"/>
  <c r="S266" i="1"/>
  <c r="AJ630" i="1"/>
  <c r="AI630" i="1"/>
  <c r="AE630" i="1"/>
  <c r="AB630" i="1"/>
  <c r="Z630" i="1"/>
  <c r="V630" i="1"/>
  <c r="U630" i="1"/>
  <c r="T630" i="1"/>
  <c r="S630" i="1"/>
  <c r="AJ504" i="1"/>
  <c r="AI504" i="1"/>
  <c r="AE504" i="1"/>
  <c r="AB504" i="1"/>
  <c r="Z504" i="1"/>
  <c r="V504" i="1"/>
  <c r="U504" i="1"/>
  <c r="T504" i="1"/>
  <c r="S504" i="1"/>
  <c r="AJ1476" i="1"/>
  <c r="AI1476" i="1"/>
  <c r="AE1476" i="1"/>
  <c r="AB1476" i="1"/>
  <c r="Z1476" i="1"/>
  <c r="V1476" i="1"/>
  <c r="S1476" i="1"/>
  <c r="AE1475" i="1"/>
  <c r="Z1475" i="1"/>
  <c r="V1475" i="1"/>
  <c r="U1475" i="1"/>
  <c r="T1475" i="1"/>
  <c r="S1475" i="1"/>
  <c r="AJ1473" i="1"/>
  <c r="AI1473" i="1"/>
  <c r="AE1473" i="1"/>
  <c r="AB1473" i="1"/>
  <c r="Z1473" i="1"/>
  <c r="V1473" i="1"/>
  <c r="AJ725" i="1"/>
  <c r="AI725" i="1"/>
  <c r="AE725" i="1"/>
  <c r="AB725" i="1"/>
  <c r="Z725" i="1"/>
  <c r="V725" i="1"/>
  <c r="U725" i="1"/>
  <c r="T725" i="1"/>
  <c r="S725" i="1"/>
  <c r="AJ722" i="1"/>
  <c r="AI722" i="1"/>
  <c r="AE722" i="1"/>
  <c r="AB722" i="1"/>
  <c r="Z722" i="1"/>
  <c r="V722" i="1"/>
  <c r="U722" i="1"/>
  <c r="T722" i="1"/>
  <c r="S722" i="1"/>
  <c r="AJ447" i="1"/>
  <c r="AI447" i="1"/>
  <c r="AE447" i="1"/>
  <c r="AB447" i="1"/>
  <c r="Z447" i="1"/>
  <c r="V447" i="1"/>
  <c r="U447" i="1"/>
  <c r="T447" i="1"/>
  <c r="S447" i="1"/>
  <c r="AJ1024" i="1"/>
  <c r="AI1024" i="1"/>
  <c r="AE1024" i="1"/>
  <c r="AB1024" i="1"/>
  <c r="Z1024" i="1"/>
  <c r="V1024" i="1"/>
  <c r="U1024" i="1"/>
  <c r="T1024" i="1"/>
  <c r="S1024" i="1"/>
  <c r="AJ482" i="1"/>
  <c r="AI482" i="1"/>
  <c r="AE482" i="1"/>
  <c r="AB482" i="1"/>
  <c r="Z482" i="1"/>
  <c r="V482" i="1"/>
  <c r="U482" i="1"/>
  <c r="T482" i="1"/>
  <c r="S482" i="1"/>
  <c r="AE323" i="1"/>
  <c r="Z323" i="1"/>
  <c r="V323" i="1"/>
  <c r="U323" i="1"/>
  <c r="T323" i="1"/>
  <c r="S323" i="1"/>
  <c r="AJ807" i="1"/>
  <c r="AI807" i="1"/>
  <c r="AE807" i="1"/>
  <c r="AB807" i="1"/>
  <c r="Z807" i="1"/>
  <c r="V807" i="1"/>
  <c r="U807" i="1"/>
  <c r="T807" i="1"/>
  <c r="S807" i="1"/>
  <c r="AJ260" i="1"/>
  <c r="AI260" i="1"/>
  <c r="AE260" i="1"/>
  <c r="AB260" i="1"/>
  <c r="Z260" i="1"/>
  <c r="V260" i="1"/>
  <c r="U260" i="1"/>
  <c r="T260" i="1"/>
  <c r="S260" i="1"/>
  <c r="AJ532" i="1"/>
  <c r="AI532" i="1"/>
  <c r="AE532" i="1"/>
  <c r="AB532" i="1"/>
  <c r="Z532" i="1"/>
  <c r="V532" i="1"/>
  <c r="U532" i="1"/>
  <c r="T532" i="1"/>
  <c r="S532" i="1"/>
  <c r="AJ1107" i="1"/>
  <c r="AI1107" i="1"/>
  <c r="AE1107" i="1"/>
  <c r="AB1107" i="1"/>
  <c r="Z1107" i="1"/>
  <c r="V1107" i="1"/>
  <c r="U1107" i="1"/>
  <c r="T1107" i="1"/>
  <c r="S1107" i="1"/>
  <c r="AJ1106" i="1"/>
  <c r="AI1106" i="1"/>
  <c r="AE1106" i="1"/>
  <c r="AB1106" i="1"/>
  <c r="Z1106" i="1"/>
  <c r="V1106" i="1"/>
  <c r="U1106" i="1"/>
  <c r="T1106" i="1"/>
  <c r="S1106" i="1"/>
  <c r="AJ398" i="1"/>
  <c r="AI398" i="1"/>
  <c r="AE398" i="1"/>
  <c r="AB398" i="1"/>
  <c r="Z398" i="1"/>
  <c r="V398" i="1"/>
  <c r="U398" i="1"/>
  <c r="T398" i="1"/>
  <c r="S398" i="1"/>
  <c r="AE395" i="1"/>
  <c r="Z395" i="1"/>
  <c r="V395" i="1"/>
  <c r="U395" i="1"/>
  <c r="T395" i="1"/>
  <c r="S395" i="1"/>
  <c r="AJ1496" i="1"/>
  <c r="AI1496" i="1"/>
  <c r="AE1496" i="1"/>
  <c r="AB1496" i="1"/>
  <c r="Z1496" i="1"/>
  <c r="V1496" i="1"/>
  <c r="U1496" i="1"/>
  <c r="T1496" i="1"/>
  <c r="S1496" i="1"/>
  <c r="AJ960" i="1"/>
  <c r="AI960" i="1"/>
  <c r="AE960" i="1"/>
  <c r="AB960" i="1"/>
  <c r="Z960" i="1"/>
  <c r="V960" i="1"/>
  <c r="U960" i="1"/>
  <c r="T960" i="1"/>
  <c r="S960" i="1"/>
  <c r="AJ500" i="1"/>
  <c r="AI500" i="1"/>
  <c r="AE500" i="1"/>
  <c r="AB500" i="1"/>
  <c r="Z500" i="1"/>
  <c r="V500" i="1"/>
  <c r="U500" i="1"/>
  <c r="T500" i="1"/>
  <c r="S500" i="1"/>
  <c r="AJ542" i="1"/>
  <c r="AI542" i="1"/>
  <c r="AE542" i="1"/>
  <c r="AB542" i="1"/>
  <c r="Z542" i="1"/>
  <c r="V542" i="1"/>
  <c r="U542" i="1"/>
  <c r="T542" i="1"/>
  <c r="S542" i="1"/>
  <c r="AJ541" i="1"/>
  <c r="AI541" i="1"/>
  <c r="AE541" i="1"/>
  <c r="AB541" i="1"/>
  <c r="Z541" i="1"/>
  <c r="V541" i="1"/>
  <c r="U541" i="1"/>
  <c r="T541" i="1"/>
  <c r="S541" i="1"/>
  <c r="AJ536" i="1"/>
  <c r="AI536" i="1"/>
  <c r="AE536" i="1"/>
  <c r="AB536" i="1"/>
  <c r="Z536" i="1"/>
  <c r="V536" i="1"/>
  <c r="U536" i="1"/>
  <c r="T536" i="1"/>
  <c r="S536" i="1"/>
  <c r="AJ436" i="1"/>
  <c r="AI436" i="1"/>
  <c r="AE436" i="1"/>
  <c r="AB436" i="1"/>
  <c r="Z436" i="1"/>
  <c r="V436" i="1"/>
  <c r="U436" i="1"/>
  <c r="T436" i="1"/>
  <c r="S436" i="1"/>
  <c r="AJ770" i="1"/>
  <c r="AI770" i="1"/>
  <c r="AE770" i="1"/>
  <c r="AB770" i="1"/>
  <c r="Z770" i="1"/>
  <c r="V770" i="1"/>
  <c r="U770" i="1"/>
  <c r="T770" i="1"/>
  <c r="S770" i="1"/>
  <c r="AJ492" i="1"/>
  <c r="AI492" i="1"/>
  <c r="AE492" i="1"/>
  <c r="AB492" i="1"/>
  <c r="Z492" i="1"/>
  <c r="V492" i="1"/>
  <c r="U492" i="1"/>
  <c r="T492" i="1"/>
  <c r="S492" i="1"/>
  <c r="E1784" i="1"/>
  <c r="AJ803" i="1"/>
  <c r="AI803" i="1"/>
  <c r="AE803" i="1"/>
  <c r="AB803" i="1"/>
  <c r="Z803" i="1"/>
  <c r="V803" i="1"/>
  <c r="U803" i="1"/>
  <c r="T803" i="1"/>
  <c r="S803" i="1"/>
  <c r="AJ1421" i="1"/>
  <c r="AI1421" i="1"/>
  <c r="AE1421" i="1"/>
  <c r="AB1421" i="1"/>
  <c r="Z1421" i="1"/>
  <c r="V1421" i="1"/>
  <c r="U1421" i="1"/>
  <c r="T1421" i="1"/>
  <c r="S1421" i="1"/>
  <c r="AJ1279" i="1"/>
  <c r="AI1279" i="1"/>
  <c r="AE1279" i="1"/>
  <c r="AB1279" i="1"/>
  <c r="Z1279" i="1"/>
  <c r="V1279" i="1"/>
  <c r="U1279" i="1"/>
  <c r="T1279" i="1"/>
  <c r="S1279" i="1"/>
  <c r="AJ483" i="1"/>
  <c r="AI483" i="1"/>
  <c r="AE483" i="1"/>
  <c r="AB483" i="1"/>
  <c r="Z483" i="1"/>
  <c r="V483" i="1"/>
  <c r="U483" i="1"/>
  <c r="T483" i="1"/>
  <c r="S483" i="1"/>
  <c r="AJ444" i="1"/>
  <c r="AI444" i="1"/>
  <c r="AE444" i="1"/>
  <c r="AB444" i="1"/>
  <c r="Z444" i="1"/>
  <c r="V444" i="1"/>
  <c r="U444" i="1"/>
  <c r="T444" i="1"/>
  <c r="S444" i="1"/>
  <c r="AJ167" i="1"/>
  <c r="AI167" i="1"/>
  <c r="AE167" i="1"/>
  <c r="AB167" i="1"/>
  <c r="Z167" i="1"/>
  <c r="V167" i="1"/>
  <c r="U167" i="1"/>
  <c r="T167" i="1"/>
  <c r="S167" i="1"/>
  <c r="AJ806" i="1"/>
  <c r="AI806" i="1"/>
  <c r="AE806" i="1"/>
  <c r="AB806" i="1"/>
  <c r="Z806" i="1"/>
  <c r="V806" i="1"/>
  <c r="U806" i="1"/>
  <c r="T806" i="1"/>
  <c r="S806" i="1"/>
  <c r="AE45" i="1"/>
  <c r="Z45" i="1"/>
  <c r="V45" i="1"/>
  <c r="U45" i="1"/>
  <c r="T45" i="1"/>
  <c r="S45" i="1"/>
  <c r="AJ46" i="1"/>
  <c r="AI46" i="1"/>
  <c r="AE46" i="1"/>
  <c r="AB46" i="1"/>
  <c r="Z46" i="1"/>
  <c r="V46" i="1"/>
  <c r="U46" i="1"/>
  <c r="T46" i="1"/>
  <c r="S46" i="1"/>
  <c r="AJ55" i="1"/>
  <c r="AI55" i="1"/>
  <c r="AE55" i="1"/>
  <c r="AB55" i="1"/>
  <c r="Z55" i="1"/>
  <c r="V55" i="1"/>
  <c r="U55" i="1"/>
  <c r="T55" i="1"/>
  <c r="S55" i="1"/>
  <c r="AJ1649" i="1"/>
  <c r="AI1649" i="1"/>
  <c r="AE1649" i="1"/>
  <c r="AB1649" i="1"/>
  <c r="Z1649" i="1"/>
  <c r="V1649" i="1"/>
  <c r="U1649" i="1"/>
  <c r="T1649" i="1"/>
  <c r="S1649" i="1"/>
  <c r="AJ1429" i="1"/>
  <c r="AI1429" i="1"/>
  <c r="AE1429" i="1"/>
  <c r="AB1429" i="1"/>
  <c r="Z1429" i="1"/>
  <c r="V1429" i="1"/>
  <c r="U1429" i="1"/>
  <c r="T1429" i="1"/>
  <c r="S1429" i="1"/>
  <c r="AJ1228" i="1"/>
  <c r="AI1228" i="1"/>
  <c r="AE1228" i="1"/>
  <c r="AB1228" i="1"/>
  <c r="Z1228" i="1"/>
  <c r="V1228" i="1"/>
  <c r="U1228" i="1"/>
  <c r="T1228" i="1"/>
  <c r="S1228" i="1"/>
  <c r="AJ275" i="1"/>
  <c r="AI275" i="1"/>
  <c r="AE275" i="1"/>
  <c r="AB275" i="1"/>
  <c r="Z275" i="1"/>
  <c r="V275" i="1"/>
  <c r="U275" i="1"/>
  <c r="T275" i="1"/>
  <c r="S275" i="1"/>
  <c r="AJ1047" i="1"/>
  <c r="AI1047" i="1"/>
  <c r="AE1047" i="1"/>
  <c r="AB1047" i="1"/>
  <c r="Z1047" i="1"/>
  <c r="V1047" i="1"/>
  <c r="U1047" i="1"/>
  <c r="T1047" i="1"/>
  <c r="S1047" i="1"/>
  <c r="AJ1374" i="1"/>
  <c r="AI1374" i="1"/>
  <c r="AE1374" i="1"/>
  <c r="AB1374" i="1"/>
  <c r="Z1374" i="1"/>
  <c r="V1374" i="1"/>
  <c r="U1374" i="1"/>
  <c r="T1374" i="1"/>
  <c r="S1374" i="1"/>
  <c r="H1082" i="1"/>
  <c r="I1082" i="1"/>
  <c r="W1082" i="1" s="1"/>
  <c r="AJ545" i="1"/>
  <c r="AI545" i="1"/>
  <c r="AE545" i="1"/>
  <c r="AB545" i="1"/>
  <c r="Z545" i="1"/>
  <c r="V545" i="1"/>
  <c r="U545" i="1"/>
  <c r="T545" i="1"/>
  <c r="S545" i="1"/>
  <c r="AJ393" i="1"/>
  <c r="AI393" i="1"/>
  <c r="AE393" i="1"/>
  <c r="AB393" i="1"/>
  <c r="Z393" i="1"/>
  <c r="V393" i="1"/>
  <c r="U393" i="1"/>
  <c r="T393" i="1"/>
  <c r="S393" i="1"/>
  <c r="AJ521" i="1"/>
  <c r="AI521" i="1"/>
  <c r="AE521" i="1"/>
  <c r="AB521" i="1"/>
  <c r="Z521" i="1"/>
  <c r="V521" i="1"/>
  <c r="U521" i="1"/>
  <c r="T521" i="1"/>
  <c r="S521" i="1"/>
  <c r="AE225" i="1"/>
  <c r="Z225" i="1"/>
  <c r="V225" i="1"/>
  <c r="U225" i="1"/>
  <c r="T225" i="1"/>
  <c r="S225" i="1"/>
  <c r="AJ611" i="1"/>
  <c r="AI611" i="1"/>
  <c r="AE611" i="1"/>
  <c r="AB611" i="1"/>
  <c r="Z611" i="1"/>
  <c r="V611" i="1"/>
  <c r="U611" i="1"/>
  <c r="T611" i="1"/>
  <c r="S611" i="1"/>
  <c r="AJ405" i="1"/>
  <c r="AI405" i="1"/>
  <c r="AE405" i="1"/>
  <c r="AB405" i="1"/>
  <c r="Z405" i="1"/>
  <c r="V405" i="1"/>
  <c r="U405" i="1"/>
  <c r="T405" i="1"/>
  <c r="S405" i="1"/>
  <c r="AJ380" i="1"/>
  <c r="AI380" i="1"/>
  <c r="AE380" i="1"/>
  <c r="AB380" i="1"/>
  <c r="Z380" i="1"/>
  <c r="V380" i="1"/>
  <c r="U380" i="1"/>
  <c r="T380" i="1"/>
  <c r="S380" i="1"/>
  <c r="R7" i="1"/>
  <c r="AJ192" i="1"/>
  <c r="AI192" i="1"/>
  <c r="AE192" i="1"/>
  <c r="AB192" i="1"/>
  <c r="Z192" i="1"/>
  <c r="V192" i="1"/>
  <c r="U192" i="1"/>
  <c r="T192" i="1"/>
  <c r="S192" i="1"/>
  <c r="AE933" i="1"/>
  <c r="Z933" i="1"/>
  <c r="V933" i="1"/>
  <c r="U933" i="1"/>
  <c r="T933" i="1"/>
  <c r="S933" i="1"/>
  <c r="AJ1170" i="1"/>
  <c r="AI1170" i="1"/>
  <c r="AE1170" i="1"/>
  <c r="AB1170" i="1"/>
  <c r="Z1170" i="1"/>
  <c r="V1170" i="1"/>
  <c r="U1170" i="1"/>
  <c r="T1170" i="1"/>
  <c r="S1170" i="1"/>
  <c r="AJ1256" i="1"/>
  <c r="AI1256" i="1"/>
  <c r="AE1256" i="1"/>
  <c r="AB1256" i="1"/>
  <c r="Z1256" i="1"/>
  <c r="V1256" i="1"/>
  <c r="U1256" i="1"/>
  <c r="T1256" i="1"/>
  <c r="S1256" i="1"/>
  <c r="AJ1169" i="1"/>
  <c r="AI1169" i="1"/>
  <c r="AE1169" i="1"/>
  <c r="AB1169" i="1"/>
  <c r="Z1169" i="1"/>
  <c r="V1169" i="1"/>
  <c r="U1169" i="1"/>
  <c r="T1169" i="1"/>
  <c r="S1169" i="1"/>
  <c r="AJ34" i="1"/>
  <c r="AI34" i="1"/>
  <c r="AE34" i="1"/>
  <c r="AB34" i="1"/>
  <c r="Z34" i="1"/>
  <c r="V34" i="1"/>
  <c r="U34" i="1"/>
  <c r="T34" i="1"/>
  <c r="S34" i="1"/>
  <c r="AJ1462" i="1"/>
  <c r="AI1462" i="1"/>
  <c r="AE1462" i="1"/>
  <c r="AB1462" i="1"/>
  <c r="Z1462" i="1"/>
  <c r="V1462" i="1"/>
  <c r="U1462" i="1"/>
  <c r="T1462" i="1"/>
  <c r="S1462" i="1"/>
  <c r="AJ1433" i="1"/>
  <c r="AI1433" i="1"/>
  <c r="AE1433" i="1"/>
  <c r="AB1433" i="1"/>
  <c r="Z1433" i="1"/>
  <c r="V1433" i="1"/>
  <c r="U1433" i="1"/>
  <c r="T1433" i="1"/>
  <c r="S1433" i="1"/>
  <c r="AJ1145" i="1"/>
  <c r="AI1145" i="1"/>
  <c r="AE1145" i="1"/>
  <c r="AB1145" i="1"/>
  <c r="Z1145" i="1"/>
  <c r="V1145" i="1"/>
  <c r="U1145" i="1"/>
  <c r="T1145" i="1"/>
  <c r="S1145" i="1"/>
  <c r="AJ812" i="1"/>
  <c r="AI812" i="1"/>
  <c r="AE812" i="1"/>
  <c r="AB812" i="1"/>
  <c r="Z812" i="1"/>
  <c r="V812" i="1"/>
  <c r="U812" i="1"/>
  <c r="T812" i="1"/>
  <c r="S812" i="1"/>
  <c r="AJ216" i="1"/>
  <c r="AI216" i="1"/>
  <c r="AE216" i="1"/>
  <c r="AB216" i="1"/>
  <c r="Z216" i="1"/>
  <c r="V216" i="1"/>
  <c r="U216" i="1"/>
  <c r="T216" i="1"/>
  <c r="S216" i="1"/>
  <c r="AJ215" i="1"/>
  <c r="AI215" i="1"/>
  <c r="AE215" i="1"/>
  <c r="AB215" i="1"/>
  <c r="Z215" i="1"/>
  <c r="V215" i="1"/>
  <c r="U215" i="1"/>
  <c r="T215" i="1"/>
  <c r="S215" i="1"/>
  <c r="AJ77" i="1"/>
  <c r="AI77" i="1"/>
  <c r="AE77" i="1"/>
  <c r="AB77" i="1"/>
  <c r="Z77" i="1"/>
  <c r="V77" i="1"/>
  <c r="U77" i="1"/>
  <c r="T77" i="1"/>
  <c r="S77" i="1"/>
  <c r="AJ431" i="1"/>
  <c r="AI431" i="1"/>
  <c r="AE431" i="1"/>
  <c r="AB431" i="1"/>
  <c r="Z431" i="1"/>
  <c r="V431" i="1"/>
  <c r="U431" i="1"/>
  <c r="T431" i="1"/>
  <c r="S431" i="1"/>
  <c r="AE5" i="1"/>
  <c r="AJ1654" i="1"/>
  <c r="AI1654" i="1"/>
  <c r="AE1654" i="1"/>
  <c r="AB1654" i="1"/>
  <c r="Z1654" i="1"/>
  <c r="V1654" i="1"/>
  <c r="U1654" i="1"/>
  <c r="T1654" i="1"/>
  <c r="S1654" i="1"/>
  <c r="S1073" i="1"/>
  <c r="T1073" i="1"/>
  <c r="U1073" i="1"/>
  <c r="V1073" i="1"/>
  <c r="Z1073" i="1"/>
  <c r="AE1073" i="1"/>
  <c r="AJ626" i="1"/>
  <c r="AI626" i="1"/>
  <c r="AE626" i="1"/>
  <c r="AB626" i="1"/>
  <c r="Z626" i="1"/>
  <c r="V626" i="1"/>
  <c r="U626" i="1"/>
  <c r="T626" i="1"/>
  <c r="S626" i="1"/>
  <c r="AJ526" i="1"/>
  <c r="AI526" i="1"/>
  <c r="AE526" i="1"/>
  <c r="AB526" i="1"/>
  <c r="Z526" i="1"/>
  <c r="V526" i="1"/>
  <c r="U526" i="1"/>
  <c r="T526" i="1"/>
  <c r="S526" i="1"/>
  <c r="AJ595" i="1"/>
  <c r="AI595" i="1"/>
  <c r="AE595" i="1"/>
  <c r="AB595" i="1"/>
  <c r="Z595" i="1"/>
  <c r="V595" i="1"/>
  <c r="U595" i="1"/>
  <c r="T595" i="1"/>
  <c r="S595" i="1"/>
  <c r="AJ425" i="1"/>
  <c r="AI425" i="1"/>
  <c r="AE425" i="1"/>
  <c r="AB425" i="1"/>
  <c r="Z425" i="1"/>
  <c r="V425" i="1"/>
  <c r="U425" i="1"/>
  <c r="T425" i="1"/>
  <c r="S425" i="1"/>
  <c r="H1751" i="1"/>
  <c r="AD1751" i="1" s="1"/>
  <c r="I1751" i="1"/>
  <c r="W1751" i="1" s="1"/>
  <c r="Z1780" i="1"/>
  <c r="X1082" i="1"/>
  <c r="F2" i="1"/>
  <c r="F3" i="1"/>
  <c r="G1782" i="1"/>
  <c r="G1781" i="1"/>
  <c r="D4" i="1" s="1"/>
  <c r="K1789" i="1"/>
  <c r="U1755" i="1"/>
  <c r="U13" i="1"/>
  <c r="U272" i="1"/>
  <c r="U12" i="1"/>
  <c r="U17" i="1"/>
  <c r="U21" i="1"/>
  <c r="U23" i="1"/>
  <c r="U24" i="1"/>
  <c r="U26" i="1"/>
  <c r="U27" i="1"/>
  <c r="U29" i="1"/>
  <c r="U31" i="1"/>
  <c r="U32" i="1"/>
  <c r="U33" i="1"/>
  <c r="U35" i="1"/>
  <c r="U36" i="1"/>
  <c r="U37" i="1"/>
  <c r="U38" i="1"/>
  <c r="U41" i="1"/>
  <c r="U42" i="1"/>
  <c r="U49" i="1"/>
  <c r="U56" i="1"/>
  <c r="U57" i="1"/>
  <c r="U67" i="1"/>
  <c r="U70" i="1"/>
  <c r="U73" i="1"/>
  <c r="U74" i="1"/>
  <c r="U75" i="1"/>
  <c r="U76" i="1"/>
  <c r="U78" i="1"/>
  <c r="U81" i="1"/>
  <c r="U84" i="1"/>
  <c r="U85" i="1"/>
  <c r="U90" i="1"/>
  <c r="U93" i="1"/>
  <c r="U96" i="1"/>
  <c r="U98" i="1"/>
  <c r="U102" i="1"/>
  <c r="U103" i="1"/>
  <c r="U106" i="1"/>
  <c r="U110" i="1"/>
  <c r="U115" i="1"/>
  <c r="U116" i="1"/>
  <c r="U117" i="1"/>
  <c r="U118" i="1"/>
  <c r="U124" i="1"/>
  <c r="U127" i="1"/>
  <c r="U128" i="1"/>
  <c r="U129" i="1"/>
  <c r="U132" i="1"/>
  <c r="U133" i="1"/>
  <c r="U134" i="1"/>
  <c r="U135" i="1"/>
  <c r="U139" i="1"/>
  <c r="U140" i="1"/>
  <c r="U141" i="1"/>
  <c r="U142" i="1"/>
  <c r="U148" i="1"/>
  <c r="U151" i="1"/>
  <c r="U152" i="1"/>
  <c r="U153" i="1"/>
  <c r="U154" i="1"/>
  <c r="U155" i="1"/>
  <c r="U156" i="1"/>
  <c r="U157" i="1"/>
  <c r="U158" i="1"/>
  <c r="U161" i="1"/>
  <c r="U162" i="1"/>
  <c r="U168" i="1"/>
  <c r="U171" i="1"/>
  <c r="U172" i="1"/>
  <c r="U175" i="1"/>
  <c r="U176" i="1"/>
  <c r="U177" i="1"/>
  <c r="U178" i="1"/>
  <c r="U181" i="1"/>
  <c r="U182" i="1"/>
  <c r="U183" i="1"/>
  <c r="U186" i="1"/>
  <c r="U189" i="1"/>
  <c r="U193" i="1"/>
  <c r="U194" i="1"/>
  <c r="U196" i="1"/>
  <c r="U202" i="1"/>
  <c r="U198" i="1"/>
  <c r="U199" i="1"/>
  <c r="U201" i="1"/>
  <c r="U205" i="1"/>
  <c r="U206" i="1"/>
  <c r="U207" i="1"/>
  <c r="U210" i="1"/>
  <c r="U211" i="1"/>
  <c r="U212" i="1"/>
  <c r="U219" i="1"/>
  <c r="U222" i="1"/>
  <c r="U224" i="1"/>
  <c r="U226" i="1"/>
  <c r="U227" i="1"/>
  <c r="U229" i="1"/>
  <c r="U230" i="1"/>
  <c r="U231" i="1"/>
  <c r="U232" i="1"/>
  <c r="U233" i="1"/>
  <c r="U234" i="1"/>
  <c r="U235" i="1"/>
  <c r="U239" i="1"/>
  <c r="U240" i="1"/>
  <c r="U241" i="1"/>
  <c r="U248" i="1"/>
  <c r="U249" i="1"/>
  <c r="U250" i="1"/>
  <c r="U252" i="1"/>
  <c r="U253" i="1"/>
  <c r="U254" i="1"/>
  <c r="U257" i="1"/>
  <c r="U258" i="1"/>
  <c r="U259" i="1"/>
  <c r="U263" i="1"/>
  <c r="U267" i="1"/>
  <c r="U268" i="1"/>
  <c r="U277" i="1"/>
  <c r="U278" i="1"/>
  <c r="U281" i="1"/>
  <c r="U282" i="1"/>
  <c r="U283" i="1"/>
  <c r="U284" i="1"/>
  <c r="U287" i="1"/>
  <c r="U288" i="1"/>
  <c r="U292" i="1"/>
  <c r="U297" i="1"/>
  <c r="U298" i="1"/>
  <c r="U299" i="1"/>
  <c r="U301" i="1"/>
  <c r="U304" i="1"/>
  <c r="U305" i="1"/>
  <c r="U308" i="1"/>
  <c r="U318" i="1"/>
  <c r="U316" i="1"/>
  <c r="U329" i="1"/>
  <c r="U330" i="1"/>
  <c r="U331" i="1"/>
  <c r="U334" i="1"/>
  <c r="U335" i="1"/>
  <c r="U336" i="1"/>
  <c r="U339" i="1"/>
  <c r="U340" i="1"/>
  <c r="U343" i="1"/>
  <c r="U344" i="1"/>
  <c r="U347" i="1"/>
  <c r="U348" i="1"/>
  <c r="U351" i="1"/>
  <c r="U352" i="1"/>
  <c r="U355" i="1"/>
  <c r="U357" i="1"/>
  <c r="U360" i="1"/>
  <c r="U363" i="1"/>
  <c r="U364" i="1"/>
  <c r="U367" i="1"/>
  <c r="U370" i="1"/>
  <c r="U371" i="1"/>
  <c r="U372" i="1"/>
  <c r="U375" i="1"/>
  <c r="U378" i="1"/>
  <c r="U381" i="1"/>
  <c r="U379" i="1"/>
  <c r="U384" i="1"/>
  <c r="U385" i="1"/>
  <c r="U386" i="1"/>
  <c r="U389" i="1"/>
  <c r="U390" i="1"/>
  <c r="U394" i="1"/>
  <c r="U396" i="1"/>
  <c r="U397" i="1"/>
  <c r="U399" i="1"/>
  <c r="U408" i="1"/>
  <c r="U409" i="1"/>
  <c r="U412" i="1"/>
  <c r="U418" i="1"/>
  <c r="U421" i="1"/>
  <c r="U422" i="1"/>
  <c r="U426" i="1"/>
  <c r="U429" i="1"/>
  <c r="U430" i="1"/>
  <c r="U432" i="1"/>
  <c r="U435" i="1"/>
  <c r="U437" i="1"/>
  <c r="U440" i="1"/>
  <c r="U441" i="1"/>
  <c r="U442" i="1"/>
  <c r="U443" i="1"/>
  <c r="U449" i="1"/>
  <c r="U452" i="1"/>
  <c r="U453" i="1"/>
  <c r="U454" i="1"/>
  <c r="U457" i="1"/>
  <c r="U464" i="1"/>
  <c r="U467" i="1"/>
  <c r="U469" i="1"/>
  <c r="U475" i="1"/>
  <c r="U476" i="1"/>
  <c r="U477" i="1"/>
  <c r="U480" i="1"/>
  <c r="U481" i="1"/>
  <c r="U489" i="1"/>
  <c r="U493" i="1"/>
  <c r="U494" i="1"/>
  <c r="U495" i="1"/>
  <c r="U496" i="1"/>
  <c r="U497" i="1"/>
  <c r="U509" i="1"/>
  <c r="U515" i="1"/>
  <c r="U516" i="1"/>
  <c r="U517" i="1"/>
  <c r="U520" i="1"/>
  <c r="U522" i="1"/>
  <c r="U525" i="1"/>
  <c r="U529" i="1"/>
  <c r="U537" i="1"/>
  <c r="U546" i="1"/>
  <c r="U547" i="1"/>
  <c r="U551" i="1"/>
  <c r="U556" i="1"/>
  <c r="U559" i="1"/>
  <c r="U566" i="1"/>
  <c r="U569" i="1"/>
  <c r="U570" i="1"/>
  <c r="U571" i="1"/>
  <c r="U574" i="1"/>
  <c r="U577" i="1"/>
  <c r="U583" i="1"/>
  <c r="U586" i="1"/>
  <c r="U589" i="1"/>
  <c r="U592" i="1"/>
  <c r="U593" i="1"/>
  <c r="U594" i="1"/>
  <c r="U601" i="1"/>
  <c r="U604" i="1"/>
  <c r="U607" i="1"/>
  <c r="U613" i="1"/>
  <c r="U614" i="1"/>
  <c r="U617" i="1"/>
  <c r="U618" i="1"/>
  <c r="U621" i="1"/>
  <c r="U622" i="1"/>
  <c r="U623" i="1"/>
  <c r="U624" i="1"/>
  <c r="U625" i="1"/>
  <c r="U627" i="1"/>
  <c r="U631" i="1"/>
  <c r="U634" i="1"/>
  <c r="U637" i="1"/>
  <c r="U640" i="1"/>
  <c r="U641" i="1"/>
  <c r="U642" i="1"/>
  <c r="U645" i="1"/>
  <c r="U646" i="1"/>
  <c r="U649" i="1"/>
  <c r="U652" i="1"/>
  <c r="U658" i="1"/>
  <c r="U659" i="1"/>
  <c r="U663" i="1"/>
  <c r="U670" i="1"/>
  <c r="U673" i="1"/>
  <c r="U674" i="1"/>
  <c r="U675" i="1"/>
  <c r="U676" i="1"/>
  <c r="U677" i="1"/>
  <c r="U680" i="1"/>
  <c r="U683" i="1"/>
  <c r="U689" i="1"/>
  <c r="U692" i="1"/>
  <c r="U700" i="1"/>
  <c r="U701" i="1"/>
  <c r="U702" i="1"/>
  <c r="U703" i="1"/>
  <c r="U706" i="1"/>
  <c r="U707" i="1"/>
  <c r="U710" i="1"/>
  <c r="U713" i="1"/>
  <c r="U716" i="1"/>
  <c r="U717" i="1"/>
  <c r="U721" i="1"/>
  <c r="U720" i="1"/>
  <c r="U723" i="1"/>
  <c r="U724" i="1"/>
  <c r="U726" i="1"/>
  <c r="U727" i="1"/>
  <c r="U728" i="1"/>
  <c r="U731" i="1"/>
  <c r="U732" i="1"/>
  <c r="U733" i="1"/>
  <c r="U734" i="1"/>
  <c r="U735" i="1"/>
  <c r="U742" i="1"/>
  <c r="U745" i="1"/>
  <c r="U746" i="1"/>
  <c r="U747" i="1"/>
  <c r="U748" i="1"/>
  <c r="U749" i="1"/>
  <c r="U757" i="1"/>
  <c r="U758" i="1"/>
  <c r="U761" i="1"/>
  <c r="U764" i="1"/>
  <c r="U765" i="1"/>
  <c r="U766" i="1"/>
  <c r="U769" i="1"/>
  <c r="U771" i="1"/>
  <c r="U774" i="1"/>
  <c r="U777" i="1"/>
  <c r="U778" i="1"/>
  <c r="U787" i="1"/>
  <c r="U788" i="1"/>
  <c r="U791" i="1"/>
  <c r="U792" i="1"/>
  <c r="U795" i="1"/>
  <c r="U796" i="1"/>
  <c r="U797" i="1"/>
  <c r="U800" i="1"/>
  <c r="U804" i="1"/>
  <c r="U805" i="1"/>
  <c r="U808" i="1"/>
  <c r="U811" i="1"/>
  <c r="U813" i="1"/>
  <c r="U816" i="1"/>
  <c r="U817" i="1"/>
  <c r="U820" i="1"/>
  <c r="U823" i="1"/>
  <c r="U826" i="1"/>
  <c r="U829" i="1"/>
  <c r="U830" i="1"/>
  <c r="U831" i="1"/>
  <c r="U832" i="1"/>
  <c r="U835" i="1"/>
  <c r="U836" i="1"/>
  <c r="U837" i="1"/>
  <c r="U840" i="1"/>
  <c r="U841" i="1"/>
  <c r="U844" i="1"/>
  <c r="U845" i="1"/>
  <c r="U846" i="1"/>
  <c r="U849" i="1"/>
  <c r="U850" i="1"/>
  <c r="U851" i="1"/>
  <c r="U852" i="1"/>
  <c r="U855" i="1"/>
  <c r="U858" i="1"/>
  <c r="U859" i="1"/>
  <c r="U860" i="1"/>
  <c r="U861" i="1"/>
  <c r="U862" i="1"/>
  <c r="U863" i="1"/>
  <c r="U864" i="1"/>
  <c r="U865" i="1"/>
  <c r="U866" i="1"/>
  <c r="U871" i="1"/>
  <c r="U874" i="1"/>
  <c r="U877" i="1"/>
  <c r="U878" i="1"/>
  <c r="U879" i="1"/>
  <c r="U880" i="1"/>
  <c r="U885" i="1"/>
  <c r="U888" i="1"/>
  <c r="U889" i="1"/>
  <c r="U898" i="1"/>
  <c r="U901" i="1"/>
  <c r="U902" i="1"/>
  <c r="U903" i="1"/>
  <c r="U906" i="1"/>
  <c r="U781" i="1"/>
  <c r="U782" i="1"/>
  <c r="U783" i="1"/>
  <c r="U784" i="1"/>
  <c r="U914" i="1"/>
  <c r="U917" i="1"/>
  <c r="U918" i="1"/>
  <c r="U919" i="1"/>
  <c r="U923" i="1"/>
  <c r="U927" i="1"/>
  <c r="U930" i="1"/>
  <c r="U937" i="1"/>
  <c r="U938" i="1"/>
  <c r="U939" i="1"/>
  <c r="U940" i="1"/>
  <c r="U941" i="1"/>
  <c r="U945" i="1"/>
  <c r="U948" i="1"/>
  <c r="U951" i="1"/>
  <c r="U953" i="1"/>
  <c r="U954" i="1"/>
  <c r="U955" i="1"/>
  <c r="U959" i="1"/>
  <c r="U961" i="1"/>
  <c r="U962" i="1"/>
  <c r="U965" i="1"/>
  <c r="U966" i="1"/>
  <c r="U967" i="1"/>
  <c r="U970" i="1"/>
  <c r="U973" i="1"/>
  <c r="U976" i="1"/>
  <c r="U979" i="1"/>
  <c r="U980" i="1"/>
  <c r="U981" i="1"/>
  <c r="U985" i="1"/>
  <c r="U988" i="1"/>
  <c r="U989" i="1"/>
  <c r="U990" i="1"/>
  <c r="U993" i="1"/>
  <c r="U994" i="1"/>
  <c r="U995" i="1"/>
  <c r="U996" i="1"/>
  <c r="U997" i="1"/>
  <c r="U998" i="1"/>
  <c r="U1001" i="1"/>
  <c r="U1005" i="1"/>
  <c r="U1009" i="1"/>
  <c r="U1012" i="1"/>
  <c r="U1013" i="1"/>
  <c r="U1014" i="1"/>
  <c r="U1015" i="1"/>
  <c r="U1019" i="1"/>
  <c r="U1020" i="1"/>
  <c r="U1023" i="1"/>
  <c r="U1025" i="1"/>
  <c r="U1029" i="1"/>
  <c r="U1033" i="1"/>
  <c r="U1036" i="1"/>
  <c r="U1039" i="1"/>
  <c r="U1040" i="1"/>
  <c r="U1043" i="1"/>
  <c r="U1046" i="1"/>
  <c r="U1048" i="1"/>
  <c r="U1049" i="1"/>
  <c r="U1052" i="1"/>
  <c r="U1055" i="1"/>
  <c r="U1058" i="1"/>
  <c r="U1061" i="1"/>
  <c r="U1069" i="1"/>
  <c r="U1082" i="1"/>
  <c r="U1086" i="1"/>
  <c r="U1089" i="1"/>
  <c r="U1090" i="1"/>
  <c r="U1094" i="1"/>
  <c r="U1065" i="1"/>
  <c r="U1066" i="1"/>
  <c r="U1113" i="1"/>
  <c r="U1117" i="1"/>
  <c r="U1120" i="1"/>
  <c r="U1121" i="1"/>
  <c r="U1122" i="1"/>
  <c r="U1125" i="1"/>
  <c r="U1126" i="1"/>
  <c r="U1127" i="1"/>
  <c r="U1131" i="1"/>
  <c r="U1130" i="1"/>
  <c r="U1134" i="1"/>
  <c r="U1135" i="1"/>
  <c r="U1136" i="1"/>
  <c r="U1137" i="1"/>
  <c r="U1138" i="1"/>
  <c r="U1139" i="1"/>
  <c r="U1143" i="1"/>
  <c r="U1144" i="1"/>
  <c r="U1146" i="1"/>
  <c r="U1149" i="1"/>
  <c r="U1150" i="1"/>
  <c r="U1151" i="1"/>
  <c r="U1154" i="1"/>
  <c r="U1157" i="1"/>
  <c r="U1158" i="1"/>
  <c r="U1161" i="1"/>
  <c r="U1162" i="1"/>
  <c r="U1165" i="1"/>
  <c r="U1168" i="1"/>
  <c r="U1171" i="1"/>
  <c r="U1174" i="1"/>
  <c r="U1175" i="1"/>
  <c r="U1178" i="1"/>
  <c r="U1181" i="1"/>
  <c r="U1182" i="1"/>
  <c r="U1185" i="1"/>
  <c r="U1186" i="1"/>
  <c r="U1189" i="1"/>
  <c r="U1192" i="1"/>
  <c r="U1195" i="1"/>
  <c r="U1198" i="1"/>
  <c r="U1199" i="1"/>
  <c r="U1200" i="1"/>
  <c r="U1201" i="1"/>
  <c r="U1203" i="1"/>
  <c r="U1206" i="1"/>
  <c r="U1209" i="1"/>
  <c r="U1210" i="1"/>
  <c r="U1211" i="1"/>
  <c r="U1214" i="1"/>
  <c r="U1217" i="1"/>
  <c r="U1218" i="1"/>
  <c r="U1221" i="1"/>
  <c r="U1224" i="1"/>
  <c r="U1225" i="1"/>
  <c r="U1229" i="1"/>
  <c r="U1230" i="1"/>
  <c r="U1233" i="1"/>
  <c r="U1236" i="1"/>
  <c r="U1239" i="1"/>
  <c r="U1240" i="1"/>
  <c r="U1243" i="1"/>
  <c r="U1246" i="1"/>
  <c r="U1249" i="1"/>
  <c r="U1252" i="1"/>
  <c r="U1253" i="1"/>
  <c r="U1257" i="1"/>
  <c r="U1260" i="1"/>
  <c r="U1266" i="1"/>
  <c r="U1269" i="1"/>
  <c r="U1272" i="1"/>
  <c r="U1273" i="1"/>
  <c r="U1276" i="1"/>
  <c r="U1280" i="1"/>
  <c r="U1283" i="1"/>
  <c r="U1284" i="1"/>
  <c r="U1288" i="1"/>
  <c r="U1291" i="1"/>
  <c r="U1292" i="1"/>
  <c r="U1295" i="1"/>
  <c r="U1296" i="1"/>
  <c r="U1297" i="1"/>
  <c r="U1298" i="1"/>
  <c r="U1304" i="1"/>
  <c r="U1305" i="1"/>
  <c r="U1306" i="1"/>
  <c r="U1309" i="1"/>
  <c r="U1310" i="1"/>
  <c r="U1311" i="1"/>
  <c r="U1314" i="1"/>
  <c r="U1317" i="1"/>
  <c r="U1318" i="1"/>
  <c r="U1321" i="1"/>
  <c r="U1322" i="1"/>
  <c r="U1323" i="1"/>
  <c r="U1326" i="1"/>
  <c r="U1331" i="1"/>
  <c r="U1332" i="1"/>
  <c r="U1335" i="1"/>
  <c r="U1341" i="1"/>
  <c r="U1344" i="1"/>
  <c r="U1347" i="1"/>
  <c r="U1353" i="1"/>
  <c r="U1356" i="1"/>
  <c r="U1359" i="1"/>
  <c r="U1363" i="1"/>
  <c r="U1365" i="1"/>
  <c r="U1368" i="1"/>
  <c r="U1369" i="1"/>
  <c r="U1370" i="1"/>
  <c r="U1373" i="1"/>
  <c r="U1375" i="1"/>
  <c r="U1376" i="1"/>
  <c r="U1377" i="1"/>
  <c r="U1378" i="1"/>
  <c r="U1379" i="1"/>
  <c r="U1382" i="1"/>
  <c r="U1387" i="1"/>
  <c r="U1390" i="1"/>
  <c r="U1393" i="1"/>
  <c r="U1396" i="1"/>
  <c r="U1399" i="1"/>
  <c r="U1411" i="1"/>
  <c r="U1426" i="1"/>
  <c r="U1436" i="1"/>
  <c r="U1437" i="1"/>
  <c r="U1438" i="1"/>
  <c r="U1441" i="1"/>
  <c r="U1444" i="1"/>
  <c r="U1445" i="1"/>
  <c r="U1448" i="1"/>
  <c r="U1451" i="1"/>
  <c r="U1456" i="1"/>
  <c r="U1478" i="1"/>
  <c r="U1484" i="1"/>
  <c r="U1487" i="1"/>
  <c r="U1481" i="1"/>
  <c r="U1490" i="1"/>
  <c r="U1497" i="1"/>
  <c r="U1500" i="1"/>
  <c r="U1501" i="1"/>
  <c r="U1504" i="1"/>
  <c r="U1508" i="1"/>
  <c r="U1511" i="1"/>
  <c r="U1512" i="1"/>
  <c r="U1516" i="1"/>
  <c r="U1519" i="1"/>
  <c r="U1522" i="1"/>
  <c r="U1523" i="1"/>
  <c r="U1526" i="1"/>
  <c r="U1527" i="1"/>
  <c r="U1528" i="1"/>
  <c r="U1529" i="1"/>
  <c r="U1532" i="1"/>
  <c r="U1535" i="1"/>
  <c r="U1536" i="1"/>
  <c r="U1537" i="1"/>
  <c r="U1541" i="1"/>
  <c r="U1544" i="1"/>
  <c r="U1546" i="1"/>
  <c r="U1555" i="1"/>
  <c r="U1556" i="1"/>
  <c r="U1559" i="1"/>
  <c r="U1560" i="1"/>
  <c r="U1563" i="1"/>
  <c r="U1564" i="1"/>
  <c r="U1565" i="1"/>
  <c r="U1568" i="1"/>
  <c r="U1574" i="1"/>
  <c r="U1577" i="1"/>
  <c r="U1578" i="1"/>
  <c r="U1584" i="1"/>
  <c r="U1585" i="1"/>
  <c r="U1588" i="1"/>
  <c r="U1597" i="1"/>
  <c r="U1600" i="1"/>
  <c r="U1601" i="1"/>
  <c r="U1602" i="1"/>
  <c r="U1603" i="1"/>
  <c r="U1608" i="1"/>
  <c r="U1609" i="1"/>
  <c r="U1610" i="1"/>
  <c r="U1621" i="1"/>
  <c r="U1622" i="1"/>
  <c r="U1625" i="1"/>
  <c r="U1635" i="1"/>
  <c r="U1634" i="1"/>
  <c r="U1636" i="1"/>
  <c r="U1639" i="1"/>
  <c r="U1640" i="1"/>
  <c r="U1643" i="1"/>
  <c r="U1646" i="1"/>
  <c r="U1650" i="1"/>
  <c r="U1653" i="1"/>
  <c r="U1657" i="1"/>
  <c r="U1658" i="1"/>
  <c r="U1659" i="1"/>
  <c r="U1669" i="1"/>
  <c r="U1672" i="1"/>
  <c r="U1673" i="1"/>
  <c r="U1676" i="1"/>
  <c r="U1677" i="1"/>
  <c r="U1680" i="1"/>
  <c r="U1681" i="1"/>
  <c r="U1684" i="1"/>
  <c r="U1685" i="1"/>
  <c r="U1688" i="1"/>
  <c r="U1689" i="1"/>
  <c r="U1690" i="1"/>
  <c r="U1694" i="1"/>
  <c r="U1697" i="1"/>
  <c r="U1700" i="1"/>
  <c r="U1703" i="1"/>
  <c r="U1704" i="1"/>
  <c r="U1707" i="1"/>
  <c r="U1708" i="1"/>
  <c r="U1711" i="1"/>
  <c r="U1714" i="1"/>
  <c r="U1715" i="1"/>
  <c r="U1718" i="1"/>
  <c r="U1721" i="1"/>
  <c r="U1724" i="1"/>
  <c r="U1742" i="1"/>
  <c r="U1745" i="1"/>
  <c r="U1751" i="1"/>
  <c r="U1763" i="1"/>
  <c r="U1766" i="1"/>
  <c r="U1769" i="1"/>
  <c r="U1772" i="1"/>
  <c r="T1755" i="1"/>
  <c r="T13" i="1"/>
  <c r="T272" i="1"/>
  <c r="T12" i="1"/>
  <c r="T17" i="1"/>
  <c r="T23" i="1"/>
  <c r="T26" i="1"/>
  <c r="T27" i="1"/>
  <c r="T31" i="1"/>
  <c r="T32" i="1"/>
  <c r="T33" i="1"/>
  <c r="T35" i="1"/>
  <c r="T36" i="1"/>
  <c r="T37" i="1"/>
  <c r="T38" i="1"/>
  <c r="T41" i="1"/>
  <c r="T42" i="1"/>
  <c r="T49" i="1"/>
  <c r="T56" i="1"/>
  <c r="T57" i="1"/>
  <c r="T67" i="1"/>
  <c r="T70" i="1"/>
  <c r="T73" i="1"/>
  <c r="T74" i="1"/>
  <c r="T75" i="1"/>
  <c r="T76" i="1"/>
  <c r="T78" i="1"/>
  <c r="T81" i="1"/>
  <c r="T84" i="1"/>
  <c r="T85" i="1"/>
  <c r="T90" i="1"/>
  <c r="T93" i="1"/>
  <c r="T96" i="1"/>
  <c r="T98" i="1"/>
  <c r="T102" i="1"/>
  <c r="T103" i="1"/>
  <c r="T106" i="1"/>
  <c r="T110" i="1"/>
  <c r="T115" i="1"/>
  <c r="T116" i="1"/>
  <c r="T117" i="1"/>
  <c r="T118" i="1"/>
  <c r="T124" i="1"/>
  <c r="T127" i="1"/>
  <c r="T128" i="1"/>
  <c r="T129" i="1"/>
  <c r="T132" i="1"/>
  <c r="T133" i="1"/>
  <c r="T134" i="1"/>
  <c r="T135" i="1"/>
  <c r="T139" i="1"/>
  <c r="T140" i="1"/>
  <c r="T141" i="1"/>
  <c r="T142" i="1"/>
  <c r="T148" i="1"/>
  <c r="T151" i="1"/>
  <c r="T152" i="1"/>
  <c r="T153" i="1"/>
  <c r="T154" i="1"/>
  <c r="T155" i="1"/>
  <c r="T156" i="1"/>
  <c r="T157" i="1"/>
  <c r="T158" i="1"/>
  <c r="T161" i="1"/>
  <c r="T162" i="1"/>
  <c r="T168" i="1"/>
  <c r="T171" i="1"/>
  <c r="T172" i="1"/>
  <c r="T175" i="1"/>
  <c r="T176" i="1"/>
  <c r="T177" i="1"/>
  <c r="T178" i="1"/>
  <c r="T181" i="1"/>
  <c r="T182" i="1"/>
  <c r="T183" i="1"/>
  <c r="T186" i="1"/>
  <c r="T189" i="1"/>
  <c r="T193" i="1"/>
  <c r="T194" i="1"/>
  <c r="T196" i="1"/>
  <c r="T202" i="1"/>
  <c r="T198" i="1"/>
  <c r="T199" i="1"/>
  <c r="T201" i="1"/>
  <c r="T205" i="1"/>
  <c r="T206" i="1"/>
  <c r="T207" i="1"/>
  <c r="T210" i="1"/>
  <c r="T211" i="1"/>
  <c r="T212" i="1"/>
  <c r="T219" i="1"/>
  <c r="T222" i="1"/>
  <c r="T224" i="1"/>
  <c r="T226" i="1"/>
  <c r="T227" i="1"/>
  <c r="T229" i="1"/>
  <c r="T230" i="1"/>
  <c r="T231" i="1"/>
  <c r="T232" i="1"/>
  <c r="T233" i="1"/>
  <c r="T234" i="1"/>
  <c r="T235" i="1"/>
  <c r="T239" i="1"/>
  <c r="T240" i="1"/>
  <c r="T241" i="1"/>
  <c r="T248" i="1"/>
  <c r="T249" i="1"/>
  <c r="T250" i="1"/>
  <c r="T252" i="1"/>
  <c r="T253" i="1"/>
  <c r="T254" i="1"/>
  <c r="T257" i="1"/>
  <c r="T258" i="1"/>
  <c r="T259" i="1"/>
  <c r="T263" i="1"/>
  <c r="T267" i="1"/>
  <c r="T268" i="1"/>
  <c r="T277" i="1"/>
  <c r="T278" i="1"/>
  <c r="T281" i="1"/>
  <c r="T282" i="1"/>
  <c r="T283" i="1"/>
  <c r="T284" i="1"/>
  <c r="T287" i="1"/>
  <c r="T288" i="1"/>
  <c r="T292" i="1"/>
  <c r="T297" i="1"/>
  <c r="T298" i="1"/>
  <c r="T299" i="1"/>
  <c r="T301" i="1"/>
  <c r="T304" i="1"/>
  <c r="T305" i="1"/>
  <c r="T308" i="1"/>
  <c r="T318" i="1"/>
  <c r="T316" i="1"/>
  <c r="T329" i="1"/>
  <c r="T330" i="1"/>
  <c r="T331" i="1"/>
  <c r="T334" i="1"/>
  <c r="T335" i="1"/>
  <c r="T336" i="1"/>
  <c r="T339" i="1"/>
  <c r="T340" i="1"/>
  <c r="T343" i="1"/>
  <c r="T344" i="1"/>
  <c r="T347" i="1"/>
  <c r="T348" i="1"/>
  <c r="T351" i="1"/>
  <c r="T352" i="1"/>
  <c r="T355" i="1"/>
  <c r="T357" i="1"/>
  <c r="T360" i="1"/>
  <c r="T363" i="1"/>
  <c r="T364" i="1"/>
  <c r="T367" i="1"/>
  <c r="T370" i="1"/>
  <c r="T371" i="1"/>
  <c r="T372" i="1"/>
  <c r="T375" i="1"/>
  <c r="T378" i="1"/>
  <c r="T381" i="1"/>
  <c r="T379" i="1"/>
  <c r="T384" i="1"/>
  <c r="T385" i="1"/>
  <c r="T386" i="1"/>
  <c r="T389" i="1"/>
  <c r="T390" i="1"/>
  <c r="T394" i="1"/>
  <c r="T396" i="1"/>
  <c r="T397" i="1"/>
  <c r="T399" i="1"/>
  <c r="T408" i="1"/>
  <c r="T409" i="1"/>
  <c r="T412" i="1"/>
  <c r="T418" i="1"/>
  <c r="T421" i="1"/>
  <c r="T422" i="1"/>
  <c r="T426" i="1"/>
  <c r="T429" i="1"/>
  <c r="T430" i="1"/>
  <c r="T432" i="1"/>
  <c r="T435" i="1"/>
  <c r="T437" i="1"/>
  <c r="T440" i="1"/>
  <c r="T441" i="1"/>
  <c r="T442" i="1"/>
  <c r="T443" i="1"/>
  <c r="T449" i="1"/>
  <c r="T452" i="1"/>
  <c r="T453" i="1"/>
  <c r="T454" i="1"/>
  <c r="T457" i="1"/>
  <c r="T464" i="1"/>
  <c r="T467" i="1"/>
  <c r="T469" i="1"/>
  <c r="T475" i="1"/>
  <c r="T476" i="1"/>
  <c r="T477" i="1"/>
  <c r="T480" i="1"/>
  <c r="T481" i="1"/>
  <c r="T489" i="1"/>
  <c r="T493" i="1"/>
  <c r="T494" i="1"/>
  <c r="T495" i="1"/>
  <c r="T496" i="1"/>
  <c r="T497" i="1"/>
  <c r="T509" i="1"/>
  <c r="T515" i="1"/>
  <c r="T516" i="1"/>
  <c r="T517" i="1"/>
  <c r="T520" i="1"/>
  <c r="T522" i="1"/>
  <c r="T525" i="1"/>
  <c r="T529" i="1"/>
  <c r="T537" i="1"/>
  <c r="T546" i="1"/>
  <c r="T547" i="1"/>
  <c r="T551" i="1"/>
  <c r="T556" i="1"/>
  <c r="T559" i="1"/>
  <c r="T566" i="1"/>
  <c r="T569" i="1"/>
  <c r="T570" i="1"/>
  <c r="T571" i="1"/>
  <c r="T574" i="1"/>
  <c r="T577" i="1"/>
  <c r="T583" i="1"/>
  <c r="T586" i="1"/>
  <c r="T589" i="1"/>
  <c r="T592" i="1"/>
  <c r="T593" i="1"/>
  <c r="T594" i="1"/>
  <c r="T601" i="1"/>
  <c r="T604" i="1"/>
  <c r="T607" i="1"/>
  <c r="T613" i="1"/>
  <c r="T614" i="1"/>
  <c r="T617" i="1"/>
  <c r="T618" i="1"/>
  <c r="T621" i="1"/>
  <c r="T622" i="1"/>
  <c r="T623" i="1"/>
  <c r="T624" i="1"/>
  <c r="T625" i="1"/>
  <c r="T627" i="1"/>
  <c r="T631" i="1"/>
  <c r="T634" i="1"/>
  <c r="T637" i="1"/>
  <c r="T640" i="1"/>
  <c r="T641" i="1"/>
  <c r="T642" i="1"/>
  <c r="T645" i="1"/>
  <c r="T646" i="1"/>
  <c r="T649" i="1"/>
  <c r="T652" i="1"/>
  <c r="T658" i="1"/>
  <c r="T659" i="1"/>
  <c r="T663" i="1"/>
  <c r="T670" i="1"/>
  <c r="T673" i="1"/>
  <c r="T674" i="1"/>
  <c r="T675" i="1"/>
  <c r="T676" i="1"/>
  <c r="T677" i="1"/>
  <c r="T680" i="1"/>
  <c r="T683" i="1"/>
  <c r="T689" i="1"/>
  <c r="T692" i="1"/>
  <c r="T700" i="1"/>
  <c r="T701" i="1"/>
  <c r="T702" i="1"/>
  <c r="T703" i="1"/>
  <c r="T706" i="1"/>
  <c r="T707" i="1"/>
  <c r="T710" i="1"/>
  <c r="T713" i="1"/>
  <c r="T716" i="1"/>
  <c r="T717" i="1"/>
  <c r="T721" i="1"/>
  <c r="T720" i="1"/>
  <c r="T723" i="1"/>
  <c r="T724" i="1"/>
  <c r="T726" i="1"/>
  <c r="T727" i="1"/>
  <c r="T728" i="1"/>
  <c r="T731" i="1"/>
  <c r="T732" i="1"/>
  <c r="T733" i="1"/>
  <c r="T734" i="1"/>
  <c r="T735" i="1"/>
  <c r="T742" i="1"/>
  <c r="T745" i="1"/>
  <c r="T746" i="1"/>
  <c r="T747" i="1"/>
  <c r="T748" i="1"/>
  <c r="T749" i="1"/>
  <c r="T757" i="1"/>
  <c r="T758" i="1"/>
  <c r="T761" i="1"/>
  <c r="T764" i="1"/>
  <c r="T765" i="1"/>
  <c r="T766" i="1"/>
  <c r="T769" i="1"/>
  <c r="T771" i="1"/>
  <c r="T774" i="1"/>
  <c r="T777" i="1"/>
  <c r="T778" i="1"/>
  <c r="T787" i="1"/>
  <c r="T788" i="1"/>
  <c r="T791" i="1"/>
  <c r="T792" i="1"/>
  <c r="T795" i="1"/>
  <c r="T796" i="1"/>
  <c r="T797" i="1"/>
  <c r="T800" i="1"/>
  <c r="T804" i="1"/>
  <c r="T805" i="1"/>
  <c r="T808" i="1"/>
  <c r="T811" i="1"/>
  <c r="T813" i="1"/>
  <c r="T816" i="1"/>
  <c r="T817" i="1"/>
  <c r="T820" i="1"/>
  <c r="T823" i="1"/>
  <c r="T826" i="1"/>
  <c r="T829" i="1"/>
  <c r="T830" i="1"/>
  <c r="T831" i="1"/>
  <c r="T832" i="1"/>
  <c r="T835" i="1"/>
  <c r="T836" i="1"/>
  <c r="T837" i="1"/>
  <c r="T840" i="1"/>
  <c r="T841" i="1"/>
  <c r="T844" i="1"/>
  <c r="T845" i="1"/>
  <c r="T846" i="1"/>
  <c r="T849" i="1"/>
  <c r="T850" i="1"/>
  <c r="T851" i="1"/>
  <c r="T852" i="1"/>
  <c r="T855" i="1"/>
  <c r="T858" i="1"/>
  <c r="T859" i="1"/>
  <c r="T860" i="1"/>
  <c r="T861" i="1"/>
  <c r="T862" i="1"/>
  <c r="T863" i="1"/>
  <c r="T864" i="1"/>
  <c r="T865" i="1"/>
  <c r="T866" i="1"/>
  <c r="T871" i="1"/>
  <c r="T874" i="1"/>
  <c r="T877" i="1"/>
  <c r="T878" i="1"/>
  <c r="T879" i="1"/>
  <c r="T880" i="1"/>
  <c r="T885" i="1"/>
  <c r="T888" i="1"/>
  <c r="T889" i="1"/>
  <c r="T898" i="1"/>
  <c r="T901" i="1"/>
  <c r="T902" i="1"/>
  <c r="T903" i="1"/>
  <c r="T906" i="1"/>
  <c r="T781" i="1"/>
  <c r="T782" i="1"/>
  <c r="T783" i="1"/>
  <c r="T784" i="1"/>
  <c r="T914" i="1"/>
  <c r="T917" i="1"/>
  <c r="T918" i="1"/>
  <c r="T919" i="1"/>
  <c r="T923" i="1"/>
  <c r="T927" i="1"/>
  <c r="T930" i="1"/>
  <c r="T937" i="1"/>
  <c r="T938" i="1"/>
  <c r="T939" i="1"/>
  <c r="T940" i="1"/>
  <c r="T941" i="1"/>
  <c r="T945" i="1"/>
  <c r="T948" i="1"/>
  <c r="T951" i="1"/>
  <c r="T953" i="1"/>
  <c r="T954" i="1"/>
  <c r="T955" i="1"/>
  <c r="T959" i="1"/>
  <c r="T961" i="1"/>
  <c r="T962" i="1"/>
  <c r="T965" i="1"/>
  <c r="T966" i="1"/>
  <c r="T967" i="1"/>
  <c r="T970" i="1"/>
  <c r="T973" i="1"/>
  <c r="T976" i="1"/>
  <c r="T979" i="1"/>
  <c r="T980" i="1"/>
  <c r="T981" i="1"/>
  <c r="T985" i="1"/>
  <c r="T988" i="1"/>
  <c r="T989" i="1"/>
  <c r="T990" i="1"/>
  <c r="T993" i="1"/>
  <c r="T994" i="1"/>
  <c r="T995" i="1"/>
  <c r="T996" i="1"/>
  <c r="T997" i="1"/>
  <c r="T998" i="1"/>
  <c r="T1001" i="1"/>
  <c r="T1005" i="1"/>
  <c r="T1009" i="1"/>
  <c r="T1012" i="1"/>
  <c r="T1013" i="1"/>
  <c r="T1014" i="1"/>
  <c r="T1015" i="1"/>
  <c r="T1019" i="1"/>
  <c r="T1020" i="1"/>
  <c r="T1023" i="1"/>
  <c r="T1025" i="1"/>
  <c r="T1029" i="1"/>
  <c r="T1033" i="1"/>
  <c r="T1036" i="1"/>
  <c r="T1039" i="1"/>
  <c r="T1040" i="1"/>
  <c r="T1043" i="1"/>
  <c r="T1046" i="1"/>
  <c r="T1048" i="1"/>
  <c r="T1049" i="1"/>
  <c r="T1052" i="1"/>
  <c r="T1055" i="1"/>
  <c r="T1058" i="1"/>
  <c r="T1061" i="1"/>
  <c r="T1069" i="1"/>
  <c r="T1082" i="1"/>
  <c r="T1086" i="1"/>
  <c r="T1089" i="1"/>
  <c r="T1090" i="1"/>
  <c r="T1094" i="1"/>
  <c r="T1065" i="1"/>
  <c r="T1066" i="1"/>
  <c r="T1113" i="1"/>
  <c r="T1117" i="1"/>
  <c r="T1120" i="1"/>
  <c r="T1121" i="1"/>
  <c r="T1122" i="1"/>
  <c r="T1125" i="1"/>
  <c r="T1126" i="1"/>
  <c r="T1127" i="1"/>
  <c r="T1131" i="1"/>
  <c r="T1130" i="1"/>
  <c r="T1134" i="1"/>
  <c r="T1135" i="1"/>
  <c r="T1136" i="1"/>
  <c r="T1137" i="1"/>
  <c r="T1138" i="1"/>
  <c r="T1139" i="1"/>
  <c r="T1143" i="1"/>
  <c r="T1144" i="1"/>
  <c r="T1146" i="1"/>
  <c r="T1149" i="1"/>
  <c r="T1150" i="1"/>
  <c r="T1151" i="1"/>
  <c r="T1154" i="1"/>
  <c r="T1157" i="1"/>
  <c r="T1158" i="1"/>
  <c r="T1161" i="1"/>
  <c r="T1162" i="1"/>
  <c r="T1165" i="1"/>
  <c r="T1168" i="1"/>
  <c r="T1171" i="1"/>
  <c r="T1174" i="1"/>
  <c r="T1175" i="1"/>
  <c r="T1178" i="1"/>
  <c r="T1181" i="1"/>
  <c r="T1182" i="1"/>
  <c r="T1185" i="1"/>
  <c r="T1186" i="1"/>
  <c r="T1189" i="1"/>
  <c r="T1192" i="1"/>
  <c r="T1195" i="1"/>
  <c r="T1198" i="1"/>
  <c r="T1199" i="1"/>
  <c r="T1200" i="1"/>
  <c r="T1201" i="1"/>
  <c r="T1203" i="1"/>
  <c r="T1206" i="1"/>
  <c r="T1209" i="1"/>
  <c r="T1210" i="1"/>
  <c r="T1211" i="1"/>
  <c r="T1214" i="1"/>
  <c r="T1217" i="1"/>
  <c r="T1218" i="1"/>
  <c r="T1221" i="1"/>
  <c r="T1224" i="1"/>
  <c r="T1225" i="1"/>
  <c r="T1229" i="1"/>
  <c r="T1230" i="1"/>
  <c r="T1233" i="1"/>
  <c r="T1236" i="1"/>
  <c r="T1239" i="1"/>
  <c r="T1240" i="1"/>
  <c r="T1243" i="1"/>
  <c r="T1246" i="1"/>
  <c r="T1249" i="1"/>
  <c r="T1252" i="1"/>
  <c r="T1253" i="1"/>
  <c r="T1257" i="1"/>
  <c r="T1260" i="1"/>
  <c r="T1266" i="1"/>
  <c r="T1269" i="1"/>
  <c r="T1272" i="1"/>
  <c r="T1273" i="1"/>
  <c r="T1276" i="1"/>
  <c r="T1280" i="1"/>
  <c r="T1283" i="1"/>
  <c r="T1284" i="1"/>
  <c r="T1288" i="1"/>
  <c r="T1291" i="1"/>
  <c r="T1292" i="1"/>
  <c r="T1295" i="1"/>
  <c r="T1296" i="1"/>
  <c r="T1297" i="1"/>
  <c r="T1298" i="1"/>
  <c r="T1304" i="1"/>
  <c r="T1305" i="1"/>
  <c r="T1306" i="1"/>
  <c r="T1309" i="1"/>
  <c r="T1310" i="1"/>
  <c r="T1311" i="1"/>
  <c r="T1314" i="1"/>
  <c r="T1317" i="1"/>
  <c r="T1318" i="1"/>
  <c r="T1321" i="1"/>
  <c r="T1322" i="1"/>
  <c r="T1323" i="1"/>
  <c r="T1326" i="1"/>
  <c r="T1331" i="1"/>
  <c r="T1332" i="1"/>
  <c r="T1335" i="1"/>
  <c r="T1341" i="1"/>
  <c r="T1344" i="1"/>
  <c r="T1347" i="1"/>
  <c r="T1353" i="1"/>
  <c r="T1356" i="1"/>
  <c r="T1359" i="1"/>
  <c r="T1363" i="1"/>
  <c r="T1365" i="1"/>
  <c r="T1368" i="1"/>
  <c r="T1369" i="1"/>
  <c r="T1370" i="1"/>
  <c r="T1373" i="1"/>
  <c r="T1375" i="1"/>
  <c r="T1376" i="1"/>
  <c r="T1377" i="1"/>
  <c r="T1378" i="1"/>
  <c r="T1379" i="1"/>
  <c r="T1382" i="1"/>
  <c r="T1387" i="1"/>
  <c r="T1390" i="1"/>
  <c r="T1393" i="1"/>
  <c r="T1396" i="1"/>
  <c r="T1399" i="1"/>
  <c r="T1411" i="1"/>
  <c r="T1426" i="1"/>
  <c r="T1436" i="1"/>
  <c r="T1437" i="1"/>
  <c r="T1438" i="1"/>
  <c r="T1441" i="1"/>
  <c r="T1444" i="1"/>
  <c r="T1445" i="1"/>
  <c r="T1448" i="1"/>
  <c r="T1451" i="1"/>
  <c r="T1456" i="1"/>
  <c r="T1478" i="1"/>
  <c r="T1484" i="1"/>
  <c r="T1487" i="1"/>
  <c r="T1481" i="1"/>
  <c r="T1490" i="1"/>
  <c r="T1497" i="1"/>
  <c r="T1500" i="1"/>
  <c r="T1501" i="1"/>
  <c r="T1504" i="1"/>
  <c r="T1508" i="1"/>
  <c r="T1511" i="1"/>
  <c r="T1512" i="1"/>
  <c r="T1516" i="1"/>
  <c r="T1519" i="1"/>
  <c r="T1522" i="1"/>
  <c r="T1523" i="1"/>
  <c r="T1526" i="1"/>
  <c r="T1527" i="1"/>
  <c r="T1528" i="1"/>
  <c r="T1529" i="1"/>
  <c r="T1532" i="1"/>
  <c r="T1535" i="1"/>
  <c r="T1536" i="1"/>
  <c r="T1537" i="1"/>
  <c r="T1541" i="1"/>
  <c r="T1544" i="1"/>
  <c r="T1546" i="1"/>
  <c r="T1555" i="1"/>
  <c r="T1556" i="1"/>
  <c r="T1559" i="1"/>
  <c r="T1560" i="1"/>
  <c r="T1563" i="1"/>
  <c r="T1564" i="1"/>
  <c r="T1565" i="1"/>
  <c r="T1568" i="1"/>
  <c r="T1574" i="1"/>
  <c r="T1577" i="1"/>
  <c r="T1578" i="1"/>
  <c r="T1584" i="1"/>
  <c r="T1585" i="1"/>
  <c r="T1588" i="1"/>
  <c r="T1597" i="1"/>
  <c r="T1600" i="1"/>
  <c r="T1601" i="1"/>
  <c r="T1602" i="1"/>
  <c r="T1603" i="1"/>
  <c r="T1608" i="1"/>
  <c r="T1609" i="1"/>
  <c r="T1610" i="1"/>
  <c r="T1621" i="1"/>
  <c r="T1622" i="1"/>
  <c r="T1625" i="1"/>
  <c r="T1635" i="1"/>
  <c r="T1634" i="1"/>
  <c r="T1636" i="1"/>
  <c r="T1639" i="1"/>
  <c r="T1640" i="1"/>
  <c r="T1643" i="1"/>
  <c r="T1646" i="1"/>
  <c r="T1650" i="1"/>
  <c r="T1653" i="1"/>
  <c r="T1657" i="1"/>
  <c r="T1658" i="1"/>
  <c r="T1659" i="1"/>
  <c r="T1669" i="1"/>
  <c r="T1672" i="1"/>
  <c r="T1673" i="1"/>
  <c r="T1676" i="1"/>
  <c r="T1677" i="1"/>
  <c r="T1680" i="1"/>
  <c r="T1681" i="1"/>
  <c r="T1684" i="1"/>
  <c r="T1685" i="1"/>
  <c r="T1688" i="1"/>
  <c r="T1689" i="1"/>
  <c r="T1690" i="1"/>
  <c r="T1694" i="1"/>
  <c r="T1697" i="1"/>
  <c r="T1700" i="1"/>
  <c r="T1703" i="1"/>
  <c r="T1704" i="1"/>
  <c r="T1707" i="1"/>
  <c r="T1708" i="1"/>
  <c r="T1711" i="1"/>
  <c r="T1714" i="1"/>
  <c r="T1715" i="1"/>
  <c r="T1718" i="1"/>
  <c r="T1721" i="1"/>
  <c r="T1724" i="1"/>
  <c r="T1742" i="1"/>
  <c r="T1745" i="1"/>
  <c r="T1751" i="1"/>
  <c r="T1763" i="1"/>
  <c r="T1766" i="1"/>
  <c r="T1769" i="1"/>
  <c r="T1772" i="1"/>
  <c r="AJ1090" i="1"/>
  <c r="AI1090" i="1"/>
  <c r="AE1090" i="1"/>
  <c r="AB1090" i="1"/>
  <c r="Z1090" i="1"/>
  <c r="V1090" i="1"/>
  <c r="S1090" i="1"/>
  <c r="AJ1091" i="1"/>
  <c r="AI1091" i="1"/>
  <c r="AE1091" i="1"/>
  <c r="AB1091" i="1"/>
  <c r="Z1091" i="1"/>
  <c r="V1091" i="1"/>
  <c r="AJ1089" i="1"/>
  <c r="AI1089" i="1"/>
  <c r="AE1089" i="1"/>
  <c r="AB1089" i="1"/>
  <c r="Z1089" i="1"/>
  <c r="V1089" i="1"/>
  <c r="S1089" i="1"/>
  <c r="AJ1088" i="1"/>
  <c r="AI1088" i="1"/>
  <c r="AE1088" i="1"/>
  <c r="AB1088" i="1"/>
  <c r="Z1088" i="1"/>
  <c r="V1088" i="1"/>
  <c r="H1733" i="1"/>
  <c r="H1739" i="1"/>
  <c r="I1733" i="1"/>
  <c r="W1733" i="1" s="1"/>
  <c r="I1739" i="1"/>
  <c r="W1739" i="1" s="1"/>
  <c r="S233" i="1"/>
  <c r="V233" i="1"/>
  <c r="Z233" i="1"/>
  <c r="AB233" i="1"/>
  <c r="AE233" i="1"/>
  <c r="AI233" i="1"/>
  <c r="AJ233" i="1"/>
  <c r="V508" i="1"/>
  <c r="Z508" i="1"/>
  <c r="AB508" i="1"/>
  <c r="AJ902" i="1"/>
  <c r="AI902" i="1"/>
  <c r="AE902" i="1"/>
  <c r="AB902" i="1"/>
  <c r="Z902" i="1"/>
  <c r="V902" i="1"/>
  <c r="S902" i="1"/>
  <c r="AJ901" i="1"/>
  <c r="AI901" i="1"/>
  <c r="AE901" i="1"/>
  <c r="AB901" i="1"/>
  <c r="Z901" i="1"/>
  <c r="V901" i="1"/>
  <c r="S901" i="1"/>
  <c r="AJ701" i="1"/>
  <c r="AI701" i="1"/>
  <c r="AE701" i="1"/>
  <c r="AB701" i="1"/>
  <c r="Z701" i="1"/>
  <c r="V701" i="1"/>
  <c r="S701" i="1"/>
  <c r="AJ250" i="1"/>
  <c r="AI250" i="1"/>
  <c r="AE250" i="1"/>
  <c r="AB250" i="1"/>
  <c r="Z250" i="1"/>
  <c r="V250" i="1"/>
  <c r="S250" i="1"/>
  <c r="AJ249" i="1"/>
  <c r="AI249" i="1"/>
  <c r="AE249" i="1"/>
  <c r="AB249" i="1"/>
  <c r="Z249" i="1"/>
  <c r="V249" i="1"/>
  <c r="S249" i="1"/>
  <c r="AJ898" i="1"/>
  <c r="AI898" i="1"/>
  <c r="AE898" i="1"/>
  <c r="AB898" i="1"/>
  <c r="Z898" i="1"/>
  <c r="V898" i="1"/>
  <c r="S898" i="1"/>
  <c r="AJ1162" i="1"/>
  <c r="AI1162" i="1"/>
  <c r="AE1162" i="1"/>
  <c r="AB1162" i="1"/>
  <c r="Z1162" i="1"/>
  <c r="V1162" i="1"/>
  <c r="S1162" i="1"/>
  <c r="AJ1161" i="1"/>
  <c r="AI1161" i="1"/>
  <c r="AE1161" i="1"/>
  <c r="AB1161" i="1"/>
  <c r="Z1161" i="1"/>
  <c r="V1161" i="1"/>
  <c r="S1161" i="1"/>
  <c r="X580" i="1"/>
  <c r="X1733" i="1"/>
  <c r="X1739" i="1"/>
  <c r="H580" i="1"/>
  <c r="I580" i="1"/>
  <c r="W580" i="1" s="1"/>
  <c r="AJ837" i="1"/>
  <c r="AI837" i="1"/>
  <c r="AE837" i="1"/>
  <c r="AB837" i="1"/>
  <c r="Z837" i="1"/>
  <c r="V837" i="1"/>
  <c r="S837" i="1"/>
  <c r="J7" i="1"/>
  <c r="AJ618" i="1"/>
  <c r="AI618" i="1"/>
  <c r="AE618" i="1"/>
  <c r="AB618" i="1"/>
  <c r="Z618" i="1"/>
  <c r="V618" i="1"/>
  <c r="S618" i="1"/>
  <c r="AJ11" i="1"/>
  <c r="Z1783" i="1"/>
  <c r="AE1788" i="1"/>
  <c r="AJ157" i="1"/>
  <c r="AI157" i="1"/>
  <c r="AE157" i="1"/>
  <c r="AB157" i="1"/>
  <c r="Z157" i="1"/>
  <c r="V157" i="1"/>
  <c r="S157" i="1"/>
  <c r="AJ1600" i="1"/>
  <c r="AI1600" i="1"/>
  <c r="AE1600" i="1"/>
  <c r="AB1600" i="1"/>
  <c r="Z1600" i="1"/>
  <c r="V1600" i="1"/>
  <c r="S1600" i="1"/>
  <c r="AJ840" i="1"/>
  <c r="AI840" i="1"/>
  <c r="AE840" i="1"/>
  <c r="AB840" i="1"/>
  <c r="Z840" i="1"/>
  <c r="V840" i="1"/>
  <c r="S840" i="1"/>
  <c r="H1549" i="1"/>
  <c r="I1549" i="1"/>
  <c r="W1549" i="1" s="1"/>
  <c r="AJ594" i="1"/>
  <c r="AI594" i="1"/>
  <c r="AE594" i="1"/>
  <c r="AB594" i="1"/>
  <c r="Z594" i="1"/>
  <c r="V594" i="1"/>
  <c r="S594" i="1"/>
  <c r="AJ593" i="1"/>
  <c r="AI593" i="1"/>
  <c r="AE593" i="1"/>
  <c r="AB593" i="1"/>
  <c r="Z593" i="1"/>
  <c r="V593" i="1"/>
  <c r="S593" i="1"/>
  <c r="S1535" i="1"/>
  <c r="AJ1138" i="1"/>
  <c r="AI1138" i="1"/>
  <c r="AE1138" i="1"/>
  <c r="AB1138" i="1"/>
  <c r="Z1138" i="1"/>
  <c r="V1138" i="1"/>
  <c r="S1138" i="1"/>
  <c r="AC8" i="1"/>
  <c r="AJ1201" i="1"/>
  <c r="AI1201" i="1"/>
  <c r="AE1201" i="1"/>
  <c r="AB1201" i="1"/>
  <c r="Z1201" i="1"/>
  <c r="V1201" i="1"/>
  <c r="S1201" i="1"/>
  <c r="AJ792" i="1"/>
  <c r="AI792" i="1"/>
  <c r="AE792" i="1"/>
  <c r="AB792" i="1"/>
  <c r="Z792" i="1"/>
  <c r="V792" i="1"/>
  <c r="S792" i="1"/>
  <c r="AJ791" i="1"/>
  <c r="AI791" i="1"/>
  <c r="AE791" i="1"/>
  <c r="AB791" i="1"/>
  <c r="Z791" i="1"/>
  <c r="V791" i="1"/>
  <c r="S791" i="1"/>
  <c r="S207" i="1"/>
  <c r="V207" i="1"/>
  <c r="Z207" i="1"/>
  <c r="AB207" i="1"/>
  <c r="AE207" i="1"/>
  <c r="AI207" i="1"/>
  <c r="AJ207" i="1"/>
  <c r="AJ1412" i="1"/>
  <c r="AI1412" i="1"/>
  <c r="AE1412" i="1"/>
  <c r="AB1412" i="1"/>
  <c r="Z1412" i="1"/>
  <c r="AE1411" i="1"/>
  <c r="Z1411" i="1"/>
  <c r="V1411" i="1"/>
  <c r="S1411" i="1"/>
  <c r="AJ1410" i="1"/>
  <c r="AI1410" i="1"/>
  <c r="AE1410" i="1"/>
  <c r="AB1410" i="1"/>
  <c r="Z1410" i="1"/>
  <c r="V1410" i="1"/>
  <c r="Z1503" i="1"/>
  <c r="V1503" i="1"/>
  <c r="Z1750" i="1"/>
  <c r="V1750" i="1"/>
  <c r="AJ1752" i="1"/>
  <c r="AE1752" i="1"/>
  <c r="AB1752" i="1"/>
  <c r="Z1752" i="1"/>
  <c r="AE1751" i="1"/>
  <c r="V1751" i="1"/>
  <c r="S1751" i="1"/>
  <c r="AJ1750" i="1"/>
  <c r="AE1750" i="1"/>
  <c r="AB1750" i="1"/>
  <c r="Z1450" i="1"/>
  <c r="V1450" i="1"/>
  <c r="Z1492" i="1"/>
  <c r="V1492" i="1"/>
  <c r="Z1671" i="1"/>
  <c r="V1671" i="1"/>
  <c r="V1539" i="1"/>
  <c r="Z1539" i="1"/>
  <c r="AE1764" i="1"/>
  <c r="AB1764" i="1"/>
  <c r="Z1764" i="1"/>
  <c r="AE1763" i="1"/>
  <c r="AB1763" i="1"/>
  <c r="Z1763" i="1"/>
  <c r="AE1762" i="1"/>
  <c r="AB1762" i="1"/>
  <c r="Z1762" i="1"/>
  <c r="AE1761" i="1"/>
  <c r="AB1761" i="1"/>
  <c r="Z1761" i="1"/>
  <c r="S570" i="1"/>
  <c r="V570" i="1"/>
  <c r="Z570" i="1"/>
  <c r="AB570" i="1"/>
  <c r="AE570" i="1"/>
  <c r="AI570" i="1"/>
  <c r="AJ570" i="1"/>
  <c r="AJ81" i="1"/>
  <c r="AI81" i="1"/>
  <c r="AE81" i="1"/>
  <c r="AB81" i="1"/>
  <c r="Z81" i="1"/>
  <c r="V81" i="1"/>
  <c r="S81" i="1"/>
  <c r="AJ918" i="1"/>
  <c r="AI918" i="1"/>
  <c r="AE918" i="1"/>
  <c r="AB918" i="1"/>
  <c r="Z918" i="1"/>
  <c r="V918" i="1"/>
  <c r="S918" i="1"/>
  <c r="AJ920" i="1"/>
  <c r="AI920" i="1"/>
  <c r="AE920" i="1"/>
  <c r="AB920" i="1"/>
  <c r="Z920" i="1"/>
  <c r="AJ919" i="1"/>
  <c r="AI919" i="1"/>
  <c r="AE919" i="1"/>
  <c r="AB919" i="1"/>
  <c r="Z919" i="1"/>
  <c r="V919" i="1"/>
  <c r="S919" i="1"/>
  <c r="AJ917" i="1"/>
  <c r="AI917" i="1"/>
  <c r="AE917" i="1"/>
  <c r="AB917" i="1"/>
  <c r="Z917" i="1"/>
  <c r="V917" i="1"/>
  <c r="S917" i="1"/>
  <c r="AJ916" i="1"/>
  <c r="AI916" i="1"/>
  <c r="AE916" i="1"/>
  <c r="AB916" i="1"/>
  <c r="Z916" i="1"/>
  <c r="V916" i="1"/>
  <c r="C1812" i="1"/>
  <c r="AJ196" i="1"/>
  <c r="AI196" i="1"/>
  <c r="AE196" i="1"/>
  <c r="AB196" i="1"/>
  <c r="Z196" i="1"/>
  <c r="V196" i="1"/>
  <c r="S196" i="1"/>
  <c r="AJ811" i="1"/>
  <c r="AI811" i="1"/>
  <c r="AE811" i="1"/>
  <c r="AB811" i="1"/>
  <c r="Z811" i="1"/>
  <c r="V811" i="1"/>
  <c r="S811" i="1"/>
  <c r="AD1788" i="1"/>
  <c r="AJ734" i="1"/>
  <c r="AI734" i="1"/>
  <c r="AE734" i="1"/>
  <c r="AB734" i="1"/>
  <c r="Z734" i="1"/>
  <c r="V734" i="1"/>
  <c r="S734" i="1"/>
  <c r="AJ726" i="1"/>
  <c r="AI726" i="1"/>
  <c r="AE726" i="1"/>
  <c r="AB726" i="1"/>
  <c r="Z726" i="1"/>
  <c r="V726" i="1"/>
  <c r="S726" i="1"/>
  <c r="AJ713" i="1"/>
  <c r="AI713" i="1"/>
  <c r="AE713" i="1"/>
  <c r="AB713" i="1"/>
  <c r="Z713" i="1"/>
  <c r="V713" i="1"/>
  <c r="S713" i="1"/>
  <c r="AJ551" i="1"/>
  <c r="AI551" i="1"/>
  <c r="AE551" i="1"/>
  <c r="AB551" i="1"/>
  <c r="Z551" i="1"/>
  <c r="V551" i="1"/>
  <c r="S551" i="1"/>
  <c r="AJ1559" i="1"/>
  <c r="AI1559" i="1"/>
  <c r="AE1559" i="1"/>
  <c r="AB1559" i="1"/>
  <c r="Z1559" i="1"/>
  <c r="V1559" i="1"/>
  <c r="S1559" i="1"/>
  <c r="AB1555" i="1"/>
  <c r="AI1555" i="1"/>
  <c r="AJ1555" i="1"/>
  <c r="AE1555" i="1"/>
  <c r="Z1555" i="1"/>
  <c r="V1555" i="1"/>
  <c r="S1555" i="1"/>
  <c r="M10" i="2"/>
  <c r="V40" i="1"/>
  <c r="Z40" i="1"/>
  <c r="AB40" i="1"/>
  <c r="AE40" i="1"/>
  <c r="AI40" i="1"/>
  <c r="AJ40" i="1"/>
  <c r="AJ1014" i="1"/>
  <c r="AI1014" i="1"/>
  <c r="AE1014" i="1"/>
  <c r="AB1014" i="1"/>
  <c r="Z1014" i="1"/>
  <c r="V1014" i="1"/>
  <c r="S1014" i="1"/>
  <c r="AJ959" i="1"/>
  <c r="AI959" i="1"/>
  <c r="AE959" i="1"/>
  <c r="AB959" i="1"/>
  <c r="Z959" i="1"/>
  <c r="V959" i="1"/>
  <c r="S959" i="1"/>
  <c r="AJ961" i="1"/>
  <c r="AI961" i="1"/>
  <c r="AE961" i="1"/>
  <c r="AB961" i="1"/>
  <c r="Z961" i="1"/>
  <c r="V961" i="1"/>
  <c r="S961" i="1"/>
  <c r="S923" i="1"/>
  <c r="V923" i="1"/>
  <c r="Z923" i="1"/>
  <c r="AB923" i="1"/>
  <c r="AE923" i="1"/>
  <c r="AI923" i="1"/>
  <c r="AJ923" i="1"/>
  <c r="AJ292" i="1"/>
  <c r="AI292" i="1"/>
  <c r="AE292" i="1"/>
  <c r="AB292" i="1"/>
  <c r="Z292" i="1"/>
  <c r="V292" i="1"/>
  <c r="S292" i="1"/>
  <c r="AJ1356" i="1"/>
  <c r="AI1356" i="1"/>
  <c r="AE1356" i="1"/>
  <c r="AB1356" i="1"/>
  <c r="Z1356" i="1"/>
  <c r="V1356" i="1"/>
  <c r="S1356" i="1"/>
  <c r="AE278" i="1"/>
  <c r="AJ1708" i="1"/>
  <c r="AI1708" i="1"/>
  <c r="AE1708" i="1"/>
  <c r="AB1708" i="1"/>
  <c r="Z1708" i="1"/>
  <c r="V1708" i="1"/>
  <c r="S1708" i="1"/>
  <c r="AJ1020" i="1"/>
  <c r="AI1020" i="1"/>
  <c r="AE1020" i="1"/>
  <c r="AB1020" i="1"/>
  <c r="Z1020" i="1"/>
  <c r="V1020" i="1"/>
  <c r="S1020" i="1"/>
  <c r="AE1019" i="1"/>
  <c r="Z1019" i="1"/>
  <c r="V1019" i="1"/>
  <c r="S1019" i="1"/>
  <c r="AJ820" i="1"/>
  <c r="AI820" i="1"/>
  <c r="AE820" i="1"/>
  <c r="AB820" i="1"/>
  <c r="Z820" i="1"/>
  <c r="V820" i="1"/>
  <c r="S820" i="1"/>
  <c r="AJ385" i="1"/>
  <c r="AI385" i="1"/>
  <c r="AE385" i="1"/>
  <c r="AB385" i="1"/>
  <c r="Z385" i="1"/>
  <c r="V385" i="1"/>
  <c r="S385" i="1"/>
  <c r="AJ716" i="1"/>
  <c r="AI716" i="1"/>
  <c r="AE716" i="1"/>
  <c r="AB716" i="1"/>
  <c r="Z716" i="1"/>
  <c r="V716" i="1"/>
  <c r="S716" i="1"/>
  <c r="AJ617" i="1"/>
  <c r="AI617" i="1"/>
  <c r="AE617" i="1"/>
  <c r="AB617" i="1"/>
  <c r="Z617" i="1"/>
  <c r="V617" i="1"/>
  <c r="S617" i="1"/>
  <c r="AJ1537" i="1"/>
  <c r="AI1537" i="1"/>
  <c r="AE1537" i="1"/>
  <c r="AB1537" i="1"/>
  <c r="Z1537" i="1"/>
  <c r="V1537" i="1"/>
  <c r="S1537" i="1"/>
  <c r="AJ1529" i="1"/>
  <c r="AI1529" i="1"/>
  <c r="AE1529" i="1"/>
  <c r="AB1529" i="1"/>
  <c r="Z1529" i="1"/>
  <c r="V1529" i="1"/>
  <c r="S1529" i="1"/>
  <c r="AM10" i="1"/>
  <c r="S1765" i="1"/>
  <c r="V1765" i="1"/>
  <c r="Z1765" i="1"/>
  <c r="AB1765" i="1"/>
  <c r="AE1765" i="1"/>
  <c r="AI1765" i="1"/>
  <c r="AJ1765" i="1"/>
  <c r="S1766" i="1"/>
  <c r="V1766" i="1"/>
  <c r="Z1766" i="1"/>
  <c r="AB1766" i="1"/>
  <c r="AE1766" i="1"/>
  <c r="AI1766" i="1"/>
  <c r="AJ1766" i="1"/>
  <c r="S1767" i="1"/>
  <c r="V1767" i="1"/>
  <c r="Z1767" i="1"/>
  <c r="AB1767" i="1"/>
  <c r="AE1767" i="1"/>
  <c r="AI1767" i="1"/>
  <c r="AJ1767" i="1"/>
  <c r="S1768" i="1"/>
  <c r="V1768" i="1"/>
  <c r="Z1768" i="1"/>
  <c r="AB1768" i="1"/>
  <c r="AE1768" i="1"/>
  <c r="AI1768" i="1"/>
  <c r="AJ1768" i="1"/>
  <c r="S1769" i="1"/>
  <c r="V1769" i="1"/>
  <c r="Z1769" i="1"/>
  <c r="AB1769" i="1"/>
  <c r="AE1769" i="1"/>
  <c r="AI1769" i="1"/>
  <c r="AJ1769" i="1"/>
  <c r="S1770" i="1"/>
  <c r="V1770" i="1"/>
  <c r="Z1770" i="1"/>
  <c r="AB1770" i="1"/>
  <c r="AE1770" i="1"/>
  <c r="AI1770" i="1"/>
  <c r="AJ1770" i="1"/>
  <c r="S1771" i="1"/>
  <c r="V1771" i="1"/>
  <c r="Z1771" i="1"/>
  <c r="AB1771" i="1"/>
  <c r="AE1771" i="1"/>
  <c r="AI1771" i="1"/>
  <c r="AJ1771" i="1"/>
  <c r="S1772" i="1"/>
  <c r="V1772" i="1"/>
  <c r="Z1772" i="1"/>
  <c r="AB1772" i="1"/>
  <c r="AE1772" i="1"/>
  <c r="AI1772" i="1"/>
  <c r="AJ1772" i="1"/>
  <c r="S1773" i="1"/>
  <c r="V1773" i="1"/>
  <c r="Z1773" i="1"/>
  <c r="AB1773" i="1"/>
  <c r="AE1773" i="1"/>
  <c r="AI1773" i="1"/>
  <c r="AJ1773" i="1"/>
  <c r="AJ1774" i="1"/>
  <c r="AL1774" i="1"/>
  <c r="S1775" i="1"/>
  <c r="V1775" i="1"/>
  <c r="Z1775" i="1"/>
  <c r="AJ1775" i="1"/>
  <c r="AL1775" i="1"/>
  <c r="AJ1776" i="1"/>
  <c r="AL1776" i="1"/>
  <c r="S1777" i="1"/>
  <c r="V1777" i="1"/>
  <c r="Z1777" i="1"/>
  <c r="AJ1777" i="1"/>
  <c r="AL1777" i="1"/>
  <c r="AL1778" i="1"/>
  <c r="AD1779" i="1"/>
  <c r="Z1349" i="1"/>
  <c r="V1349" i="1"/>
  <c r="AJ1351" i="1"/>
  <c r="AI1351" i="1"/>
  <c r="AE1351" i="1"/>
  <c r="AB1351" i="1"/>
  <c r="Z1351" i="1"/>
  <c r="AJ1349" i="1"/>
  <c r="AI1349" i="1"/>
  <c r="AE1349" i="1"/>
  <c r="AB1349" i="1"/>
  <c r="AJ389" i="1"/>
  <c r="AI389" i="1"/>
  <c r="AE389" i="1"/>
  <c r="AB389" i="1"/>
  <c r="Z389" i="1"/>
  <c r="V389" i="1"/>
  <c r="S389" i="1"/>
  <c r="Z1232" i="1"/>
  <c r="V1232" i="1"/>
  <c r="Z1234" i="1"/>
  <c r="V1234" i="1"/>
  <c r="AJ1234" i="1"/>
  <c r="AI1234" i="1"/>
  <c r="AE1234" i="1"/>
  <c r="AB1234" i="1"/>
  <c r="AE1233" i="1"/>
  <c r="V1233" i="1"/>
  <c r="S1233" i="1"/>
  <c r="AJ1232" i="1"/>
  <c r="AI1232" i="1"/>
  <c r="AE1232" i="1"/>
  <c r="AB1232" i="1"/>
  <c r="Z1233" i="1"/>
  <c r="AE367" i="1"/>
  <c r="V367" i="1"/>
  <c r="S367" i="1"/>
  <c r="Z367" i="1"/>
  <c r="B1785" i="1"/>
  <c r="AJ877" i="1"/>
  <c r="AI877" i="1"/>
  <c r="AE877" i="1"/>
  <c r="AB877" i="1"/>
  <c r="Z877" i="1"/>
  <c r="V877" i="1"/>
  <c r="S877" i="1"/>
  <c r="I1591" i="1"/>
  <c r="W1591" i="1" s="1"/>
  <c r="H1591" i="1"/>
  <c r="I598" i="1"/>
  <c r="W598" i="1" s="1"/>
  <c r="H598" i="1"/>
  <c r="I1493" i="1"/>
  <c r="W1493" i="1" s="1"/>
  <c r="H1493" i="1"/>
  <c r="I1727" i="1"/>
  <c r="W1727" i="1" s="1"/>
  <c r="H1727" i="1"/>
  <c r="I1402" i="1"/>
  <c r="W1402" i="1" s="1"/>
  <c r="H1402" i="1"/>
  <c r="I1730" i="1"/>
  <c r="W1730" i="1" s="1"/>
  <c r="H1730" i="1"/>
  <c r="I121" i="1"/>
  <c r="H121" i="1"/>
  <c r="AD121" i="1" s="1"/>
  <c r="I472" i="1"/>
  <c r="W472" i="1" s="1"/>
  <c r="H472" i="1"/>
  <c r="I1405" i="1"/>
  <c r="W1405" i="1" s="1"/>
  <c r="H1405" i="1"/>
  <c r="I402" i="1"/>
  <c r="W402" i="1" s="1"/>
  <c r="H402" i="1"/>
  <c r="AD402" i="1" s="1"/>
  <c r="I1594" i="1"/>
  <c r="W1594" i="1" s="1"/>
  <c r="H1594" i="1"/>
  <c r="I1110" i="1"/>
  <c r="W1110" i="1" s="1"/>
  <c r="H1110" i="1"/>
  <c r="I686" i="1"/>
  <c r="W686" i="1" s="1"/>
  <c r="H686" i="1"/>
  <c r="AD686" i="1" s="1"/>
  <c r="I1736" i="1"/>
  <c r="H1736" i="1"/>
  <c r="I1571" i="1"/>
  <c r="W1571" i="1" s="1"/>
  <c r="H1571" i="1"/>
  <c r="AJ1658" i="1"/>
  <c r="AI1658" i="1"/>
  <c r="AE1658" i="1"/>
  <c r="AB1658" i="1"/>
  <c r="Z1658" i="1"/>
  <c r="V1658" i="1"/>
  <c r="S1658" i="1"/>
  <c r="AJ860" i="1"/>
  <c r="AI860" i="1"/>
  <c r="AE860" i="1"/>
  <c r="AB860" i="1"/>
  <c r="Z860" i="1"/>
  <c r="V860" i="1"/>
  <c r="S860" i="1"/>
  <c r="AJ1046" i="1"/>
  <c r="AI1046" i="1"/>
  <c r="AE1046" i="1"/>
  <c r="AB1046" i="1"/>
  <c r="Z1046" i="1"/>
  <c r="V1046" i="1"/>
  <c r="S1046" i="1"/>
  <c r="AJ831" i="1"/>
  <c r="AI831" i="1"/>
  <c r="AE831" i="1"/>
  <c r="AB831" i="1"/>
  <c r="Z831" i="1"/>
  <c r="V831" i="1"/>
  <c r="S831" i="1"/>
  <c r="AJ1572" i="1"/>
  <c r="AI1572" i="1"/>
  <c r="AE1572" i="1"/>
  <c r="AB1572" i="1"/>
  <c r="Z1572" i="1"/>
  <c r="V1572" i="1"/>
  <c r="AJ1571" i="1"/>
  <c r="AI1571" i="1"/>
  <c r="AE1571" i="1"/>
  <c r="AB1571" i="1"/>
  <c r="Z1571" i="1"/>
  <c r="X1571" i="1"/>
  <c r="V1571" i="1"/>
  <c r="U1571" i="1"/>
  <c r="T1571" i="1"/>
  <c r="S1571" i="1"/>
  <c r="AJ1570" i="1"/>
  <c r="AI1570" i="1"/>
  <c r="AE1570" i="1"/>
  <c r="AB1570" i="1"/>
  <c r="Z1570" i="1"/>
  <c r="V1570" i="1"/>
  <c r="AJ1039" i="1"/>
  <c r="AI1039" i="1"/>
  <c r="AE1039" i="1"/>
  <c r="AB1039" i="1"/>
  <c r="Z1039" i="1"/>
  <c r="V1039" i="1"/>
  <c r="S1039" i="1"/>
  <c r="AJ1396" i="1"/>
  <c r="AI1396" i="1"/>
  <c r="AE1396" i="1"/>
  <c r="AB1396" i="1"/>
  <c r="Z1396" i="1"/>
  <c r="V1396" i="1"/>
  <c r="S1396" i="1"/>
  <c r="AJ1224" i="1"/>
  <c r="AI1224" i="1"/>
  <c r="AE1224" i="1"/>
  <c r="AB1224" i="1"/>
  <c r="Z1224" i="1"/>
  <c r="V1224" i="1"/>
  <c r="S1224" i="1"/>
  <c r="AJ1157" i="1"/>
  <c r="AI1157" i="1"/>
  <c r="AE1157" i="1"/>
  <c r="AB1157" i="1"/>
  <c r="Z1157" i="1"/>
  <c r="V1157" i="1"/>
  <c r="S1157" i="1"/>
  <c r="AJ1436" i="1"/>
  <c r="AI1436" i="1"/>
  <c r="AE1436" i="1"/>
  <c r="AB1436" i="1"/>
  <c r="Z1436" i="1"/>
  <c r="V1436" i="1"/>
  <c r="S1436" i="1"/>
  <c r="AJ1185" i="1"/>
  <c r="AI1185" i="1"/>
  <c r="AE1185" i="1"/>
  <c r="AB1185" i="1"/>
  <c r="Z1185" i="1"/>
  <c r="V1185" i="1"/>
  <c r="S1185" i="1"/>
  <c r="AJ652" i="1"/>
  <c r="AI652" i="1"/>
  <c r="AE652" i="1"/>
  <c r="AB652" i="1"/>
  <c r="Z652" i="1"/>
  <c r="V652" i="1"/>
  <c r="S652" i="1"/>
  <c r="AL1780" i="1"/>
  <c r="C1815" i="1"/>
  <c r="C1813" i="1"/>
  <c r="AJ1608" i="1"/>
  <c r="AI1608" i="1"/>
  <c r="AE1608" i="1"/>
  <c r="AB1608" i="1"/>
  <c r="Z1608" i="1"/>
  <c r="V1608" i="1"/>
  <c r="S1608" i="1"/>
  <c r="AJ1230" i="1"/>
  <c r="AI1230" i="1"/>
  <c r="AE1230" i="1"/>
  <c r="AB1230" i="1"/>
  <c r="Z1230" i="1"/>
  <c r="V1230" i="1"/>
  <c r="S1230" i="1"/>
  <c r="AJ997" i="1"/>
  <c r="AI997" i="1"/>
  <c r="AE997" i="1"/>
  <c r="AB997" i="1"/>
  <c r="Z997" i="1"/>
  <c r="V997" i="1"/>
  <c r="S997" i="1"/>
  <c r="AJ580" i="1"/>
  <c r="AI580" i="1"/>
  <c r="AE580" i="1"/>
  <c r="AB580" i="1"/>
  <c r="Z580" i="1"/>
  <c r="V580" i="1"/>
  <c r="U580" i="1"/>
  <c r="T580" i="1"/>
  <c r="S580" i="1"/>
  <c r="AE340" i="1"/>
  <c r="Z340" i="1"/>
  <c r="V340" i="1"/>
  <c r="S340" i="1"/>
  <c r="AE38" i="1"/>
  <c r="V38" i="1"/>
  <c r="S38" i="1"/>
  <c r="AJ56" i="1"/>
  <c r="AI56" i="1"/>
  <c r="AE56" i="1"/>
  <c r="AB56" i="1"/>
  <c r="Z56" i="1"/>
  <c r="V56" i="1"/>
  <c r="S56" i="1"/>
  <c r="AJ771" i="1"/>
  <c r="AI771" i="1"/>
  <c r="AE771" i="1"/>
  <c r="AB771" i="1"/>
  <c r="Z771" i="1"/>
  <c r="V771" i="1"/>
  <c r="S771" i="1"/>
  <c r="AJ748" i="1"/>
  <c r="AI748" i="1"/>
  <c r="AE748" i="1"/>
  <c r="AB748" i="1"/>
  <c r="Z748" i="1"/>
  <c r="V748" i="1"/>
  <c r="S748" i="1"/>
  <c r="AJ520" i="1"/>
  <c r="AI520" i="1"/>
  <c r="AE520" i="1"/>
  <c r="AB520" i="1"/>
  <c r="Z520" i="1"/>
  <c r="V520" i="1"/>
  <c r="S520" i="1"/>
  <c r="AJ1375" i="1"/>
  <c r="AI1375" i="1"/>
  <c r="AE1375" i="1"/>
  <c r="AB1375" i="1"/>
  <c r="Z1375" i="1"/>
  <c r="V1375" i="1"/>
  <c r="S1375" i="1"/>
  <c r="AJ645" i="1"/>
  <c r="AI645" i="1"/>
  <c r="AE645" i="1"/>
  <c r="AB645" i="1"/>
  <c r="Z645" i="1"/>
  <c r="V645" i="1"/>
  <c r="S645" i="1"/>
  <c r="AJ155" i="1"/>
  <c r="AI155" i="1"/>
  <c r="AE155" i="1"/>
  <c r="AB155" i="1"/>
  <c r="Z155" i="1"/>
  <c r="V155" i="1"/>
  <c r="S155" i="1"/>
  <c r="AJ457" i="1"/>
  <c r="AI457" i="1"/>
  <c r="AE457" i="1"/>
  <c r="AB457" i="1"/>
  <c r="Z457" i="1"/>
  <c r="V457" i="1"/>
  <c r="S457" i="1"/>
  <c r="AJ953" i="1"/>
  <c r="AI953" i="1"/>
  <c r="AE953" i="1"/>
  <c r="AB953" i="1"/>
  <c r="Z953" i="1"/>
  <c r="V953" i="1"/>
  <c r="S953" i="1"/>
  <c r="AJ141" i="1"/>
  <c r="AI141" i="1"/>
  <c r="AE141" i="1"/>
  <c r="AB141" i="1"/>
  <c r="Z141" i="1"/>
  <c r="V141" i="1"/>
  <c r="S141" i="1"/>
  <c r="AJ78" i="1"/>
  <c r="AI78" i="1"/>
  <c r="AE78" i="1"/>
  <c r="AB78" i="1"/>
  <c r="Z78" i="1"/>
  <c r="V78" i="1"/>
  <c r="S78" i="1"/>
  <c r="AE229" i="1"/>
  <c r="Z229" i="1"/>
  <c r="V229" i="1"/>
  <c r="S229" i="1"/>
  <c r="AJ67" i="1"/>
  <c r="AI67" i="1"/>
  <c r="AE67" i="1"/>
  <c r="AB67" i="1"/>
  <c r="Z67" i="1"/>
  <c r="V67" i="1"/>
  <c r="S67" i="1"/>
  <c r="AJ27" i="1"/>
  <c r="AI27" i="1"/>
  <c r="AE27" i="1"/>
  <c r="AB27" i="1"/>
  <c r="Z27" i="1"/>
  <c r="V27" i="1"/>
  <c r="S27" i="1"/>
  <c r="AJ574" i="1"/>
  <c r="AI574" i="1"/>
  <c r="AE574" i="1"/>
  <c r="AB574" i="1"/>
  <c r="Z574" i="1"/>
  <c r="V574" i="1"/>
  <c r="S574" i="1"/>
  <c r="Z38" i="1"/>
  <c r="G9" i="1"/>
  <c r="AE129" i="1"/>
  <c r="AE128" i="1"/>
  <c r="AB1494" i="1"/>
  <c r="AB1492" i="1"/>
  <c r="AB1728" i="1"/>
  <c r="AB1726" i="1"/>
  <c r="AB1589" i="1"/>
  <c r="AB1587" i="1"/>
  <c r="AB295" i="1"/>
  <c r="AB290" i="1"/>
  <c r="AB1424" i="1"/>
  <c r="AB1420" i="1"/>
  <c r="AB1403" i="1"/>
  <c r="AB1401" i="1"/>
  <c r="AB507" i="1"/>
  <c r="AB503" i="1"/>
  <c r="AB1077" i="1"/>
  <c r="AB1075" i="1"/>
  <c r="AB668" i="1"/>
  <c r="AB665" i="1"/>
  <c r="AB534" i="1"/>
  <c r="AB531" i="1"/>
  <c r="AB1740" i="1"/>
  <c r="AB1738" i="1"/>
  <c r="AB1550" i="1"/>
  <c r="AB1548" i="1"/>
  <c r="AB502" i="1"/>
  <c r="AB499" i="1"/>
  <c r="AB1731" i="1"/>
  <c r="AB1729" i="1"/>
  <c r="AB1166" i="1"/>
  <c r="AB1164" i="1"/>
  <c r="AB1053" i="1"/>
  <c r="AB1051" i="1"/>
  <c r="AB739" i="1"/>
  <c r="AB737" i="1"/>
  <c r="AB1083" i="1"/>
  <c r="AB1081" i="1"/>
  <c r="AB122" i="1"/>
  <c r="AB120" i="1"/>
  <c r="AB458" i="1"/>
  <c r="AB456" i="1"/>
  <c r="AB1616" i="1"/>
  <c r="AB1614" i="1"/>
  <c r="AB473" i="1"/>
  <c r="AB471" i="1"/>
  <c r="AB1406" i="1"/>
  <c r="AB1404" i="1"/>
  <c r="AB403" i="1"/>
  <c r="AB401" i="1"/>
  <c r="AB1712" i="1"/>
  <c r="AB1710" i="1"/>
  <c r="AB1108" i="1"/>
  <c r="AB1105" i="1"/>
  <c r="AB653" i="1"/>
  <c r="AB651" i="1"/>
  <c r="AB327" i="1"/>
  <c r="AB325" i="1"/>
  <c r="AB821" i="1"/>
  <c r="AB819" i="1"/>
  <c r="AB461" i="1"/>
  <c r="AB459" i="1"/>
  <c r="AB1339" i="1"/>
  <c r="AB1337" i="1"/>
  <c r="AB718" i="1"/>
  <c r="AB715" i="1"/>
  <c r="AB1391" i="1"/>
  <c r="AB1389" i="1"/>
  <c r="AB1595" i="1"/>
  <c r="AB1593" i="1"/>
  <c r="AB1485" i="1"/>
  <c r="AB1483" i="1"/>
  <c r="AB1111" i="1"/>
  <c r="AB1109" i="1"/>
  <c r="AB1360" i="1"/>
  <c r="AB1358" i="1"/>
  <c r="AB1264" i="1"/>
  <c r="AB1262" i="1"/>
  <c r="AB605" i="1"/>
  <c r="AB603" i="1"/>
  <c r="AB1460" i="1"/>
  <c r="AB1458" i="1"/>
  <c r="AB687" i="1"/>
  <c r="AB685" i="1"/>
  <c r="Z1494" i="1"/>
  <c r="Z1728" i="1"/>
  <c r="Z1726" i="1"/>
  <c r="Z1589" i="1"/>
  <c r="Z1587" i="1"/>
  <c r="Z295" i="1"/>
  <c r="Z290" i="1"/>
  <c r="Z1424" i="1"/>
  <c r="Z1420" i="1"/>
  <c r="Z1403" i="1"/>
  <c r="Z1401" i="1"/>
  <c r="Z507" i="1"/>
  <c r="Z503" i="1"/>
  <c r="Z1077" i="1"/>
  <c r="Z1075" i="1"/>
  <c r="Z668" i="1"/>
  <c r="Z665" i="1"/>
  <c r="Z534" i="1"/>
  <c r="Z531" i="1"/>
  <c r="Z1740" i="1"/>
  <c r="Z1738" i="1"/>
  <c r="Z1550" i="1"/>
  <c r="Z1548" i="1"/>
  <c r="Z502" i="1"/>
  <c r="Z499" i="1"/>
  <c r="Z1731" i="1"/>
  <c r="Z1729" i="1"/>
  <c r="Z1166" i="1"/>
  <c r="Z1164" i="1"/>
  <c r="Z1053" i="1"/>
  <c r="Z1051" i="1"/>
  <c r="Z739" i="1"/>
  <c r="Z737" i="1"/>
  <c r="Z1083" i="1"/>
  <c r="Z1081" i="1"/>
  <c r="Z122" i="1"/>
  <c r="Z120" i="1"/>
  <c r="Z458" i="1"/>
  <c r="Z456" i="1"/>
  <c r="Z1616" i="1"/>
  <c r="Z1614" i="1"/>
  <c r="Z473" i="1"/>
  <c r="Z471" i="1"/>
  <c r="Z1406" i="1"/>
  <c r="Z1404" i="1"/>
  <c r="Z403" i="1"/>
  <c r="Z401" i="1"/>
  <c r="Z1712" i="1"/>
  <c r="Z1710" i="1"/>
  <c r="Z1108" i="1"/>
  <c r="Z1105" i="1"/>
  <c r="Z653" i="1"/>
  <c r="Z651" i="1"/>
  <c r="Z327" i="1"/>
  <c r="Z325" i="1"/>
  <c r="Z821" i="1"/>
  <c r="Z819" i="1"/>
  <c r="Z461" i="1"/>
  <c r="Z459" i="1"/>
  <c r="Z1339" i="1"/>
  <c r="Z1337" i="1"/>
  <c r="Z718" i="1"/>
  <c r="Z715" i="1"/>
  <c r="Z1391" i="1"/>
  <c r="Z1389" i="1"/>
  <c r="Z1595" i="1"/>
  <c r="Z1593" i="1"/>
  <c r="Z1485" i="1"/>
  <c r="Z1483" i="1"/>
  <c r="Z1111" i="1"/>
  <c r="Z1109" i="1"/>
  <c r="Z1360" i="1"/>
  <c r="Z1358" i="1"/>
  <c r="Z1264" i="1"/>
  <c r="Z1262" i="1"/>
  <c r="Z605" i="1"/>
  <c r="Z603" i="1"/>
  <c r="Z1460" i="1"/>
  <c r="Z1458" i="1"/>
  <c r="Z687" i="1"/>
  <c r="AE1158" i="1"/>
  <c r="V1158" i="1"/>
  <c r="S1158" i="1"/>
  <c r="AE299" i="1"/>
  <c r="AE601" i="1"/>
  <c r="V601" i="1"/>
  <c r="S601" i="1"/>
  <c r="AE1382" i="1"/>
  <c r="V1382" i="1"/>
  <c r="S1382" i="1"/>
  <c r="AE1363" i="1"/>
  <c r="V1363" i="1"/>
  <c r="S1363" i="1"/>
  <c r="AE1399" i="1"/>
  <c r="V1399" i="1"/>
  <c r="S1399" i="1"/>
  <c r="AE1387" i="1"/>
  <c r="V1387" i="1"/>
  <c r="S1387" i="1"/>
  <c r="AD5" i="1"/>
  <c r="S1653" i="1"/>
  <c r="V1653" i="1"/>
  <c r="AE1653" i="1"/>
  <c r="S1676" i="1"/>
  <c r="V1676" i="1"/>
  <c r="AE1676" i="1"/>
  <c r="AE1634" i="1"/>
  <c r="V1634" i="1"/>
  <c r="S1634" i="1"/>
  <c r="AE1310" i="1"/>
  <c r="V1310" i="1"/>
  <c r="S1310" i="1"/>
  <c r="AE1134" i="1"/>
  <c r="V1134" i="1"/>
  <c r="S1134" i="1"/>
  <c r="AE970" i="1"/>
  <c r="V970" i="1"/>
  <c r="S970" i="1"/>
  <c r="Z1634" i="1"/>
  <c r="Z970" i="1"/>
  <c r="Z601" i="1"/>
  <c r="Z1158" i="1"/>
  <c r="Z1363" i="1"/>
  <c r="Z1653" i="1"/>
  <c r="Z1382" i="1"/>
  <c r="V462" i="1"/>
  <c r="Z462" i="1"/>
  <c r="AB462" i="1"/>
  <c r="AE462" i="1"/>
  <c r="AI462" i="1"/>
  <c r="AJ462" i="1"/>
  <c r="Z1387" i="1"/>
  <c r="Z1676" i="1"/>
  <c r="Z1310" i="1"/>
  <c r="Z1134" i="1"/>
  <c r="Z1399" i="1"/>
  <c r="Z9" i="1"/>
  <c r="Z128" i="1"/>
  <c r="Z129" i="1"/>
  <c r="AE973" i="1"/>
  <c r="V973" i="1"/>
  <c r="S973" i="1"/>
  <c r="Z973" i="1"/>
  <c r="AE35" i="1"/>
  <c r="Z35" i="1"/>
  <c r="V35" i="1"/>
  <c r="S35" i="1"/>
  <c r="AJ1764" i="1"/>
  <c r="AJ1762" i="1"/>
  <c r="AJ1761" i="1"/>
  <c r="AJ1756" i="1"/>
  <c r="AJ1753" i="1"/>
  <c r="AJ1746" i="1"/>
  <c r="AJ1744" i="1"/>
  <c r="AJ1743" i="1"/>
  <c r="AJ1741" i="1"/>
  <c r="AJ1728" i="1"/>
  <c r="AJ1726" i="1"/>
  <c r="AJ1725" i="1"/>
  <c r="AJ1723" i="1"/>
  <c r="AJ1737" i="1"/>
  <c r="AJ1735" i="1"/>
  <c r="AJ1734" i="1"/>
  <c r="AJ1732" i="1"/>
  <c r="AJ1722" i="1"/>
  <c r="AJ1720" i="1"/>
  <c r="AJ1719" i="1"/>
  <c r="AJ1717" i="1"/>
  <c r="AJ1716" i="1"/>
  <c r="AJ1713" i="1"/>
  <c r="AJ1709" i="1"/>
  <c r="AJ1706" i="1"/>
  <c r="AJ1705" i="1"/>
  <c r="AJ1702" i="1"/>
  <c r="AJ1701" i="1"/>
  <c r="AJ1699" i="1"/>
  <c r="AJ1698" i="1"/>
  <c r="AJ1696" i="1"/>
  <c r="AJ1695" i="1"/>
  <c r="AJ1693" i="1"/>
  <c r="AJ1692" i="1"/>
  <c r="AJ1687" i="1"/>
  <c r="AJ1686" i="1"/>
  <c r="AJ1683" i="1"/>
  <c r="AJ1682" i="1"/>
  <c r="AJ1679" i="1"/>
  <c r="AJ1678" i="1"/>
  <c r="AJ1675" i="1"/>
  <c r="AJ1674" i="1"/>
  <c r="AJ1671" i="1"/>
  <c r="AJ1670" i="1"/>
  <c r="AJ1667" i="1"/>
  <c r="AJ1663" i="1"/>
  <c r="AJ1661" i="1"/>
  <c r="AJ1660" i="1"/>
  <c r="AJ1656" i="1"/>
  <c r="AJ1655" i="1"/>
  <c r="AJ1652" i="1"/>
  <c r="AJ1651" i="1"/>
  <c r="AJ1648" i="1"/>
  <c r="AJ1647" i="1"/>
  <c r="AJ1645" i="1"/>
  <c r="AJ1644" i="1"/>
  <c r="AJ1642" i="1"/>
  <c r="AJ1641" i="1"/>
  <c r="AJ1638" i="1"/>
  <c r="AJ1637" i="1"/>
  <c r="AJ1633" i="1"/>
  <c r="AJ1626" i="1"/>
  <c r="AJ1624" i="1"/>
  <c r="AJ1623" i="1"/>
  <c r="AJ1620" i="1"/>
  <c r="AJ1613" i="1"/>
  <c r="AJ1612" i="1"/>
  <c r="AJ1611" i="1"/>
  <c r="AJ1605" i="1"/>
  <c r="AJ1604" i="1"/>
  <c r="AJ1599" i="1"/>
  <c r="AJ1598" i="1"/>
  <c r="AJ1596" i="1"/>
  <c r="AJ1592" i="1"/>
  <c r="AJ1590" i="1"/>
  <c r="AJ1589" i="1"/>
  <c r="AJ1587" i="1"/>
  <c r="AJ1586" i="1"/>
  <c r="AJ1583" i="1"/>
  <c r="AJ1579" i="1"/>
  <c r="AJ1576" i="1"/>
  <c r="AJ1575" i="1"/>
  <c r="AJ1573" i="1"/>
  <c r="AJ1569" i="1"/>
  <c r="AJ1567" i="1"/>
  <c r="AJ1566" i="1"/>
  <c r="AJ1562" i="1"/>
  <c r="AJ1561" i="1"/>
  <c r="AJ1558" i="1"/>
  <c r="AJ1557" i="1"/>
  <c r="AJ1554" i="1"/>
  <c r="AJ1553" i="1"/>
  <c r="AJ1551" i="1"/>
  <c r="AJ1547" i="1"/>
  <c r="AJ1543" i="1"/>
  <c r="AJ1542" i="1"/>
  <c r="AJ1539" i="1"/>
  <c r="AJ1538" i="1"/>
  <c r="AJ1534" i="1"/>
  <c r="AJ1533" i="1"/>
  <c r="AJ1531" i="1"/>
  <c r="AJ1530" i="1"/>
  <c r="AJ1525" i="1"/>
  <c r="AJ1524" i="1"/>
  <c r="AJ1521" i="1"/>
  <c r="AJ1520" i="1"/>
  <c r="AJ1518" i="1"/>
  <c r="AJ1517" i="1"/>
  <c r="AJ1515" i="1"/>
  <c r="AJ1514" i="1"/>
  <c r="AJ1510" i="1"/>
  <c r="AJ1509" i="1"/>
  <c r="AJ1506" i="1"/>
  <c r="AJ1505" i="1"/>
  <c r="AJ1503" i="1"/>
  <c r="AJ1502" i="1"/>
  <c r="AJ1499" i="1"/>
  <c r="AJ1498" i="1"/>
  <c r="AJ1495" i="1"/>
  <c r="AJ1494" i="1"/>
  <c r="AJ1492" i="1"/>
  <c r="AJ1491" i="1"/>
  <c r="AJ1489" i="1"/>
  <c r="AJ1482" i="1"/>
  <c r="AJ1480" i="1"/>
  <c r="AJ1488" i="1"/>
  <c r="AJ1486" i="1"/>
  <c r="AJ1479" i="1"/>
  <c r="AJ1477" i="1"/>
  <c r="AJ1472" i="1"/>
  <c r="AJ1471" i="1"/>
  <c r="AJ1464" i="1"/>
  <c r="AJ1461" i="1"/>
  <c r="AJ1457" i="1"/>
  <c r="AJ1453" i="1"/>
  <c r="AJ1452" i="1"/>
  <c r="AJ1450" i="1"/>
  <c r="AJ1449" i="1"/>
  <c r="AJ1447" i="1"/>
  <c r="AJ1446" i="1"/>
  <c r="AJ1443" i="1"/>
  <c r="AJ1442" i="1"/>
  <c r="AJ1440" i="1"/>
  <c r="AJ1439" i="1"/>
  <c r="AJ1435" i="1"/>
  <c r="AJ1434" i="1"/>
  <c r="AJ1432" i="1"/>
  <c r="AJ1431" i="1"/>
  <c r="AJ1428" i="1"/>
  <c r="AJ1427" i="1"/>
  <c r="AJ1425" i="1"/>
  <c r="AJ1419" i="1"/>
  <c r="AJ1417" i="1"/>
  <c r="AJ1397" i="1"/>
  <c r="AJ1395" i="1"/>
  <c r="AJ1394" i="1"/>
  <c r="AJ1392" i="1"/>
  <c r="AJ1385" i="1"/>
  <c r="AJ1384" i="1"/>
  <c r="AJ1383" i="1"/>
  <c r="AJ1381" i="1"/>
  <c r="AJ1380" i="1"/>
  <c r="AJ1372" i="1"/>
  <c r="AJ1371" i="1"/>
  <c r="AJ1367" i="1"/>
  <c r="AJ1366" i="1"/>
  <c r="AJ1361" i="1"/>
  <c r="AJ1357" i="1"/>
  <c r="AJ1355" i="1"/>
  <c r="AJ1354" i="1"/>
  <c r="AJ1352" i="1"/>
  <c r="AJ1348" i="1"/>
  <c r="AJ1346" i="1"/>
  <c r="AJ1345" i="1"/>
  <c r="AJ1343" i="1"/>
  <c r="AJ1342" i="1"/>
  <c r="AJ1340" i="1"/>
  <c r="AJ1336" i="1"/>
  <c r="AJ1334" i="1"/>
  <c r="AJ1333" i="1"/>
  <c r="AJ1330" i="1"/>
  <c r="AJ1329" i="1"/>
  <c r="AJ1328" i="1"/>
  <c r="AJ1327" i="1"/>
  <c r="AJ1325" i="1"/>
  <c r="AJ1324" i="1"/>
  <c r="AJ1320" i="1"/>
  <c r="AJ1319" i="1"/>
  <c r="AJ1316" i="1"/>
  <c r="AJ1315" i="1"/>
  <c r="AJ1313" i="1"/>
  <c r="AJ1312" i="1"/>
  <c r="AJ1308" i="1"/>
  <c r="AJ1307" i="1"/>
  <c r="AJ1303" i="1"/>
  <c r="AJ1299" i="1"/>
  <c r="AJ1294" i="1"/>
  <c r="AJ1293" i="1"/>
  <c r="AJ1290" i="1"/>
  <c r="AJ1289" i="1"/>
  <c r="AJ1286" i="1"/>
  <c r="AJ1285" i="1"/>
  <c r="AJ1282" i="1"/>
  <c r="AJ1281" i="1"/>
  <c r="AJ1278" i="1"/>
  <c r="AJ1277" i="1"/>
  <c r="AJ1275" i="1"/>
  <c r="AJ1274" i="1"/>
  <c r="AJ1271" i="1"/>
  <c r="AJ1270" i="1"/>
  <c r="AJ1268" i="1"/>
  <c r="AJ1267" i="1"/>
  <c r="AJ1265" i="1"/>
  <c r="AJ1261" i="1"/>
  <c r="AJ1259" i="1"/>
  <c r="AJ1258" i="1"/>
  <c r="AJ1255" i="1"/>
  <c r="AJ1254" i="1"/>
  <c r="AJ1251" i="1"/>
  <c r="AJ1250" i="1"/>
  <c r="AJ1248" i="1"/>
  <c r="AJ1247" i="1"/>
  <c r="AJ1245" i="1"/>
  <c r="AJ1244" i="1"/>
  <c r="AJ1242" i="1"/>
  <c r="AJ1241" i="1"/>
  <c r="AJ1238" i="1"/>
  <c r="AJ1237" i="1"/>
  <c r="AJ1235" i="1"/>
  <c r="AJ1231" i="1"/>
  <c r="AJ1227" i="1"/>
  <c r="AJ1226" i="1"/>
  <c r="AJ1223" i="1"/>
  <c r="AJ1222" i="1"/>
  <c r="AJ1220" i="1"/>
  <c r="AJ1219" i="1"/>
  <c r="AJ1216" i="1"/>
  <c r="AJ1215" i="1"/>
  <c r="AJ1213" i="1"/>
  <c r="AJ1212" i="1"/>
  <c r="AJ1208" i="1"/>
  <c r="AJ1207" i="1"/>
  <c r="AJ1205" i="1"/>
  <c r="AJ1204" i="1"/>
  <c r="AJ1197" i="1"/>
  <c r="AJ1196" i="1"/>
  <c r="AJ1194" i="1"/>
  <c r="AJ1193" i="1"/>
  <c r="AJ1191" i="1"/>
  <c r="AJ1190" i="1"/>
  <c r="AJ1188" i="1"/>
  <c r="AJ1187" i="1"/>
  <c r="AJ1184" i="1"/>
  <c r="AJ1183" i="1"/>
  <c r="AJ1180" i="1"/>
  <c r="AJ1179" i="1"/>
  <c r="AJ1177" i="1"/>
  <c r="AJ1176" i="1"/>
  <c r="AJ1173" i="1"/>
  <c r="AJ1172" i="1"/>
  <c r="AJ1167" i="1"/>
  <c r="AJ1163" i="1"/>
  <c r="AJ1160" i="1"/>
  <c r="AJ1155" i="1"/>
  <c r="AJ1153" i="1"/>
  <c r="AJ1152" i="1"/>
  <c r="AJ1148" i="1"/>
  <c r="AJ1147" i="1"/>
  <c r="AJ1141" i="1"/>
  <c r="AJ1140" i="1"/>
  <c r="AJ1133" i="1"/>
  <c r="AJ1132" i="1"/>
  <c r="AJ1129" i="1"/>
  <c r="AJ1128" i="1"/>
  <c r="AJ1124" i="1"/>
  <c r="AJ1123" i="1"/>
  <c r="AJ1119" i="1"/>
  <c r="AJ1118" i="1"/>
  <c r="AJ1115" i="1"/>
  <c r="AJ1114" i="1"/>
  <c r="AJ1112" i="1"/>
  <c r="AJ1100" i="1"/>
  <c r="AJ1099" i="1"/>
  <c r="AJ1067" i="1"/>
  <c r="AJ1063" i="1"/>
  <c r="AJ1095" i="1"/>
  <c r="AJ1092" i="1"/>
  <c r="AJ1087" i="1"/>
  <c r="AJ1084" i="1"/>
  <c r="AJ1080" i="1"/>
  <c r="AJ1078" i="1"/>
  <c r="AJ1074" i="1"/>
  <c r="AJ1071" i="1"/>
  <c r="AJ1070" i="1"/>
  <c r="AJ1068" i="1"/>
  <c r="AJ1062" i="1"/>
  <c r="AJ1060" i="1"/>
  <c r="AJ1059" i="1"/>
  <c r="AJ1057" i="1"/>
  <c r="AJ1056" i="1"/>
  <c r="AJ1050" i="1"/>
  <c r="AJ1045" i="1"/>
  <c r="AJ1044" i="1"/>
  <c r="AJ1042" i="1"/>
  <c r="AJ1041" i="1"/>
  <c r="AJ1038" i="1"/>
  <c r="AJ1037" i="1"/>
  <c r="AJ1035" i="1"/>
  <c r="AJ1034" i="1"/>
  <c r="AJ1031" i="1"/>
  <c r="AJ1030" i="1"/>
  <c r="AJ1027" i="1"/>
  <c r="AJ1026" i="1"/>
  <c r="AJ1022" i="1"/>
  <c r="AJ1021" i="1"/>
  <c r="AJ1017" i="1"/>
  <c r="AJ1016" i="1"/>
  <c r="AJ1011" i="1"/>
  <c r="AJ1010" i="1"/>
  <c r="AJ1007" i="1"/>
  <c r="AJ1006" i="1"/>
  <c r="AJ1003" i="1"/>
  <c r="AJ1002" i="1"/>
  <c r="AJ1000" i="1"/>
  <c r="AJ999" i="1"/>
  <c r="AJ992" i="1"/>
  <c r="AJ991" i="1"/>
  <c r="AJ987" i="1"/>
  <c r="AJ986" i="1"/>
  <c r="AJ984" i="1"/>
  <c r="AJ983" i="1"/>
  <c r="AJ978" i="1"/>
  <c r="AJ977" i="1"/>
  <c r="AJ975" i="1"/>
  <c r="AJ974" i="1"/>
  <c r="AJ972" i="1"/>
  <c r="AJ971" i="1"/>
  <c r="AJ969" i="1"/>
  <c r="AJ968" i="1"/>
  <c r="AJ964" i="1"/>
  <c r="AJ963" i="1"/>
  <c r="AJ957" i="1"/>
  <c r="AJ935" i="1"/>
  <c r="AJ932" i="1"/>
  <c r="AJ956" i="1"/>
  <c r="AJ950" i="1"/>
  <c r="AJ949" i="1"/>
  <c r="AJ947" i="1"/>
  <c r="AJ946" i="1"/>
  <c r="AJ943" i="1"/>
  <c r="AJ942" i="1"/>
  <c r="AJ936" i="1"/>
  <c r="AJ931" i="1"/>
  <c r="AJ929" i="1"/>
  <c r="AJ928" i="1"/>
  <c r="AJ925" i="1"/>
  <c r="AJ924" i="1"/>
  <c r="AJ921" i="1"/>
  <c r="AJ915" i="1"/>
  <c r="AJ913" i="1"/>
  <c r="AJ785" i="1"/>
  <c r="AJ780" i="1"/>
  <c r="AJ908" i="1"/>
  <c r="AJ905" i="1"/>
  <c r="AJ904" i="1"/>
  <c r="AJ900" i="1"/>
  <c r="AJ899" i="1"/>
  <c r="AJ896" i="1"/>
  <c r="AJ891" i="1"/>
  <c r="AJ887" i="1"/>
  <c r="AJ886" i="1"/>
  <c r="AJ882" i="1"/>
  <c r="AJ881" i="1"/>
  <c r="AJ876" i="1"/>
  <c r="AJ875" i="1"/>
  <c r="AJ873" i="1"/>
  <c r="AJ872" i="1"/>
  <c r="AJ868" i="1"/>
  <c r="AJ867" i="1"/>
  <c r="AJ857" i="1"/>
  <c r="AJ856" i="1"/>
  <c r="AJ854" i="1"/>
  <c r="AJ853" i="1"/>
  <c r="AJ848" i="1"/>
  <c r="AJ847" i="1"/>
  <c r="AJ843" i="1"/>
  <c r="AJ842" i="1"/>
  <c r="AJ839" i="1"/>
  <c r="AJ838" i="1"/>
  <c r="AJ834" i="1"/>
  <c r="AJ833" i="1"/>
  <c r="AJ828" i="1"/>
  <c r="AJ827" i="1"/>
  <c r="AJ825" i="1"/>
  <c r="AJ824" i="1"/>
  <c r="AJ822" i="1"/>
  <c r="AJ818" i="1"/>
  <c r="AJ815" i="1"/>
  <c r="AJ814" i="1"/>
  <c r="AJ810" i="1"/>
  <c r="AJ809" i="1"/>
  <c r="AJ802" i="1"/>
  <c r="AJ801" i="1"/>
  <c r="AJ799" i="1"/>
  <c r="AJ798" i="1"/>
  <c r="AJ794" i="1"/>
  <c r="AJ793" i="1"/>
  <c r="AJ790" i="1"/>
  <c r="AJ789" i="1"/>
  <c r="AJ786" i="1"/>
  <c r="AJ779" i="1"/>
  <c r="AJ776" i="1"/>
  <c r="AJ775" i="1"/>
  <c r="AJ773" i="1"/>
  <c r="AJ772" i="1"/>
  <c r="AJ768" i="1"/>
  <c r="AJ767" i="1"/>
  <c r="AJ763" i="1"/>
  <c r="AJ762" i="1"/>
  <c r="AJ760" i="1"/>
  <c r="AJ759" i="1"/>
  <c r="AJ756" i="1"/>
  <c r="AJ750" i="1"/>
  <c r="AJ744" i="1"/>
  <c r="AJ743" i="1"/>
  <c r="AJ740" i="1"/>
  <c r="AJ736" i="1"/>
  <c r="AJ730" i="1"/>
  <c r="AJ729" i="1"/>
  <c r="AJ719" i="1"/>
  <c r="AJ714" i="1"/>
  <c r="AJ712" i="1"/>
  <c r="AJ711" i="1"/>
  <c r="AJ709" i="1"/>
  <c r="AJ708" i="1"/>
  <c r="AJ705" i="1"/>
  <c r="AJ704" i="1"/>
  <c r="AJ699" i="1"/>
  <c r="AJ698" i="1"/>
  <c r="AJ691" i="1"/>
  <c r="AJ688" i="1"/>
  <c r="AJ682" i="1"/>
  <c r="AJ679" i="1"/>
  <c r="AJ672" i="1"/>
  <c r="AJ671" i="1"/>
  <c r="AJ669" i="1"/>
  <c r="AJ664" i="1"/>
  <c r="AJ661" i="1"/>
  <c r="AJ660" i="1"/>
  <c r="AJ657" i="1"/>
  <c r="AJ650" i="1"/>
  <c r="AJ648" i="1"/>
  <c r="AJ647" i="1"/>
  <c r="AJ644" i="1"/>
  <c r="AJ643" i="1"/>
  <c r="AJ639" i="1"/>
  <c r="AJ638" i="1"/>
  <c r="AJ636" i="1"/>
  <c r="AJ635" i="1"/>
  <c r="AJ633" i="1"/>
  <c r="AJ632" i="1"/>
  <c r="AJ629" i="1"/>
  <c r="AJ628" i="1"/>
  <c r="AJ620" i="1"/>
  <c r="AJ619" i="1"/>
  <c r="AJ616" i="1"/>
  <c r="AJ615" i="1"/>
  <c r="AJ610" i="1"/>
  <c r="AJ609" i="1"/>
  <c r="AJ606" i="1"/>
  <c r="AJ602" i="1"/>
  <c r="AJ600" i="1"/>
  <c r="AJ599" i="1"/>
  <c r="AJ597" i="1"/>
  <c r="AJ596" i="1"/>
  <c r="AJ591" i="1"/>
  <c r="AJ590" i="1"/>
  <c r="AJ588" i="1"/>
  <c r="AJ587" i="1"/>
  <c r="AJ585" i="1"/>
  <c r="AJ584" i="1"/>
  <c r="AJ582" i="1"/>
  <c r="AJ581" i="1"/>
  <c r="AJ579" i="1"/>
  <c r="AJ578" i="1"/>
  <c r="AJ576" i="1"/>
  <c r="AJ568" i="1"/>
  <c r="AJ564" i="1"/>
  <c r="AJ561" i="1"/>
  <c r="AJ558" i="1"/>
  <c r="AJ557" i="1"/>
  <c r="AJ554" i="1"/>
  <c r="AJ553" i="1"/>
  <c r="AJ550" i="1"/>
  <c r="AJ549" i="1"/>
  <c r="AJ544" i="1"/>
  <c r="AJ543" i="1"/>
  <c r="AJ540" i="1"/>
  <c r="AJ539" i="1"/>
  <c r="AJ535" i="1"/>
  <c r="AJ530" i="1"/>
  <c r="AJ528" i="1"/>
  <c r="AJ527" i="1"/>
  <c r="AJ524" i="1"/>
  <c r="AJ523" i="1"/>
  <c r="AJ519" i="1"/>
  <c r="AJ518" i="1"/>
  <c r="AJ511" i="1"/>
  <c r="AJ510" i="1"/>
  <c r="AJ508" i="1"/>
  <c r="AJ498" i="1"/>
  <c r="AJ491" i="1"/>
  <c r="AJ490" i="1"/>
  <c r="AJ485" i="1"/>
  <c r="AJ484" i="1"/>
  <c r="AJ479" i="1"/>
  <c r="AJ478" i="1"/>
  <c r="AJ474" i="1"/>
  <c r="AJ470" i="1"/>
  <c r="AJ466" i="1"/>
  <c r="AJ465" i="1"/>
  <c r="AJ455" i="1"/>
  <c r="AJ451" i="1"/>
  <c r="AJ450" i="1"/>
  <c r="AJ446" i="1"/>
  <c r="AJ445" i="1"/>
  <c r="AJ439" i="1"/>
  <c r="AJ433" i="1"/>
  <c r="AJ428" i="1"/>
  <c r="AJ427" i="1"/>
  <c r="AJ424" i="1"/>
  <c r="AJ423" i="1"/>
  <c r="AJ420" i="1"/>
  <c r="AJ419" i="1"/>
  <c r="AJ417" i="1"/>
  <c r="AJ413" i="1"/>
  <c r="AJ411" i="1"/>
  <c r="AJ438" i="1"/>
  <c r="AJ434" i="1"/>
  <c r="AJ410" i="1"/>
  <c r="AJ407" i="1"/>
  <c r="AJ406" i="1"/>
  <c r="AJ404" i="1"/>
  <c r="AJ400" i="1"/>
  <c r="AJ392" i="1"/>
  <c r="AJ391" i="1"/>
  <c r="AJ388" i="1"/>
  <c r="AJ387" i="1"/>
  <c r="AJ383" i="1"/>
  <c r="AJ382" i="1"/>
  <c r="AJ377" i="1"/>
  <c r="AJ376" i="1"/>
  <c r="AJ374" i="1"/>
  <c r="AJ373" i="1"/>
  <c r="AJ369" i="1"/>
  <c r="AJ368" i="1"/>
  <c r="AJ366" i="1"/>
  <c r="AJ365" i="1"/>
  <c r="AJ362" i="1"/>
  <c r="AJ361" i="1"/>
  <c r="AJ359" i="1"/>
  <c r="AJ358" i="1"/>
  <c r="AJ354" i="1"/>
  <c r="AJ353" i="1"/>
  <c r="AJ350" i="1"/>
  <c r="AJ349" i="1"/>
  <c r="AJ346" i="1"/>
  <c r="AJ345" i="1"/>
  <c r="AJ342" i="1"/>
  <c r="AJ341" i="1"/>
  <c r="AJ338" i="1"/>
  <c r="AJ337" i="1"/>
  <c r="AJ333" i="1"/>
  <c r="AJ332" i="1"/>
  <c r="AJ328" i="1"/>
  <c r="AJ324" i="1"/>
  <c r="AJ322" i="1"/>
  <c r="AJ321" i="1"/>
  <c r="AJ320" i="1"/>
  <c r="AJ319" i="1"/>
  <c r="AJ313" i="1"/>
  <c r="AJ309" i="1"/>
  <c r="AJ307" i="1"/>
  <c r="AJ306" i="1"/>
  <c r="AJ303" i="1"/>
  <c r="AJ302" i="1"/>
  <c r="AJ296" i="1"/>
  <c r="AJ289" i="1"/>
  <c r="AJ286" i="1"/>
  <c r="AJ285" i="1"/>
  <c r="AJ280" i="1"/>
  <c r="AJ279" i="1"/>
  <c r="AJ274" i="1"/>
  <c r="AJ273" i="1"/>
  <c r="AJ270" i="1"/>
  <c r="AJ269" i="1"/>
  <c r="AJ265" i="1"/>
  <c r="AJ264" i="1"/>
  <c r="AJ262" i="1"/>
  <c r="AJ261" i="1"/>
  <c r="AJ256" i="1"/>
  <c r="AJ255" i="1"/>
  <c r="AJ247" i="1"/>
  <c r="AJ246" i="1"/>
  <c r="AJ243" i="1"/>
  <c r="AJ242" i="1"/>
  <c r="AJ237" i="1"/>
  <c r="AJ236" i="1"/>
  <c r="AJ221" i="1"/>
  <c r="AJ220" i="1"/>
  <c r="AJ218" i="1"/>
  <c r="AJ217" i="1"/>
  <c r="AJ214" i="1"/>
  <c r="AJ213" i="1"/>
  <c r="AJ209" i="1"/>
  <c r="AJ208" i="1"/>
  <c r="AJ204" i="1"/>
  <c r="AJ203" i="1"/>
  <c r="AJ191" i="1"/>
  <c r="AJ190" i="1"/>
  <c r="AJ185" i="1"/>
  <c r="AJ184" i="1"/>
  <c r="AJ180" i="1"/>
  <c r="AJ179" i="1"/>
  <c r="AJ174" i="1"/>
  <c r="AJ173" i="1"/>
  <c r="AJ170" i="1"/>
  <c r="AJ169" i="1"/>
  <c r="AJ164" i="1"/>
  <c r="AJ163" i="1"/>
  <c r="AJ160" i="1"/>
  <c r="AJ159" i="1"/>
  <c r="AJ150" i="1"/>
  <c r="AJ149" i="1"/>
  <c r="AJ144" i="1"/>
  <c r="AJ143" i="1"/>
  <c r="AJ137" i="1"/>
  <c r="AJ136" i="1"/>
  <c r="AJ131" i="1"/>
  <c r="AJ130" i="1"/>
  <c r="AJ126" i="1"/>
  <c r="AJ125" i="1"/>
  <c r="AJ123" i="1"/>
  <c r="AJ119" i="1"/>
  <c r="AJ112" i="1"/>
  <c r="AJ111" i="1"/>
  <c r="AJ108" i="1"/>
  <c r="AJ107" i="1"/>
  <c r="AJ105" i="1"/>
  <c r="AJ104" i="1"/>
  <c r="AJ101" i="1"/>
  <c r="AJ100" i="1"/>
  <c r="AJ92" i="1"/>
  <c r="AJ91" i="1"/>
  <c r="AJ87" i="1"/>
  <c r="AJ86" i="1"/>
  <c r="AJ80" i="1"/>
  <c r="AJ79" i="1"/>
  <c r="AJ72" i="1"/>
  <c r="AJ71" i="1"/>
  <c r="AJ69" i="1"/>
  <c r="AJ68" i="1"/>
  <c r="AJ65" i="1"/>
  <c r="AJ64" i="1"/>
  <c r="AJ62" i="1"/>
  <c r="AJ61" i="1"/>
  <c r="AJ59" i="1"/>
  <c r="AJ58" i="1"/>
  <c r="AJ54" i="1"/>
  <c r="AJ50" i="1"/>
  <c r="AJ48" i="1"/>
  <c r="AJ47" i="1"/>
  <c r="AJ44" i="1"/>
  <c r="AJ43" i="1"/>
  <c r="AJ39" i="1"/>
  <c r="AJ30" i="1"/>
  <c r="AJ29" i="1"/>
  <c r="AJ25" i="1"/>
  <c r="AJ24" i="1"/>
  <c r="AJ22" i="1"/>
  <c r="AJ21" i="1"/>
  <c r="AJ19" i="1"/>
  <c r="AJ18" i="1"/>
  <c r="AJ16" i="1"/>
  <c r="AJ15" i="1"/>
  <c r="Z1159" i="1"/>
  <c r="Z1156" i="1"/>
  <c r="Z573" i="1"/>
  <c r="Z1388" i="1"/>
  <c r="Z1386" i="1"/>
  <c r="Z1400" i="1"/>
  <c r="Z1398" i="1"/>
  <c r="Z1753" i="1"/>
  <c r="Z1746" i="1"/>
  <c r="Z1744" i="1"/>
  <c r="Z1743" i="1"/>
  <c r="Z1741" i="1"/>
  <c r="Z1725" i="1"/>
  <c r="Z1723" i="1"/>
  <c r="Z1737" i="1"/>
  <c r="Z1735" i="1"/>
  <c r="Z1734" i="1"/>
  <c r="Z1732" i="1"/>
  <c r="Z1722" i="1"/>
  <c r="Z1720" i="1"/>
  <c r="Z1719" i="1"/>
  <c r="Z1717" i="1"/>
  <c r="Z1716" i="1"/>
  <c r="Z1713" i="1"/>
  <c r="Z1709" i="1"/>
  <c r="Z1706" i="1"/>
  <c r="Z1705" i="1"/>
  <c r="Z1702" i="1"/>
  <c r="Z1701" i="1"/>
  <c r="Z1699" i="1"/>
  <c r="Z1698" i="1"/>
  <c r="Z1696" i="1"/>
  <c r="Z1695" i="1"/>
  <c r="Z1693" i="1"/>
  <c r="Z1692" i="1"/>
  <c r="Z1687" i="1"/>
  <c r="Z1686" i="1"/>
  <c r="Z1683" i="1"/>
  <c r="Z1682" i="1"/>
  <c r="Z1679" i="1"/>
  <c r="Z1678" i="1"/>
  <c r="Z1675" i="1"/>
  <c r="Z1674" i="1"/>
  <c r="Z1670" i="1"/>
  <c r="Z1667" i="1"/>
  <c r="Z1663" i="1"/>
  <c r="Z1661" i="1"/>
  <c r="Z1660" i="1"/>
  <c r="Z1656" i="1"/>
  <c r="Z1655" i="1"/>
  <c r="Z1652" i="1"/>
  <c r="Z1651" i="1"/>
  <c r="Z1648" i="1"/>
  <c r="Z1647" i="1"/>
  <c r="Z1645" i="1"/>
  <c r="Z1644" i="1"/>
  <c r="Z1642" i="1"/>
  <c r="Z1641" i="1"/>
  <c r="Z1638" i="1"/>
  <c r="Z1637" i="1"/>
  <c r="Z1633" i="1"/>
  <c r="Z1626" i="1"/>
  <c r="Z1624" i="1"/>
  <c r="Z1623" i="1"/>
  <c r="Z1620" i="1"/>
  <c r="Z1613" i="1"/>
  <c r="Z1612" i="1"/>
  <c r="Z1611" i="1"/>
  <c r="Z1605" i="1"/>
  <c r="Z1604" i="1"/>
  <c r="Z1599" i="1"/>
  <c r="Z1598" i="1"/>
  <c r="Z1596" i="1"/>
  <c r="Z1592" i="1"/>
  <c r="Z1590" i="1"/>
  <c r="Z1586" i="1"/>
  <c r="Z1583" i="1"/>
  <c r="Z1579" i="1"/>
  <c r="Z1576" i="1"/>
  <c r="Z1575" i="1"/>
  <c r="Z1573" i="1"/>
  <c r="Z1569" i="1"/>
  <c r="Z1567" i="1"/>
  <c r="Z1566" i="1"/>
  <c r="Z1562" i="1"/>
  <c r="Z1561" i="1"/>
  <c r="Z1558" i="1"/>
  <c r="Z1557" i="1"/>
  <c r="Z1554" i="1"/>
  <c r="Z1553" i="1"/>
  <c r="Z1551" i="1"/>
  <c r="Z1547" i="1"/>
  <c r="Z1543" i="1"/>
  <c r="Z1542" i="1"/>
  <c r="Z1538" i="1"/>
  <c r="Z1534" i="1"/>
  <c r="Z1533" i="1"/>
  <c r="Z1531" i="1"/>
  <c r="Z1530" i="1"/>
  <c r="Z1525" i="1"/>
  <c r="Z1524" i="1"/>
  <c r="Z1521" i="1"/>
  <c r="Z1520" i="1"/>
  <c r="Z1518" i="1"/>
  <c r="Z1517" i="1"/>
  <c r="Z1515" i="1"/>
  <c r="Z1514" i="1"/>
  <c r="Z1510" i="1"/>
  <c r="Z1509" i="1"/>
  <c r="Z1506" i="1"/>
  <c r="Z1505" i="1"/>
  <c r="Z1502" i="1"/>
  <c r="Z1499" i="1"/>
  <c r="Z1498" i="1"/>
  <c r="Z1495" i="1"/>
  <c r="Z1491" i="1"/>
  <c r="Z1489" i="1"/>
  <c r="Z1482" i="1"/>
  <c r="Z1480" i="1"/>
  <c r="Z1488" i="1"/>
  <c r="Z1486" i="1"/>
  <c r="Z1479" i="1"/>
  <c r="Z1477" i="1"/>
  <c r="Z1472" i="1"/>
  <c r="Z1471" i="1"/>
  <c r="Z1464" i="1"/>
  <c r="Z1461" i="1"/>
  <c r="Z1457" i="1"/>
  <c r="Z1453" i="1"/>
  <c r="Z1452" i="1"/>
  <c r="Z1449" i="1"/>
  <c r="Z1447" i="1"/>
  <c r="Z1446" i="1"/>
  <c r="Z1443" i="1"/>
  <c r="Z1442" i="1"/>
  <c r="Z1440" i="1"/>
  <c r="Z1439" i="1"/>
  <c r="Z1435" i="1"/>
  <c r="Z1434" i="1"/>
  <c r="Z1432" i="1"/>
  <c r="Z1431" i="1"/>
  <c r="Z1428" i="1"/>
  <c r="Z1427" i="1"/>
  <c r="Z1425" i="1"/>
  <c r="Z1419" i="1"/>
  <c r="Z1417" i="1"/>
  <c r="Z1397" i="1"/>
  <c r="Z1395" i="1"/>
  <c r="Z1394" i="1"/>
  <c r="Z1392" i="1"/>
  <c r="Z1385" i="1"/>
  <c r="Z1384" i="1"/>
  <c r="Z1383" i="1"/>
  <c r="Z1381" i="1"/>
  <c r="Z1380" i="1"/>
  <c r="Z1371" i="1"/>
  <c r="Z1366" i="1"/>
  <c r="Z1361" i="1"/>
  <c r="Z1357" i="1"/>
  <c r="Z1354" i="1"/>
  <c r="Z1352" i="1"/>
  <c r="Z1348" i="1"/>
  <c r="Z1346" i="1"/>
  <c r="Z1345" i="1"/>
  <c r="Z1342" i="1"/>
  <c r="Z1340" i="1"/>
  <c r="Z1336" i="1"/>
  <c r="Z1334" i="1"/>
  <c r="Z1333" i="1"/>
  <c r="Z1330" i="1"/>
  <c r="Z1329" i="1"/>
  <c r="Z1328" i="1"/>
  <c r="Z1327" i="1"/>
  <c r="Z1325" i="1"/>
  <c r="Z1324" i="1"/>
  <c r="Z1320" i="1"/>
  <c r="Z1319" i="1"/>
  <c r="Z1316" i="1"/>
  <c r="Z1315" i="1"/>
  <c r="Z1313" i="1"/>
  <c r="Z1312" i="1"/>
  <c r="Z1308" i="1"/>
  <c r="Z1307" i="1"/>
  <c r="Z1303" i="1"/>
  <c r="Z1299" i="1"/>
  <c r="Z1294" i="1"/>
  <c r="Z1293" i="1"/>
  <c r="Z1290" i="1"/>
  <c r="Z1289" i="1"/>
  <c r="Z1286" i="1"/>
  <c r="Z1285" i="1"/>
  <c r="Z1282" i="1"/>
  <c r="Z1281" i="1"/>
  <c r="Z1278" i="1"/>
  <c r="Z1277" i="1"/>
  <c r="Z1275" i="1"/>
  <c r="Z1274" i="1"/>
  <c r="Z1271" i="1"/>
  <c r="Z1270" i="1"/>
  <c r="Z1268" i="1"/>
  <c r="Z1267" i="1"/>
  <c r="Z1265" i="1"/>
  <c r="Z1261" i="1"/>
  <c r="Z1259" i="1"/>
  <c r="Z1258" i="1"/>
  <c r="Z1255" i="1"/>
  <c r="Z1254" i="1"/>
  <c r="Z1251" i="1"/>
  <c r="Z1250" i="1"/>
  <c r="Z1248" i="1"/>
  <c r="Z1247" i="1"/>
  <c r="Z1245" i="1"/>
  <c r="Z1244" i="1"/>
  <c r="Z1242" i="1"/>
  <c r="Z1241" i="1"/>
  <c r="Z1238" i="1"/>
  <c r="Z1237" i="1"/>
  <c r="Z1235" i="1"/>
  <c r="Z1231" i="1"/>
  <c r="Z1227" i="1"/>
  <c r="Z1226" i="1"/>
  <c r="Z1223" i="1"/>
  <c r="Z1222" i="1"/>
  <c r="Z1220" i="1"/>
  <c r="Z1219" i="1"/>
  <c r="Z1216" i="1"/>
  <c r="Z1215" i="1"/>
  <c r="Z1213" i="1"/>
  <c r="Z1212" i="1"/>
  <c r="Z1208" i="1"/>
  <c r="Z1207" i="1"/>
  <c r="Z1205" i="1"/>
  <c r="Z1204" i="1"/>
  <c r="Z1197" i="1"/>
  <c r="Z1196" i="1"/>
  <c r="Z1194" i="1"/>
  <c r="Z1193" i="1"/>
  <c r="Z1191" i="1"/>
  <c r="Z1190" i="1"/>
  <c r="Z1188" i="1"/>
  <c r="Z1187" i="1"/>
  <c r="Z1184" i="1"/>
  <c r="Z1183" i="1"/>
  <c r="Z1180" i="1"/>
  <c r="Z1179" i="1"/>
  <c r="Z1177" i="1"/>
  <c r="Z1176" i="1"/>
  <c r="Z1173" i="1"/>
  <c r="Z1172" i="1"/>
  <c r="Z1167" i="1"/>
  <c r="Z1163" i="1"/>
  <c r="Z1160" i="1"/>
  <c r="Z1155" i="1"/>
  <c r="Z1153" i="1"/>
  <c r="Z1152" i="1"/>
  <c r="Z1148" i="1"/>
  <c r="Z1147" i="1"/>
  <c r="Z1141" i="1"/>
  <c r="Z1140" i="1"/>
  <c r="Z1133" i="1"/>
  <c r="Z1132" i="1"/>
  <c r="Z1129" i="1"/>
  <c r="Z1128" i="1"/>
  <c r="Z1124" i="1"/>
  <c r="Z1123" i="1"/>
  <c r="Z1119" i="1"/>
  <c r="Z1118" i="1"/>
  <c r="Z1115" i="1"/>
  <c r="Z1114" i="1"/>
  <c r="Z1112" i="1"/>
  <c r="Z1100" i="1"/>
  <c r="Z1099" i="1"/>
  <c r="Z1067" i="1"/>
  <c r="Z1063" i="1"/>
  <c r="Z1095" i="1"/>
  <c r="Z1092" i="1"/>
  <c r="Z1087" i="1"/>
  <c r="Z1084" i="1"/>
  <c r="Z1080" i="1"/>
  <c r="Z1078" i="1"/>
  <c r="Z1074" i="1"/>
  <c r="Z1071" i="1"/>
  <c r="Z1070" i="1"/>
  <c r="Z1068" i="1"/>
  <c r="Z1062" i="1"/>
  <c r="Z1060" i="1"/>
  <c r="Z1059" i="1"/>
  <c r="Z1057" i="1"/>
  <c r="Z1056" i="1"/>
  <c r="Z1050" i="1"/>
  <c r="Z1045" i="1"/>
  <c r="Z1044" i="1"/>
  <c r="Z1042" i="1"/>
  <c r="Z1041" i="1"/>
  <c r="Z1038" i="1"/>
  <c r="Z1037" i="1"/>
  <c r="Z1035" i="1"/>
  <c r="Z1034" i="1"/>
  <c r="Z1031" i="1"/>
  <c r="Z1030" i="1"/>
  <c r="Z1027" i="1"/>
  <c r="Z1026" i="1"/>
  <c r="Z1022" i="1"/>
  <c r="Z1021" i="1"/>
  <c r="Z1017" i="1"/>
  <c r="Z1016" i="1"/>
  <c r="Z1011" i="1"/>
  <c r="Z1010" i="1"/>
  <c r="Z1007" i="1"/>
  <c r="Z1006" i="1"/>
  <c r="Z1003" i="1"/>
  <c r="Z1002" i="1"/>
  <c r="Z1000" i="1"/>
  <c r="Z999" i="1"/>
  <c r="Z992" i="1"/>
  <c r="Z991" i="1"/>
  <c r="Z987" i="1"/>
  <c r="Z986" i="1"/>
  <c r="Z984" i="1"/>
  <c r="Z983" i="1"/>
  <c r="Z978" i="1"/>
  <c r="Z977" i="1"/>
  <c r="Z975" i="1"/>
  <c r="Z974" i="1"/>
  <c r="Z972" i="1"/>
  <c r="Z971" i="1"/>
  <c r="Z969" i="1"/>
  <c r="Z968" i="1"/>
  <c r="Z964" i="1"/>
  <c r="Z963" i="1"/>
  <c r="Z957" i="1"/>
  <c r="Z935" i="1"/>
  <c r="Z932" i="1"/>
  <c r="Z956" i="1"/>
  <c r="Z950" i="1"/>
  <c r="Z949" i="1"/>
  <c r="Z947" i="1"/>
  <c r="Z946" i="1"/>
  <c r="Z943" i="1"/>
  <c r="Z942" i="1"/>
  <c r="Z936" i="1"/>
  <c r="Z931" i="1"/>
  <c r="Z929" i="1"/>
  <c r="Z928" i="1"/>
  <c r="Z925" i="1"/>
  <c r="Z924" i="1"/>
  <c r="Z921" i="1"/>
  <c r="Z915" i="1"/>
  <c r="Z913" i="1"/>
  <c r="Z785" i="1"/>
  <c r="Z780" i="1"/>
  <c r="Z908" i="1"/>
  <c r="Z905" i="1"/>
  <c r="Z904" i="1"/>
  <c r="Z900" i="1"/>
  <c r="Z899" i="1"/>
  <c r="Z896" i="1"/>
  <c r="Z891" i="1"/>
  <c r="Z887" i="1"/>
  <c r="Z886" i="1"/>
  <c r="Z882" i="1"/>
  <c r="Z881" i="1"/>
  <c r="Z876" i="1"/>
  <c r="Z875" i="1"/>
  <c r="Z873" i="1"/>
  <c r="Z872" i="1"/>
  <c r="Z868" i="1"/>
  <c r="Z867" i="1"/>
  <c r="Z857" i="1"/>
  <c r="Z856" i="1"/>
  <c r="Z854" i="1"/>
  <c r="Z853" i="1"/>
  <c r="Z848" i="1"/>
  <c r="Z847" i="1"/>
  <c r="Z843" i="1"/>
  <c r="Z842" i="1"/>
  <c r="Z839" i="1"/>
  <c r="Z838" i="1"/>
  <c r="Z834" i="1"/>
  <c r="Z833" i="1"/>
  <c r="Z828" i="1"/>
  <c r="Z827" i="1"/>
  <c r="Z825" i="1"/>
  <c r="Z824" i="1"/>
  <c r="Z822" i="1"/>
  <c r="Z818" i="1"/>
  <c r="Z815" i="1"/>
  <c r="Z814" i="1"/>
  <c r="Z810" i="1"/>
  <c r="Z809" i="1"/>
  <c r="Z802" i="1"/>
  <c r="Z801" i="1"/>
  <c r="Z799" i="1"/>
  <c r="Z798" i="1"/>
  <c r="Z794" i="1"/>
  <c r="Z793" i="1"/>
  <c r="Z790" i="1"/>
  <c r="Z789" i="1"/>
  <c r="Z786" i="1"/>
  <c r="Z779" i="1"/>
  <c r="Z776" i="1"/>
  <c r="Z775" i="1"/>
  <c r="Z773" i="1"/>
  <c r="Z772" i="1"/>
  <c r="Z768" i="1"/>
  <c r="Z767" i="1"/>
  <c r="Z763" i="1"/>
  <c r="Z762" i="1"/>
  <c r="Z760" i="1"/>
  <c r="Z759" i="1"/>
  <c r="Z756" i="1"/>
  <c r="Z750" i="1"/>
  <c r="Z744" i="1"/>
  <c r="Z743" i="1"/>
  <c r="Z740" i="1"/>
  <c r="Z736" i="1"/>
  <c r="Z730" i="1"/>
  <c r="Z729" i="1"/>
  <c r="Z719" i="1"/>
  <c r="Z714" i="1"/>
  <c r="Z712" i="1"/>
  <c r="Z711" i="1"/>
  <c r="Z709" i="1"/>
  <c r="Z708" i="1"/>
  <c r="Z705" i="1"/>
  <c r="Z704" i="1"/>
  <c r="Z699" i="1"/>
  <c r="Z698" i="1"/>
  <c r="Z691" i="1"/>
  <c r="Z688" i="1"/>
  <c r="Z682" i="1"/>
  <c r="Z679" i="1"/>
  <c r="Z672" i="1"/>
  <c r="Z671" i="1"/>
  <c r="Z669" i="1"/>
  <c r="Z664" i="1"/>
  <c r="Z661" i="1"/>
  <c r="Z660" i="1"/>
  <c r="Z657" i="1"/>
  <c r="Z650" i="1"/>
  <c r="Z648" i="1"/>
  <c r="Z647" i="1"/>
  <c r="Z643" i="1"/>
  <c r="Z638" i="1"/>
  <c r="Z636" i="1"/>
  <c r="Z635" i="1"/>
  <c r="Z633" i="1"/>
  <c r="Z632" i="1"/>
  <c r="Z629" i="1"/>
  <c r="Z628" i="1"/>
  <c r="Z620" i="1"/>
  <c r="Z619" i="1"/>
  <c r="Z616" i="1"/>
  <c r="Z615" i="1"/>
  <c r="Z610" i="1"/>
  <c r="Z609" i="1"/>
  <c r="Z606" i="1"/>
  <c r="Z602" i="1"/>
  <c r="Z600" i="1"/>
  <c r="Z599" i="1"/>
  <c r="Z597" i="1"/>
  <c r="Z596" i="1"/>
  <c r="Z590" i="1"/>
  <c r="Z588" i="1"/>
  <c r="Z587" i="1"/>
  <c r="Z585" i="1"/>
  <c r="Z584" i="1"/>
  <c r="Z582" i="1"/>
  <c r="Z581" i="1"/>
  <c r="Z579" i="1"/>
  <c r="Z578" i="1"/>
  <c r="Z576" i="1"/>
  <c r="Z568" i="1"/>
  <c r="Z564" i="1"/>
  <c r="Z561" i="1"/>
  <c r="Z558" i="1"/>
  <c r="Z557" i="1"/>
  <c r="Z554" i="1"/>
  <c r="Z553" i="1"/>
  <c r="Z550" i="1"/>
  <c r="Z549" i="1"/>
  <c r="Z543" i="1"/>
  <c r="Z540" i="1"/>
  <c r="Z539" i="1"/>
  <c r="Z535" i="1"/>
  <c r="Z530" i="1"/>
  <c r="Z528" i="1"/>
  <c r="Z527" i="1"/>
  <c r="Z524" i="1"/>
  <c r="Z523" i="1"/>
  <c r="Z519" i="1"/>
  <c r="Z518" i="1"/>
  <c r="Z511" i="1"/>
  <c r="Z510" i="1"/>
  <c r="Z498" i="1"/>
  <c r="Z491" i="1"/>
  <c r="Z490" i="1"/>
  <c r="Z485" i="1"/>
  <c r="Z484" i="1"/>
  <c r="Z479" i="1"/>
  <c r="Z478" i="1"/>
  <c r="Z474" i="1"/>
  <c r="Z470" i="1"/>
  <c r="Z466" i="1"/>
  <c r="Z465" i="1"/>
  <c r="Z455" i="1"/>
  <c r="Z451" i="1"/>
  <c r="Z450" i="1"/>
  <c r="Z446" i="1"/>
  <c r="Z445" i="1"/>
  <c r="Z439" i="1"/>
  <c r="Z433" i="1"/>
  <c r="Z428" i="1"/>
  <c r="Z427" i="1"/>
  <c r="Z424" i="1"/>
  <c r="Z423" i="1"/>
  <c r="Z420" i="1"/>
  <c r="Z419" i="1"/>
  <c r="Z417" i="1"/>
  <c r="Z413" i="1"/>
  <c r="Z411" i="1"/>
  <c r="Z438" i="1"/>
  <c r="Z434" i="1"/>
  <c r="Z410" i="1"/>
  <c r="Z407" i="1"/>
  <c r="Z406" i="1"/>
  <c r="Z404" i="1"/>
  <c r="Z400" i="1"/>
  <c r="Z392" i="1"/>
  <c r="Z391" i="1"/>
  <c r="Z388" i="1"/>
  <c r="Z387" i="1"/>
  <c r="Z383" i="1"/>
  <c r="Z382" i="1"/>
  <c r="Z377" i="1"/>
  <c r="Z376" i="1"/>
  <c r="Z374" i="1"/>
  <c r="Z373" i="1"/>
  <c r="Z369" i="1"/>
  <c r="Z368" i="1"/>
  <c r="Z366" i="1"/>
  <c r="Z365" i="1"/>
  <c r="Z362" i="1"/>
  <c r="Z361" i="1"/>
  <c r="Z359" i="1"/>
  <c r="Z358" i="1"/>
  <c r="Z354" i="1"/>
  <c r="Z353" i="1"/>
  <c r="Z350" i="1"/>
  <c r="Z349" i="1"/>
  <c r="Z346" i="1"/>
  <c r="Z345" i="1"/>
  <c r="Z342" i="1"/>
  <c r="Z341" i="1"/>
  <c r="Z338" i="1"/>
  <c r="Z337" i="1"/>
  <c r="Z333" i="1"/>
  <c r="Z332" i="1"/>
  <c r="Z328" i="1"/>
  <c r="Z324" i="1"/>
  <c r="Z322" i="1"/>
  <c r="Z321" i="1"/>
  <c r="Z320" i="1"/>
  <c r="Z319" i="1"/>
  <c r="Z313" i="1"/>
  <c r="Z309" i="1"/>
  <c r="Z307" i="1"/>
  <c r="Z306" i="1"/>
  <c r="Z303" i="1"/>
  <c r="Z302" i="1"/>
  <c r="Z296" i="1"/>
  <c r="Z289" i="1"/>
  <c r="Z286" i="1"/>
  <c r="Z285" i="1"/>
  <c r="Z280" i="1"/>
  <c r="Z279" i="1"/>
  <c r="Z274" i="1"/>
  <c r="Z273" i="1"/>
  <c r="Z270" i="1"/>
  <c r="Z269" i="1"/>
  <c r="Z265" i="1"/>
  <c r="Z264" i="1"/>
  <c r="Z262" i="1"/>
  <c r="Z261" i="1"/>
  <c r="Z256" i="1"/>
  <c r="Z255" i="1"/>
  <c r="Z247" i="1"/>
  <c r="Z246" i="1"/>
  <c r="Z243" i="1"/>
  <c r="Z242" i="1"/>
  <c r="Z237" i="1"/>
  <c r="Z236" i="1"/>
  <c r="Z221" i="1"/>
  <c r="Z220" i="1"/>
  <c r="Z218" i="1"/>
  <c r="Z217" i="1"/>
  <c r="Z214" i="1"/>
  <c r="Z213" i="1"/>
  <c r="Z209" i="1"/>
  <c r="Z208" i="1"/>
  <c r="Z204" i="1"/>
  <c r="Z203" i="1"/>
  <c r="Z191" i="1"/>
  <c r="Z190" i="1"/>
  <c r="Z185" i="1"/>
  <c r="Z184" i="1"/>
  <c r="Z180" i="1"/>
  <c r="Z179" i="1"/>
  <c r="Z174" i="1"/>
  <c r="Z173" i="1"/>
  <c r="Z170" i="1"/>
  <c r="Z169" i="1"/>
  <c r="Z164" i="1"/>
  <c r="Z163" i="1"/>
  <c r="Z160" i="1"/>
  <c r="Z159" i="1"/>
  <c r="Z150" i="1"/>
  <c r="Z149" i="1"/>
  <c r="Z144" i="1"/>
  <c r="Z143" i="1"/>
  <c r="Z137" i="1"/>
  <c r="Z136" i="1"/>
  <c r="Z131" i="1"/>
  <c r="Z130" i="1"/>
  <c r="Z126" i="1"/>
  <c r="Z125" i="1"/>
  <c r="Z123" i="1"/>
  <c r="Z119" i="1"/>
  <c r="Z112" i="1"/>
  <c r="Z111" i="1"/>
  <c r="Z108" i="1"/>
  <c r="Z107" i="1"/>
  <c r="Z105" i="1"/>
  <c r="Z104" i="1"/>
  <c r="Z101" i="1"/>
  <c r="Z100" i="1"/>
  <c r="Z92" i="1"/>
  <c r="Z91" i="1"/>
  <c r="Z87" i="1"/>
  <c r="Z86" i="1"/>
  <c r="Z80" i="1"/>
  <c r="Z79" i="1"/>
  <c r="Z72" i="1"/>
  <c r="Z71" i="1"/>
  <c r="Z69" i="1"/>
  <c r="Z68" i="1"/>
  <c r="Z65" i="1"/>
  <c r="Z64" i="1"/>
  <c r="Z62" i="1"/>
  <c r="Z61" i="1"/>
  <c r="Z59" i="1"/>
  <c r="Z58" i="1"/>
  <c r="Z54" i="1"/>
  <c r="Z50" i="1"/>
  <c r="Z48" i="1"/>
  <c r="Z47" i="1"/>
  <c r="Z44" i="1"/>
  <c r="Z43" i="1"/>
  <c r="Z39" i="1"/>
  <c r="Z30" i="1"/>
  <c r="Z29" i="1"/>
  <c r="Z25" i="1"/>
  <c r="Z24" i="1"/>
  <c r="Z22" i="1"/>
  <c r="Z21" i="1"/>
  <c r="Z19" i="1"/>
  <c r="Z18" i="1"/>
  <c r="Z16" i="1"/>
  <c r="Z15" i="1"/>
  <c r="Z17" i="1"/>
  <c r="AE706" i="1"/>
  <c r="V706" i="1"/>
  <c r="S706" i="1"/>
  <c r="Z10" i="1"/>
  <c r="Z706" i="1"/>
  <c r="AE1689" i="1"/>
  <c r="V1689" i="1"/>
  <c r="S1689" i="1"/>
  <c r="AE489" i="1"/>
  <c r="V489" i="1"/>
  <c r="S489" i="1"/>
  <c r="AE331" i="1"/>
  <c r="V331" i="1"/>
  <c r="S331" i="1"/>
  <c r="AE784" i="1"/>
  <c r="V784" i="1"/>
  <c r="S784" i="1"/>
  <c r="S171" i="1"/>
  <c r="V171" i="1"/>
  <c r="AE171" i="1"/>
  <c r="Z784" i="1"/>
  <c r="Z1689" i="1"/>
  <c r="Z171" i="1"/>
  <c r="Z331" i="1"/>
  <c r="Z489" i="1"/>
  <c r="AB4" i="1"/>
  <c r="AB11" i="1"/>
  <c r="Z11" i="1"/>
  <c r="J3" i="1"/>
  <c r="J8" i="1"/>
  <c r="AB1753" i="1"/>
  <c r="AB1746" i="1"/>
  <c r="AB1744" i="1"/>
  <c r="AB1743" i="1"/>
  <c r="AB1741" i="1"/>
  <c r="AB1725" i="1"/>
  <c r="AB1723" i="1"/>
  <c r="AB1737" i="1"/>
  <c r="AB1735" i="1"/>
  <c r="AB1734" i="1"/>
  <c r="AB1732" i="1"/>
  <c r="AB1722" i="1"/>
  <c r="AB1720" i="1"/>
  <c r="AB1719" i="1"/>
  <c r="AB1717" i="1"/>
  <c r="AB1716" i="1"/>
  <c r="AB1713" i="1"/>
  <c r="AB1709" i="1"/>
  <c r="AB1706" i="1"/>
  <c r="AB1705" i="1"/>
  <c r="AB1702" i="1"/>
  <c r="AB1701" i="1"/>
  <c r="AB1699" i="1"/>
  <c r="AB1698" i="1"/>
  <c r="AB1696" i="1"/>
  <c r="AB1695" i="1"/>
  <c r="AB1693" i="1"/>
  <c r="AB1692" i="1"/>
  <c r="AB1687" i="1"/>
  <c r="AB1686" i="1"/>
  <c r="AB1683" i="1"/>
  <c r="AB1682" i="1"/>
  <c r="AB1679" i="1"/>
  <c r="AB1678" i="1"/>
  <c r="AB1675" i="1"/>
  <c r="AB1674" i="1"/>
  <c r="AB1671" i="1"/>
  <c r="AB1670" i="1"/>
  <c r="AB1667" i="1"/>
  <c r="AB1663" i="1"/>
  <c r="AB1661" i="1"/>
  <c r="AB1660" i="1"/>
  <c r="AB1656" i="1"/>
  <c r="AB1655" i="1"/>
  <c r="AB1652" i="1"/>
  <c r="AB1651" i="1"/>
  <c r="AB1648" i="1"/>
  <c r="AB1647" i="1"/>
  <c r="AB1645" i="1"/>
  <c r="AB1644" i="1"/>
  <c r="AB1642" i="1"/>
  <c r="AB1641" i="1"/>
  <c r="AB1638" i="1"/>
  <c r="AB1637" i="1"/>
  <c r="AB1633" i="1"/>
  <c r="AB1626" i="1"/>
  <c r="AB1624" i="1"/>
  <c r="AB1623" i="1"/>
  <c r="AB1620" i="1"/>
  <c r="AB1613" i="1"/>
  <c r="AB1612" i="1"/>
  <c r="AB1611" i="1"/>
  <c r="AB1605" i="1"/>
  <c r="AB1604" i="1"/>
  <c r="AB1599" i="1"/>
  <c r="AB1598" i="1"/>
  <c r="AB1596" i="1"/>
  <c r="AB1592" i="1"/>
  <c r="AB1590" i="1"/>
  <c r="AB1586" i="1"/>
  <c r="AB1583" i="1"/>
  <c r="AB1579" i="1"/>
  <c r="AB1576" i="1"/>
  <c r="AB1575" i="1"/>
  <c r="AB1573" i="1"/>
  <c r="AB1569" i="1"/>
  <c r="AB1567" i="1"/>
  <c r="AB1566" i="1"/>
  <c r="AB1562" i="1"/>
  <c r="AB1561" i="1"/>
  <c r="AB1558" i="1"/>
  <c r="AB1557" i="1"/>
  <c r="AB1554" i="1"/>
  <c r="AB1553" i="1"/>
  <c r="AB1551" i="1"/>
  <c r="AB1547" i="1"/>
  <c r="AB1543" i="1"/>
  <c r="AB1542" i="1"/>
  <c r="AB1539" i="1"/>
  <c r="AB1538" i="1"/>
  <c r="AB1534" i="1"/>
  <c r="AB1533" i="1"/>
  <c r="AB1531" i="1"/>
  <c r="AB1530" i="1"/>
  <c r="AB1525" i="1"/>
  <c r="AB1524" i="1"/>
  <c r="AB1521" i="1"/>
  <c r="AB1520" i="1"/>
  <c r="AB1518" i="1"/>
  <c r="AB1517" i="1"/>
  <c r="AB1515" i="1"/>
  <c r="AB1514" i="1"/>
  <c r="AB1510" i="1"/>
  <c r="AB1509" i="1"/>
  <c r="AB1506" i="1"/>
  <c r="AB1505" i="1"/>
  <c r="AB1503" i="1"/>
  <c r="AB1502" i="1"/>
  <c r="AB1499" i="1"/>
  <c r="AB1498" i="1"/>
  <c r="AB1495" i="1"/>
  <c r="AB1491" i="1"/>
  <c r="AB1489" i="1"/>
  <c r="AB1482" i="1"/>
  <c r="AB1480" i="1"/>
  <c r="AB1488" i="1"/>
  <c r="AB1486" i="1"/>
  <c r="AB1479" i="1"/>
  <c r="AB1477" i="1"/>
  <c r="AB1472" i="1"/>
  <c r="AB1471" i="1"/>
  <c r="AB1464" i="1"/>
  <c r="AB1461" i="1"/>
  <c r="AB1457" i="1"/>
  <c r="AB1453" i="1"/>
  <c r="AB1452" i="1"/>
  <c r="AB1450" i="1"/>
  <c r="AB1449" i="1"/>
  <c r="AB1447" i="1"/>
  <c r="AB1446" i="1"/>
  <c r="AB1443" i="1"/>
  <c r="AB1442" i="1"/>
  <c r="AB1440" i="1"/>
  <c r="AB1439" i="1"/>
  <c r="AB1435" i="1"/>
  <c r="AB1434" i="1"/>
  <c r="AB1432" i="1"/>
  <c r="AB1431" i="1"/>
  <c r="AB1428" i="1"/>
  <c r="AB1427" i="1"/>
  <c r="AB1425" i="1"/>
  <c r="AB1419" i="1"/>
  <c r="AB1417" i="1"/>
  <c r="AB1397" i="1"/>
  <c r="AB1395" i="1"/>
  <c r="AB1394" i="1"/>
  <c r="AB1392" i="1"/>
  <c r="AB1385" i="1"/>
  <c r="AB1384" i="1"/>
  <c r="AB1383" i="1"/>
  <c r="AB1381" i="1"/>
  <c r="AB1380" i="1"/>
  <c r="AB1372" i="1"/>
  <c r="AB1371" i="1"/>
  <c r="AB1367" i="1"/>
  <c r="AB1366" i="1"/>
  <c r="AB1361" i="1"/>
  <c r="AB1357" i="1"/>
  <c r="AB1354" i="1"/>
  <c r="AB1352" i="1"/>
  <c r="AB1348" i="1"/>
  <c r="AB1346" i="1"/>
  <c r="AB1345" i="1"/>
  <c r="AB1343" i="1"/>
  <c r="AB1342" i="1"/>
  <c r="AB1340" i="1"/>
  <c r="AB1336" i="1"/>
  <c r="AB1334" i="1"/>
  <c r="AB1333" i="1"/>
  <c r="AB1330" i="1"/>
  <c r="AB1329" i="1"/>
  <c r="AB1328" i="1"/>
  <c r="AB1327" i="1"/>
  <c r="AB1325" i="1"/>
  <c r="AB1324" i="1"/>
  <c r="AB1320" i="1"/>
  <c r="AB1319" i="1"/>
  <c r="AB1316" i="1"/>
  <c r="AB1315" i="1"/>
  <c r="AB1313" i="1"/>
  <c r="AB1312" i="1"/>
  <c r="AB1308" i="1"/>
  <c r="AB1307" i="1"/>
  <c r="AB1303" i="1"/>
  <c r="AB1299" i="1"/>
  <c r="AB1294" i="1"/>
  <c r="AB1293" i="1"/>
  <c r="AB1290" i="1"/>
  <c r="AB1289" i="1"/>
  <c r="AB1286" i="1"/>
  <c r="AB1285" i="1"/>
  <c r="AB1282" i="1"/>
  <c r="AB1281" i="1"/>
  <c r="AB1278" i="1"/>
  <c r="AB1277" i="1"/>
  <c r="AB1275" i="1"/>
  <c r="AB1274" i="1"/>
  <c r="AB1271" i="1"/>
  <c r="AB1270" i="1"/>
  <c r="AB1268" i="1"/>
  <c r="AB1267" i="1"/>
  <c r="AB1265" i="1"/>
  <c r="AB1261" i="1"/>
  <c r="AB1259" i="1"/>
  <c r="AB1258" i="1"/>
  <c r="AB1255" i="1"/>
  <c r="AB1254" i="1"/>
  <c r="AB1251" i="1"/>
  <c r="AB1250" i="1"/>
  <c r="AB1248" i="1"/>
  <c r="AB1247" i="1"/>
  <c r="AB1245" i="1"/>
  <c r="AB1244" i="1"/>
  <c r="AB1242" i="1"/>
  <c r="AB1241" i="1"/>
  <c r="AB1238" i="1"/>
  <c r="AB1237" i="1"/>
  <c r="AB1235" i="1"/>
  <c r="AB1231" i="1"/>
  <c r="AB1227" i="1"/>
  <c r="AB1226" i="1"/>
  <c r="AB1223" i="1"/>
  <c r="AB1222" i="1"/>
  <c r="AB1220" i="1"/>
  <c r="AB1219" i="1"/>
  <c r="AB1216" i="1"/>
  <c r="AB1215" i="1"/>
  <c r="AB1213" i="1"/>
  <c r="AB1212" i="1"/>
  <c r="AB1208" i="1"/>
  <c r="AB1207" i="1"/>
  <c r="AB1205" i="1"/>
  <c r="AB1204" i="1"/>
  <c r="AB1197" i="1"/>
  <c r="AB1196" i="1"/>
  <c r="AB1194" i="1"/>
  <c r="AB1193" i="1"/>
  <c r="AB1191" i="1"/>
  <c r="AB1190" i="1"/>
  <c r="AB1188" i="1"/>
  <c r="AB1187" i="1"/>
  <c r="AB1184" i="1"/>
  <c r="AB1183" i="1"/>
  <c r="AB1180" i="1"/>
  <c r="AB1179" i="1"/>
  <c r="AB1177" i="1"/>
  <c r="AB1176" i="1"/>
  <c r="AB1173" i="1"/>
  <c r="AB1172" i="1"/>
  <c r="AB1167" i="1"/>
  <c r="AB1163" i="1"/>
  <c r="AB1160" i="1"/>
  <c r="AB1155" i="1"/>
  <c r="AB1153" i="1"/>
  <c r="AB1152" i="1"/>
  <c r="AB1148" i="1"/>
  <c r="AB1147" i="1"/>
  <c r="AB1141" i="1"/>
  <c r="AB1140" i="1"/>
  <c r="AB1133" i="1"/>
  <c r="AB1132" i="1"/>
  <c r="AB1129" i="1"/>
  <c r="AB1128" i="1"/>
  <c r="AB1124" i="1"/>
  <c r="AB1123" i="1"/>
  <c r="AB1119" i="1"/>
  <c r="AB1118" i="1"/>
  <c r="AB1115" i="1"/>
  <c r="AB1114" i="1"/>
  <c r="AB1112" i="1"/>
  <c r="AB1100" i="1"/>
  <c r="AB1099" i="1"/>
  <c r="AB1067" i="1"/>
  <c r="AB1063" i="1"/>
  <c r="AB1095" i="1"/>
  <c r="AB1092" i="1"/>
  <c r="AB1087" i="1"/>
  <c r="AB1084" i="1"/>
  <c r="AB1080" i="1"/>
  <c r="AB1078" i="1"/>
  <c r="AB1074" i="1"/>
  <c r="AB1071" i="1"/>
  <c r="AB1070" i="1"/>
  <c r="AB1068" i="1"/>
  <c r="AB1062" i="1"/>
  <c r="AB1060" i="1"/>
  <c r="AB1059" i="1"/>
  <c r="AB1057" i="1"/>
  <c r="AB1056" i="1"/>
  <c r="AB1050" i="1"/>
  <c r="AB1045" i="1"/>
  <c r="AB1044" i="1"/>
  <c r="AB1042" i="1"/>
  <c r="AB1041" i="1"/>
  <c r="AB1038" i="1"/>
  <c r="AB1037" i="1"/>
  <c r="AB1035" i="1"/>
  <c r="AB1034" i="1"/>
  <c r="AB1031" i="1"/>
  <c r="AB1030" i="1"/>
  <c r="AB1027" i="1"/>
  <c r="AB1026" i="1"/>
  <c r="AB1022" i="1"/>
  <c r="AB1021" i="1"/>
  <c r="AB1017" i="1"/>
  <c r="AB1016" i="1"/>
  <c r="AB1011" i="1"/>
  <c r="AB1010" i="1"/>
  <c r="AB1007" i="1"/>
  <c r="AB1006" i="1"/>
  <c r="AB1003" i="1"/>
  <c r="AB1002" i="1"/>
  <c r="AB1000" i="1"/>
  <c r="AB999" i="1"/>
  <c r="AB992" i="1"/>
  <c r="AB991" i="1"/>
  <c r="AB987" i="1"/>
  <c r="AB986" i="1"/>
  <c r="AB984" i="1"/>
  <c r="AB983" i="1"/>
  <c r="AB978" i="1"/>
  <c r="AB977" i="1"/>
  <c r="AB975" i="1"/>
  <c r="AB974" i="1"/>
  <c r="AB972" i="1"/>
  <c r="AB971" i="1"/>
  <c r="AB969" i="1"/>
  <c r="AB968" i="1"/>
  <c r="AB964" i="1"/>
  <c r="AB963" i="1"/>
  <c r="AB957" i="1"/>
  <c r="AB935" i="1"/>
  <c r="AB932" i="1"/>
  <c r="AB956" i="1"/>
  <c r="AB950" i="1"/>
  <c r="AB949" i="1"/>
  <c r="AB947" i="1"/>
  <c r="AB946" i="1"/>
  <c r="AB943" i="1"/>
  <c r="AB942" i="1"/>
  <c r="AB936" i="1"/>
  <c r="AB931" i="1"/>
  <c r="AB929" i="1"/>
  <c r="AB928" i="1"/>
  <c r="AB925" i="1"/>
  <c r="AB924" i="1"/>
  <c r="AB921" i="1"/>
  <c r="AB915" i="1"/>
  <c r="AB913" i="1"/>
  <c r="AB785" i="1"/>
  <c r="AB780" i="1"/>
  <c r="AB908" i="1"/>
  <c r="AB905" i="1"/>
  <c r="AB904" i="1"/>
  <c r="AB900" i="1"/>
  <c r="AB899" i="1"/>
  <c r="AB896" i="1"/>
  <c r="AB891" i="1"/>
  <c r="AB887" i="1"/>
  <c r="AB886" i="1"/>
  <c r="AB882" i="1"/>
  <c r="AB881" i="1"/>
  <c r="AB876" i="1"/>
  <c r="AB875" i="1"/>
  <c r="AB873" i="1"/>
  <c r="AB872" i="1"/>
  <c r="AB868" i="1"/>
  <c r="AB867" i="1"/>
  <c r="AB857" i="1"/>
  <c r="AB856" i="1"/>
  <c r="AB854" i="1"/>
  <c r="AB853" i="1"/>
  <c r="AB848" i="1"/>
  <c r="AB847" i="1"/>
  <c r="AB843" i="1"/>
  <c r="AB842" i="1"/>
  <c r="AB839" i="1"/>
  <c r="AB838" i="1"/>
  <c r="AB834" i="1"/>
  <c r="AB833" i="1"/>
  <c r="AB828" i="1"/>
  <c r="AB827" i="1"/>
  <c r="AB825" i="1"/>
  <c r="AB824" i="1"/>
  <c r="AB822" i="1"/>
  <c r="AB818" i="1"/>
  <c r="AB815" i="1"/>
  <c r="AB814" i="1"/>
  <c r="AB810" i="1"/>
  <c r="AB809" i="1"/>
  <c r="AB802" i="1"/>
  <c r="AB801" i="1"/>
  <c r="AB799" i="1"/>
  <c r="AB798" i="1"/>
  <c r="AB794" i="1"/>
  <c r="AB793" i="1"/>
  <c r="AB790" i="1"/>
  <c r="AB789" i="1"/>
  <c r="AB786" i="1"/>
  <c r="AB779" i="1"/>
  <c r="AB776" i="1"/>
  <c r="AB775" i="1"/>
  <c r="AB773" i="1"/>
  <c r="AB772" i="1"/>
  <c r="AB768" i="1"/>
  <c r="AB767" i="1"/>
  <c r="AB763" i="1"/>
  <c r="AB762" i="1"/>
  <c r="AB760" i="1"/>
  <c r="AB759" i="1"/>
  <c r="AB756" i="1"/>
  <c r="AB750" i="1"/>
  <c r="AB744" i="1"/>
  <c r="AB743" i="1"/>
  <c r="AB740" i="1"/>
  <c r="AB736" i="1"/>
  <c r="AB730" i="1"/>
  <c r="AB729" i="1"/>
  <c r="AB719" i="1"/>
  <c r="AB714" i="1"/>
  <c r="AB712" i="1"/>
  <c r="AB711" i="1"/>
  <c r="AB709" i="1"/>
  <c r="AB708" i="1"/>
  <c r="AB705" i="1"/>
  <c r="AB704" i="1"/>
  <c r="AB699" i="1"/>
  <c r="AB698" i="1"/>
  <c r="AB691" i="1"/>
  <c r="AB688" i="1"/>
  <c r="AB682" i="1"/>
  <c r="AB679" i="1"/>
  <c r="AB672" i="1"/>
  <c r="AB671" i="1"/>
  <c r="AB669" i="1"/>
  <c r="AB664" i="1"/>
  <c r="AB661" i="1"/>
  <c r="AB660" i="1"/>
  <c r="AB657" i="1"/>
  <c r="AB650" i="1"/>
  <c r="AB648" i="1"/>
  <c r="AB647" i="1"/>
  <c r="AB644" i="1"/>
  <c r="AB643" i="1"/>
  <c r="AB639" i="1"/>
  <c r="AB638" i="1"/>
  <c r="AB636" i="1"/>
  <c r="AB635" i="1"/>
  <c r="AB633" i="1"/>
  <c r="AB632" i="1"/>
  <c r="AB629" i="1"/>
  <c r="AB628" i="1"/>
  <c r="AB620" i="1"/>
  <c r="AB619" i="1"/>
  <c r="AB616" i="1"/>
  <c r="AB615" i="1"/>
  <c r="AB610" i="1"/>
  <c r="AB609" i="1"/>
  <c r="AB606" i="1"/>
  <c r="AB602" i="1"/>
  <c r="AB600" i="1"/>
  <c r="AB599" i="1"/>
  <c r="AB597" i="1"/>
  <c r="AB596" i="1"/>
  <c r="AB591" i="1"/>
  <c r="AB590" i="1"/>
  <c r="AB588" i="1"/>
  <c r="AB587" i="1"/>
  <c r="AB585" i="1"/>
  <c r="AB584" i="1"/>
  <c r="AB582" i="1"/>
  <c r="AB581" i="1"/>
  <c r="AB579" i="1"/>
  <c r="AB578" i="1"/>
  <c r="AB576" i="1"/>
  <c r="AB568" i="1"/>
  <c r="AB564" i="1"/>
  <c r="AB561" i="1"/>
  <c r="AB558" i="1"/>
  <c r="AB557" i="1"/>
  <c r="AB554" i="1"/>
  <c r="AB553" i="1"/>
  <c r="AB550" i="1"/>
  <c r="AB549" i="1"/>
  <c r="AB544" i="1"/>
  <c r="AB543" i="1"/>
  <c r="AB540" i="1"/>
  <c r="AB539" i="1"/>
  <c r="AB535" i="1"/>
  <c r="AB530" i="1"/>
  <c r="AB528" i="1"/>
  <c r="AB527" i="1"/>
  <c r="AB524" i="1"/>
  <c r="AB523" i="1"/>
  <c r="AB519" i="1"/>
  <c r="AB518" i="1"/>
  <c r="AB511" i="1"/>
  <c r="AB510" i="1"/>
  <c r="AB498" i="1"/>
  <c r="AB491" i="1"/>
  <c r="AB490" i="1"/>
  <c r="AB485" i="1"/>
  <c r="AB484" i="1"/>
  <c r="AB479" i="1"/>
  <c r="AB478" i="1"/>
  <c r="AB474" i="1"/>
  <c r="AB470" i="1"/>
  <c r="AB466" i="1"/>
  <c r="AB465" i="1"/>
  <c r="AB455" i="1"/>
  <c r="AB451" i="1"/>
  <c r="AB450" i="1"/>
  <c r="AB446" i="1"/>
  <c r="AB445" i="1"/>
  <c r="AB439" i="1"/>
  <c r="AB433" i="1"/>
  <c r="AB428" i="1"/>
  <c r="AB427" i="1"/>
  <c r="AB424" i="1"/>
  <c r="AB423" i="1"/>
  <c r="AB420" i="1"/>
  <c r="AB419" i="1"/>
  <c r="AB417" i="1"/>
  <c r="AB413" i="1"/>
  <c r="AB411" i="1"/>
  <c r="AB438" i="1"/>
  <c r="AB434" i="1"/>
  <c r="AB410" i="1"/>
  <c r="AB407" i="1"/>
  <c r="AB406" i="1"/>
  <c r="AB404" i="1"/>
  <c r="AB400" i="1"/>
  <c r="AB392" i="1"/>
  <c r="AB391" i="1"/>
  <c r="AB388" i="1"/>
  <c r="AB387" i="1"/>
  <c r="AB383" i="1"/>
  <c r="AB382" i="1"/>
  <c r="AB377" i="1"/>
  <c r="AB376" i="1"/>
  <c r="AB374" i="1"/>
  <c r="AB373" i="1"/>
  <c r="AB369" i="1"/>
  <c r="AB368" i="1"/>
  <c r="AB366" i="1"/>
  <c r="AB365" i="1"/>
  <c r="AB362" i="1"/>
  <c r="AB361" i="1"/>
  <c r="AB359" i="1"/>
  <c r="AB358" i="1"/>
  <c r="AB354" i="1"/>
  <c r="AB353" i="1"/>
  <c r="AB350" i="1"/>
  <c r="AB349" i="1"/>
  <c r="AB346" i="1"/>
  <c r="AB345" i="1"/>
  <c r="AB342" i="1"/>
  <c r="AB341" i="1"/>
  <c r="AB338" i="1"/>
  <c r="AB337" i="1"/>
  <c r="AB333" i="1"/>
  <c r="AB332" i="1"/>
  <c r="AB328" i="1"/>
  <c r="AB324" i="1"/>
  <c r="AB322" i="1"/>
  <c r="AB321" i="1"/>
  <c r="AB320" i="1"/>
  <c r="AB319" i="1"/>
  <c r="AB313" i="1"/>
  <c r="AB309" i="1"/>
  <c r="AB307" i="1"/>
  <c r="AB306" i="1"/>
  <c r="AB303" i="1"/>
  <c r="AB302" i="1"/>
  <c r="AB296" i="1"/>
  <c r="AB289" i="1"/>
  <c r="AB286" i="1"/>
  <c r="AB285" i="1"/>
  <c r="AB280" i="1"/>
  <c r="AB279" i="1"/>
  <c r="AB274" i="1"/>
  <c r="AB273" i="1"/>
  <c r="AB270" i="1"/>
  <c r="AB269" i="1"/>
  <c r="AB265" i="1"/>
  <c r="AB264" i="1"/>
  <c r="AB262" i="1"/>
  <c r="AB261" i="1"/>
  <c r="AB256" i="1"/>
  <c r="AB255" i="1"/>
  <c r="AB247" i="1"/>
  <c r="AB246" i="1"/>
  <c r="AB243" i="1"/>
  <c r="AB242" i="1"/>
  <c r="AB237" i="1"/>
  <c r="AB236" i="1"/>
  <c r="AB221" i="1"/>
  <c r="AB220" i="1"/>
  <c r="AB218" i="1"/>
  <c r="AB217" i="1"/>
  <c r="AB214" i="1"/>
  <c r="AB213" i="1"/>
  <c r="AB209" i="1"/>
  <c r="AB208" i="1"/>
  <c r="AB204" i="1"/>
  <c r="AB203" i="1"/>
  <c r="AB191" i="1"/>
  <c r="AB190" i="1"/>
  <c r="AB185" i="1"/>
  <c r="AB184" i="1"/>
  <c r="AB180" i="1"/>
  <c r="AB179" i="1"/>
  <c r="AB174" i="1"/>
  <c r="AB173" i="1"/>
  <c r="AB170" i="1"/>
  <c r="AB169" i="1"/>
  <c r="AB164" i="1"/>
  <c r="AB163" i="1"/>
  <c r="AB160" i="1"/>
  <c r="AB159" i="1"/>
  <c r="AB150" i="1"/>
  <c r="AB149" i="1"/>
  <c r="AB144" i="1"/>
  <c r="AB143" i="1"/>
  <c r="AB137" i="1"/>
  <c r="AB136" i="1"/>
  <c r="AB131" i="1"/>
  <c r="AB130" i="1"/>
  <c r="AB126" i="1"/>
  <c r="AB125" i="1"/>
  <c r="AB123" i="1"/>
  <c r="AB119" i="1"/>
  <c r="AB112" i="1"/>
  <c r="AB111" i="1"/>
  <c r="AB108" i="1"/>
  <c r="AB107" i="1"/>
  <c r="AB105" i="1"/>
  <c r="AB104" i="1"/>
  <c r="AB101" i="1"/>
  <c r="AB100" i="1"/>
  <c r="AB92" i="1"/>
  <c r="AB91" i="1"/>
  <c r="AB87" i="1"/>
  <c r="AB86" i="1"/>
  <c r="AB80" i="1"/>
  <c r="AB79" i="1"/>
  <c r="AB72" i="1"/>
  <c r="AB71" i="1"/>
  <c r="AB69" i="1"/>
  <c r="AB68" i="1"/>
  <c r="AB65" i="1"/>
  <c r="AB64" i="1"/>
  <c r="AB62" i="1"/>
  <c r="AB61" i="1"/>
  <c r="AB59" i="1"/>
  <c r="AB58" i="1"/>
  <c r="AB54" i="1"/>
  <c r="AB50" i="1"/>
  <c r="AB48" i="1"/>
  <c r="AB47" i="1"/>
  <c r="AB44" i="1"/>
  <c r="AB43" i="1"/>
  <c r="AB39" i="1"/>
  <c r="AB30" i="1"/>
  <c r="AB29" i="1"/>
  <c r="AB25" i="1"/>
  <c r="AB24" i="1"/>
  <c r="AB22" i="1"/>
  <c r="AB21" i="1"/>
  <c r="AB19" i="1"/>
  <c r="AB18" i="1"/>
  <c r="AB16" i="1"/>
  <c r="AB15" i="1"/>
  <c r="S1657" i="1"/>
  <c r="V1657" i="1"/>
  <c r="AE1657" i="1"/>
  <c r="AE1680" i="1"/>
  <c r="V1680" i="1"/>
  <c r="S1680" i="1"/>
  <c r="AE1640" i="1"/>
  <c r="V1640" i="1"/>
  <c r="S1640" i="1"/>
  <c r="AE1546" i="1"/>
  <c r="V1546" i="1"/>
  <c r="S1546" i="1"/>
  <c r="AE1563" i="1"/>
  <c r="V1563" i="1"/>
  <c r="S1563" i="1"/>
  <c r="AE1451" i="1"/>
  <c r="V1451" i="1"/>
  <c r="S1451" i="1"/>
  <c r="AE1437" i="1"/>
  <c r="V1437" i="1"/>
  <c r="S1437" i="1"/>
  <c r="AE1335" i="1"/>
  <c r="V1335" i="1"/>
  <c r="S1335" i="1"/>
  <c r="AE1253" i="1"/>
  <c r="V1253" i="1"/>
  <c r="S1253" i="1"/>
  <c r="AE1252" i="1"/>
  <c r="V1252" i="1"/>
  <c r="S1252" i="1"/>
  <c r="AE1221" i="1"/>
  <c r="V1221" i="1"/>
  <c r="S1221" i="1"/>
  <c r="AE1305" i="1"/>
  <c r="V1305" i="1"/>
  <c r="S1305" i="1"/>
  <c r="AE1296" i="1"/>
  <c r="V1296" i="1"/>
  <c r="S1296" i="1"/>
  <c r="AE1284" i="1"/>
  <c r="V1284" i="1"/>
  <c r="S1284" i="1"/>
  <c r="AE1322" i="1"/>
  <c r="V1322" i="1"/>
  <c r="S1322" i="1"/>
  <c r="AE1321" i="1"/>
  <c r="V1321" i="1"/>
  <c r="S1321" i="1"/>
  <c r="AE1317" i="1"/>
  <c r="V1317" i="1"/>
  <c r="S1317" i="1"/>
  <c r="AE1150" i="1"/>
  <c r="V1150" i="1"/>
  <c r="S1150" i="1"/>
  <c r="AE1229" i="1"/>
  <c r="V1229" i="1"/>
  <c r="S1229" i="1"/>
  <c r="AE1137" i="1"/>
  <c r="V1137" i="1"/>
  <c r="S1137" i="1"/>
  <c r="AE1121" i="1"/>
  <c r="V1121" i="1"/>
  <c r="S1121" i="1"/>
  <c r="AE981" i="1"/>
  <c r="V981" i="1"/>
  <c r="S981" i="1"/>
  <c r="AE1012" i="1"/>
  <c r="V1012" i="1"/>
  <c r="S1012" i="1"/>
  <c r="AE1025" i="1"/>
  <c r="V1025" i="1"/>
  <c r="S1025" i="1"/>
  <c r="AE914" i="1"/>
  <c r="V914" i="1"/>
  <c r="S914" i="1"/>
  <c r="AE788" i="1"/>
  <c r="V788" i="1"/>
  <c r="S788" i="1"/>
  <c r="Z1296" i="1"/>
  <c r="Z1546" i="1"/>
  <c r="Z1150" i="1"/>
  <c r="Z1221" i="1"/>
  <c r="Z1680" i="1"/>
  <c r="Z1321" i="1"/>
  <c r="Z1253" i="1"/>
  <c r="Z1563" i="1"/>
  <c r="Z1137" i="1"/>
  <c r="Z1657" i="1"/>
  <c r="Z1284" i="1"/>
  <c r="Z788" i="1"/>
  <c r="Z1229" i="1"/>
  <c r="Z914" i="1"/>
  <c r="Z1305" i="1"/>
  <c r="Z1640" i="1"/>
  <c r="Z1012" i="1"/>
  <c r="Z1317" i="1"/>
  <c r="Z981" i="1"/>
  <c r="Z1025" i="1"/>
  <c r="Z1252" i="1"/>
  <c r="Z1322" i="1"/>
  <c r="Z1121" i="1"/>
  <c r="Z1335" i="1"/>
  <c r="Z1451" i="1"/>
  <c r="Z1437" i="1"/>
  <c r="AE625" i="1"/>
  <c r="V625" i="1"/>
  <c r="S625" i="1"/>
  <c r="AE658" i="1"/>
  <c r="V658" i="1"/>
  <c r="S658" i="1"/>
  <c r="AE637" i="1"/>
  <c r="V637" i="1"/>
  <c r="S637" i="1"/>
  <c r="Z625" i="1"/>
  <c r="Z658" i="1"/>
  <c r="Z637" i="1"/>
  <c r="AE516" i="1"/>
  <c r="V516" i="1"/>
  <c r="S516" i="1"/>
  <c r="AE517" i="1"/>
  <c r="V517" i="1"/>
  <c r="S517" i="1"/>
  <c r="AE421" i="1"/>
  <c r="V421" i="1"/>
  <c r="S421" i="1"/>
  <c r="AE906" i="1"/>
  <c r="V906" i="1"/>
  <c r="S906" i="1"/>
  <c r="AE796" i="1"/>
  <c r="V796" i="1"/>
  <c r="S796" i="1"/>
  <c r="AE888" i="1"/>
  <c r="V888" i="1"/>
  <c r="S888" i="1"/>
  <c r="AE850" i="1"/>
  <c r="V850" i="1"/>
  <c r="S850" i="1"/>
  <c r="AE849" i="1"/>
  <c r="V849" i="1"/>
  <c r="S849" i="1"/>
  <c r="V848" i="1"/>
  <c r="AE848" i="1"/>
  <c r="AI848" i="1"/>
  <c r="AE158" i="1"/>
  <c r="V158" i="1"/>
  <c r="S158" i="1"/>
  <c r="AE862" i="1"/>
  <c r="V862" i="1"/>
  <c r="S862" i="1"/>
  <c r="AE127" i="1"/>
  <c r="V127" i="1"/>
  <c r="S127" i="1"/>
  <c r="AE118" i="1"/>
  <c r="V118" i="1"/>
  <c r="S118" i="1"/>
  <c r="AE1508" i="1"/>
  <c r="V1508" i="1"/>
  <c r="S1508" i="1"/>
  <c r="AE248" i="1"/>
  <c r="V248" i="1"/>
  <c r="S248" i="1"/>
  <c r="AE96" i="1"/>
  <c r="V96" i="1"/>
  <c r="S96" i="1"/>
  <c r="AE93" i="1"/>
  <c r="V93" i="1"/>
  <c r="S93" i="1"/>
  <c r="AE1127" i="1"/>
  <c r="V1127" i="1"/>
  <c r="S1127" i="1"/>
  <c r="AE954" i="1"/>
  <c r="V954" i="1"/>
  <c r="S954" i="1"/>
  <c r="AE318" i="1"/>
  <c r="V318" i="1"/>
  <c r="S318" i="1"/>
  <c r="V299" i="1"/>
  <c r="S299" i="1"/>
  <c r="AE133" i="1"/>
  <c r="V133" i="1"/>
  <c r="S133" i="1"/>
  <c r="B1783" i="1"/>
  <c r="Z248" i="1"/>
  <c r="Z888" i="1"/>
  <c r="Z517" i="1"/>
  <c r="Z1508" i="1"/>
  <c r="Z796" i="1"/>
  <c r="Z849" i="1"/>
  <c r="Z862" i="1"/>
  <c r="Z133" i="1"/>
  <c r="Z96" i="1"/>
  <c r="Z850" i="1"/>
  <c r="Z158" i="1"/>
  <c r="Z93" i="1"/>
  <c r="Z421" i="1"/>
  <c r="Z516" i="1"/>
  <c r="Z318" i="1"/>
  <c r="Z906" i="1"/>
  <c r="Z118" i="1"/>
  <c r="Z1127" i="1"/>
  <c r="Z954" i="1"/>
  <c r="Z127" i="1"/>
  <c r="Z299" i="1"/>
  <c r="AE1040" i="1"/>
  <c r="V1040" i="1"/>
  <c r="S1040" i="1"/>
  <c r="AE781" i="1"/>
  <c r="V781" i="1"/>
  <c r="S781" i="1"/>
  <c r="AE41" i="1"/>
  <c r="V41" i="1"/>
  <c r="S41" i="1"/>
  <c r="AE234" i="1"/>
  <c r="V234" i="1"/>
  <c r="S234" i="1"/>
  <c r="AE231" i="1"/>
  <c r="V231" i="1"/>
  <c r="S231" i="1"/>
  <c r="AE226" i="1"/>
  <c r="V226" i="1"/>
  <c r="S226" i="1"/>
  <c r="AE177" i="1"/>
  <c r="V177" i="1"/>
  <c r="S177" i="1"/>
  <c r="AE732" i="1"/>
  <c r="V732" i="1"/>
  <c r="S732" i="1"/>
  <c r="AE724" i="1"/>
  <c r="V724" i="1"/>
  <c r="S724" i="1"/>
  <c r="AE721" i="1"/>
  <c r="V721" i="1"/>
  <c r="S721" i="1"/>
  <c r="AE613" i="1"/>
  <c r="V613" i="1"/>
  <c r="S613" i="1"/>
  <c r="AE13" i="1"/>
  <c r="V13" i="1"/>
  <c r="S13" i="1"/>
  <c r="AE12" i="1"/>
  <c r="V12" i="1"/>
  <c r="S12" i="1"/>
  <c r="V1642" i="1"/>
  <c r="AI1644" i="1"/>
  <c r="AE1644" i="1"/>
  <c r="AE1643" i="1"/>
  <c r="V1643" i="1"/>
  <c r="S1643" i="1"/>
  <c r="AI1642" i="1"/>
  <c r="AE1642" i="1"/>
  <c r="Z613" i="1"/>
  <c r="Z231" i="1"/>
  <c r="Z1643" i="1"/>
  <c r="Z234" i="1"/>
  <c r="Z1040" i="1"/>
  <c r="Z177" i="1"/>
  <c r="Z781" i="1"/>
  <c r="Z724" i="1"/>
  <c r="Z721" i="1"/>
  <c r="Z732" i="1"/>
  <c r="Z41" i="1"/>
  <c r="AE496" i="1"/>
  <c r="V496" i="1"/>
  <c r="S496" i="1"/>
  <c r="AE495" i="1"/>
  <c r="V495" i="1"/>
  <c r="S495" i="1"/>
  <c r="AE494" i="1"/>
  <c r="V494" i="1"/>
  <c r="S494" i="1"/>
  <c r="AE493" i="1"/>
  <c r="V493" i="1"/>
  <c r="S493" i="1"/>
  <c r="AE430" i="1"/>
  <c r="V430" i="1"/>
  <c r="S430" i="1"/>
  <c r="AE429" i="1"/>
  <c r="V429" i="1"/>
  <c r="S429" i="1"/>
  <c r="AE206" i="1"/>
  <c r="V206" i="1"/>
  <c r="S206" i="1"/>
  <c r="AE26" i="1"/>
  <c r="V26" i="1"/>
  <c r="S26" i="1"/>
  <c r="AE57" i="1"/>
  <c r="V57" i="1"/>
  <c r="S57" i="1"/>
  <c r="Z496" i="1"/>
  <c r="Z495" i="1"/>
  <c r="Z26" i="1"/>
  <c r="Z429" i="1"/>
  <c r="Z57" i="1"/>
  <c r="Z206" i="1"/>
  <c r="Z430" i="1"/>
  <c r="Z493" i="1"/>
  <c r="Z494" i="1"/>
  <c r="AE257" i="1"/>
  <c r="V257" i="1"/>
  <c r="S257" i="1"/>
  <c r="Z257" i="1"/>
  <c r="AE287" i="1"/>
  <c r="V287" i="1"/>
  <c r="S287" i="1"/>
  <c r="Z287" i="1"/>
  <c r="AE1650" i="1"/>
  <c r="V1650" i="1"/>
  <c r="S1650" i="1"/>
  <c r="AE1625" i="1"/>
  <c r="V1625" i="1"/>
  <c r="S1625" i="1"/>
  <c r="AE1635" i="1"/>
  <c r="V1635" i="1"/>
  <c r="S1635" i="1"/>
  <c r="Z1635" i="1"/>
  <c r="Z1650" i="1"/>
  <c r="Z1625" i="1"/>
  <c r="AI1505" i="1"/>
  <c r="AE1505" i="1"/>
  <c r="V1505" i="1"/>
  <c r="S1505" i="1"/>
  <c r="AE1504" i="1"/>
  <c r="V1504" i="1"/>
  <c r="S1504" i="1"/>
  <c r="AI1503" i="1"/>
  <c r="AE1503" i="1"/>
  <c r="AE1181" i="1"/>
  <c r="V1181" i="1"/>
  <c r="S1181" i="1"/>
  <c r="AJ1740" i="1"/>
  <c r="AI1740" i="1"/>
  <c r="AE1740" i="1"/>
  <c r="V1740" i="1"/>
  <c r="AE1739" i="1"/>
  <c r="V1739" i="1"/>
  <c r="U1739" i="1"/>
  <c r="T1739" i="1"/>
  <c r="S1739" i="1"/>
  <c r="AJ1738" i="1"/>
  <c r="AI1738" i="1"/>
  <c r="AE1738" i="1"/>
  <c r="V1738" i="1"/>
  <c r="Z1739" i="1"/>
  <c r="Z1504" i="1"/>
  <c r="Z1181" i="1"/>
  <c r="AI1494" i="1"/>
  <c r="AE1494" i="1"/>
  <c r="V1494" i="1"/>
  <c r="AE1493" i="1"/>
  <c r="V1493" i="1"/>
  <c r="U1493" i="1"/>
  <c r="T1493" i="1"/>
  <c r="S1493" i="1"/>
  <c r="AI1492" i="1"/>
  <c r="AE1492" i="1"/>
  <c r="X1493" i="1"/>
  <c r="Z1493" i="1"/>
  <c r="AI1604" i="1"/>
  <c r="AE1604" i="1"/>
  <c r="AE1603" i="1"/>
  <c r="V1603" i="1"/>
  <c r="S1603" i="1"/>
  <c r="AE1602" i="1"/>
  <c r="V1602" i="1"/>
  <c r="S1602" i="1"/>
  <c r="AE1601" i="1"/>
  <c r="V1601" i="1"/>
  <c r="S1601" i="1"/>
  <c r="AI1599" i="1"/>
  <c r="AE1599" i="1"/>
  <c r="V1599" i="1"/>
  <c r="AE1560" i="1"/>
  <c r="V1560" i="1"/>
  <c r="S1560" i="1"/>
  <c r="AI1561" i="1"/>
  <c r="AE1561" i="1"/>
  <c r="AI1558" i="1"/>
  <c r="AE1558" i="1"/>
  <c r="V1558" i="1"/>
  <c r="Z1602" i="1"/>
  <c r="Z1601" i="1"/>
  <c r="Z1603" i="1"/>
  <c r="Z1560" i="1"/>
  <c r="V772" i="1"/>
  <c r="S772" i="1"/>
  <c r="AJ1550" i="1"/>
  <c r="AI1550" i="1"/>
  <c r="AE1550" i="1"/>
  <c r="V1550" i="1"/>
  <c r="AE1549" i="1"/>
  <c r="V1549" i="1"/>
  <c r="U1549" i="1"/>
  <c r="T1549" i="1"/>
  <c r="S1549" i="1"/>
  <c r="AJ1548" i="1"/>
  <c r="AI1548" i="1"/>
  <c r="AE1548" i="1"/>
  <c r="V1548" i="1"/>
  <c r="AE189" i="1"/>
  <c r="V189" i="1"/>
  <c r="S189" i="1"/>
  <c r="Z1549" i="1"/>
  <c r="X1549" i="1"/>
  <c r="Z189" i="1"/>
  <c r="AE1291" i="1"/>
  <c r="V1291" i="1"/>
  <c r="S1291" i="1"/>
  <c r="AE31" i="1"/>
  <c r="V31" i="1"/>
  <c r="S31" i="1"/>
  <c r="Z1291" i="1"/>
  <c r="Z31" i="1"/>
  <c r="AE1130" i="1"/>
  <c r="V1130" i="1"/>
  <c r="S1130" i="1"/>
  <c r="AE1131" i="1"/>
  <c r="V1131" i="1"/>
  <c r="S1131" i="1"/>
  <c r="AE808" i="1"/>
  <c r="V808" i="1"/>
  <c r="S808" i="1"/>
  <c r="AE766" i="1"/>
  <c r="V766" i="1"/>
  <c r="S766" i="1"/>
  <c r="AE181" i="1"/>
  <c r="V181" i="1"/>
  <c r="S181" i="1"/>
  <c r="Z1130" i="1"/>
  <c r="Z181" i="1"/>
  <c r="Z766" i="1"/>
  <c r="Z808" i="1"/>
  <c r="Z1131" i="1"/>
  <c r="A9" i="1"/>
  <c r="AE33" i="1"/>
  <c r="V33" i="1"/>
  <c r="S33" i="1"/>
  <c r="AE1086" i="1"/>
  <c r="V1086" i="1"/>
  <c r="S1086" i="1"/>
  <c r="AI1226" i="1"/>
  <c r="AE1226" i="1"/>
  <c r="AE1225" i="1"/>
  <c r="V1225" i="1"/>
  <c r="S1225" i="1"/>
  <c r="AI1223" i="1"/>
  <c r="AE1223" i="1"/>
  <c r="V1223" i="1"/>
  <c r="V1160" i="1"/>
  <c r="AE1160" i="1"/>
  <c r="AI1160" i="1"/>
  <c r="Z33" i="1"/>
  <c r="Z1225" i="1"/>
  <c r="Z1086" i="1"/>
  <c r="AI1520" i="1"/>
  <c r="AE1520" i="1"/>
  <c r="AE1519" i="1"/>
  <c r="V1519" i="1"/>
  <c r="S1519" i="1"/>
  <c r="AI1518" i="1"/>
  <c r="AE1518" i="1"/>
  <c r="V1518" i="1"/>
  <c r="Z1519" i="1"/>
  <c r="S1688" i="1"/>
  <c r="V1688" i="1"/>
  <c r="AE1688" i="1"/>
  <c r="AE1610" i="1"/>
  <c r="V1610" i="1"/>
  <c r="S1610" i="1"/>
  <c r="AE1556" i="1"/>
  <c r="V1556" i="1"/>
  <c r="S1556" i="1"/>
  <c r="AE1577" i="1"/>
  <c r="V1577" i="1"/>
  <c r="S1577" i="1"/>
  <c r="AE1478" i="1"/>
  <c r="V1478" i="1"/>
  <c r="S1478" i="1"/>
  <c r="AE1423" i="1"/>
  <c r="V1423" i="1"/>
  <c r="U1423" i="1"/>
  <c r="T1423" i="1"/>
  <c r="S1423" i="1"/>
  <c r="S1426" i="1"/>
  <c r="V1426" i="1"/>
  <c r="AE1426" i="1"/>
  <c r="AE1331" i="1"/>
  <c r="V1331" i="1"/>
  <c r="S1331" i="1"/>
  <c r="S1288" i="1"/>
  <c r="V1288" i="1"/>
  <c r="AE1288" i="1"/>
  <c r="AE1203" i="1"/>
  <c r="V1203" i="1"/>
  <c r="S1203" i="1"/>
  <c r="S1198" i="1"/>
  <c r="V1198" i="1"/>
  <c r="AE1198" i="1"/>
  <c r="V1114" i="1"/>
  <c r="S1114" i="1"/>
  <c r="V1112" i="1"/>
  <c r="AE1065" i="1"/>
  <c r="V1065" i="1"/>
  <c r="S1065" i="1"/>
  <c r="V1051" i="1"/>
  <c r="AE1051" i="1"/>
  <c r="AI1051" i="1"/>
  <c r="AJ1051" i="1"/>
  <c r="S1052" i="1"/>
  <c r="V1052" i="1"/>
  <c r="AE1052" i="1"/>
  <c r="AE1053" i="1"/>
  <c r="AI1053" i="1"/>
  <c r="AJ1053" i="1"/>
  <c r="AE1036" i="1"/>
  <c r="V1036" i="1"/>
  <c r="S1036" i="1"/>
  <c r="AE996" i="1"/>
  <c r="V996" i="1"/>
  <c r="S996" i="1"/>
  <c r="AE995" i="1"/>
  <c r="V995" i="1"/>
  <c r="S995" i="1"/>
  <c r="AE980" i="1"/>
  <c r="V980" i="1"/>
  <c r="S980" i="1"/>
  <c r="AE745" i="1"/>
  <c r="V745" i="1"/>
  <c r="S745" i="1"/>
  <c r="AE749" i="1"/>
  <c r="V749" i="1"/>
  <c r="S749" i="1"/>
  <c r="S817" i="1"/>
  <c r="V817" i="1"/>
  <c r="AE817" i="1"/>
  <c r="S816" i="1"/>
  <c r="V816" i="1"/>
  <c r="AE816" i="1"/>
  <c r="S623" i="1"/>
  <c r="V623" i="1"/>
  <c r="AE623" i="1"/>
  <c r="AE571" i="1"/>
  <c r="V571" i="1"/>
  <c r="S571" i="1"/>
  <c r="AE1378" i="1"/>
  <c r="V1378" i="1"/>
  <c r="S1378" i="1"/>
  <c r="AE1376" i="1"/>
  <c r="V1376" i="1"/>
  <c r="S1376" i="1"/>
  <c r="AE469" i="1"/>
  <c r="V469" i="1"/>
  <c r="S469" i="1"/>
  <c r="AE454" i="1"/>
  <c r="V454" i="1"/>
  <c r="S454" i="1"/>
  <c r="AE453" i="1"/>
  <c r="V453" i="1"/>
  <c r="S453" i="1"/>
  <c r="AE330" i="1"/>
  <c r="V330" i="1"/>
  <c r="S330" i="1"/>
  <c r="AE352" i="1"/>
  <c r="V352" i="1"/>
  <c r="S352" i="1"/>
  <c r="AE205" i="1"/>
  <c r="V205" i="1"/>
  <c r="S205" i="1"/>
  <c r="AE201" i="1"/>
  <c r="V201" i="1"/>
  <c r="S201" i="1"/>
  <c r="S199" i="1"/>
  <c r="V199" i="1"/>
  <c r="AE199" i="1"/>
  <c r="AE194" i="1"/>
  <c r="V194" i="1"/>
  <c r="S194" i="1"/>
  <c r="AE198" i="1"/>
  <c r="V198" i="1"/>
  <c r="S198" i="1"/>
  <c r="V128" i="1"/>
  <c r="S128" i="1"/>
  <c r="AE1005" i="1"/>
  <c r="V1005" i="1"/>
  <c r="S1005" i="1"/>
  <c r="AE252" i="1"/>
  <c r="V252" i="1"/>
  <c r="S252" i="1"/>
  <c r="AE182" i="1"/>
  <c r="V182" i="1"/>
  <c r="S182" i="1"/>
  <c r="AE871" i="1"/>
  <c r="V871" i="1"/>
  <c r="S871" i="1"/>
  <c r="AE951" i="1"/>
  <c r="V951" i="1"/>
  <c r="S951" i="1"/>
  <c r="AI643" i="1"/>
  <c r="AE643" i="1"/>
  <c r="V643" i="1"/>
  <c r="AE642" i="1"/>
  <c r="V642" i="1"/>
  <c r="S642" i="1"/>
  <c r="AE641" i="1"/>
  <c r="V641" i="1"/>
  <c r="S641" i="1"/>
  <c r="AE640" i="1"/>
  <c r="V640" i="1"/>
  <c r="S640" i="1"/>
  <c r="AI639" i="1"/>
  <c r="AE639" i="1"/>
  <c r="AE537" i="1"/>
  <c r="V537" i="1"/>
  <c r="S537" i="1"/>
  <c r="AI543" i="1"/>
  <c r="AE543" i="1"/>
  <c r="V543" i="1"/>
  <c r="AI540" i="1"/>
  <c r="AE540" i="1"/>
  <c r="V540" i="1"/>
  <c r="AE544" i="1"/>
  <c r="AI544" i="1"/>
  <c r="S546" i="1"/>
  <c r="V546" i="1"/>
  <c r="AE546" i="1"/>
  <c r="S547" i="1"/>
  <c r="V547" i="1"/>
  <c r="AE547" i="1"/>
  <c r="Z1052" i="1"/>
  <c r="Z1423" i="1"/>
  <c r="Z642" i="1"/>
  <c r="Z454" i="1"/>
  <c r="Z816" i="1"/>
  <c r="Z749" i="1"/>
  <c r="Z537" i="1"/>
  <c r="Z182" i="1"/>
  <c r="Z252" i="1"/>
  <c r="Z1610" i="1"/>
  <c r="Z1376" i="1"/>
  <c r="Z995" i="1"/>
  <c r="Z1198" i="1"/>
  <c r="Z352" i="1"/>
  <c r="Z330" i="1"/>
  <c r="Z640" i="1"/>
  <c r="Z1036" i="1"/>
  <c r="Z1577" i="1"/>
  <c r="Z871" i="1"/>
  <c r="Z194" i="1"/>
  <c r="Z1478" i="1"/>
  <c r="Z1688" i="1"/>
  <c r="Z641" i="1"/>
  <c r="Z453" i="1"/>
  <c r="Z623" i="1"/>
  <c r="Z1288" i="1"/>
  <c r="Z201" i="1"/>
  <c r="Z745" i="1"/>
  <c r="Z1556" i="1"/>
  <c r="Z469" i="1"/>
  <c r="Z817" i="1"/>
  <c r="Z546" i="1"/>
  <c r="Z1005" i="1"/>
  <c r="Z205" i="1"/>
  <c r="Z980" i="1"/>
  <c r="Z1203" i="1"/>
  <c r="Z547" i="1"/>
  <c r="Z199" i="1"/>
  <c r="Z1378" i="1"/>
  <c r="Z996" i="1"/>
  <c r="Z1331" i="1"/>
  <c r="Z951" i="1"/>
  <c r="Z198" i="1"/>
  <c r="Z1065" i="1"/>
  <c r="Z571" i="1"/>
  <c r="Z1426" i="1"/>
  <c r="AE85" i="1"/>
  <c r="V85" i="1"/>
  <c r="S85" i="1"/>
  <c r="AE832" i="1"/>
  <c r="V832" i="1"/>
  <c r="S832" i="1"/>
  <c r="Z85" i="1"/>
  <c r="Z832" i="1"/>
  <c r="AE134" i="1"/>
  <c r="V134" i="1"/>
  <c r="S134" i="1"/>
  <c r="AE782" i="1"/>
  <c r="V782" i="1"/>
  <c r="S782" i="1"/>
  <c r="AE281" i="1"/>
  <c r="V281" i="1"/>
  <c r="S281" i="1"/>
  <c r="AE305" i="1"/>
  <c r="V305" i="1"/>
  <c r="S305" i="1"/>
  <c r="AE178" i="1"/>
  <c r="V178" i="1"/>
  <c r="S178" i="1"/>
  <c r="S720" i="1"/>
  <c r="V720" i="1"/>
  <c r="AE720" i="1"/>
  <c r="S878" i="1"/>
  <c r="V878" i="1"/>
  <c r="AE878" i="1"/>
  <c r="Z281" i="1"/>
  <c r="Z134" i="1"/>
  <c r="Z178" i="1"/>
  <c r="Z305" i="1"/>
  <c r="Z878" i="1"/>
  <c r="Z720" i="1"/>
  <c r="Z782" i="1"/>
  <c r="AE267" i="1"/>
  <c r="V267" i="1"/>
  <c r="S267" i="1"/>
  <c r="Z267" i="1"/>
  <c r="S1373" i="1"/>
  <c r="V1373" i="1"/>
  <c r="AE1373" i="1"/>
  <c r="AE36" i="1"/>
  <c r="V36" i="1"/>
  <c r="S36" i="1"/>
  <c r="AE1730" i="1"/>
  <c r="V1730" i="1"/>
  <c r="U1730" i="1"/>
  <c r="T1730" i="1"/>
  <c r="S1730" i="1"/>
  <c r="V1733" i="1"/>
  <c r="U1733" i="1"/>
  <c r="T1733" i="1"/>
  <c r="S1733" i="1"/>
  <c r="V1727" i="1"/>
  <c r="U1727" i="1"/>
  <c r="T1727" i="1"/>
  <c r="S1727" i="1"/>
  <c r="Z1373" i="1"/>
  <c r="Z36" i="1"/>
  <c r="V528" i="1"/>
  <c r="AI530" i="1"/>
  <c r="AE530" i="1"/>
  <c r="AE529" i="1"/>
  <c r="V529" i="1"/>
  <c r="S529" i="1"/>
  <c r="AI528" i="1"/>
  <c r="AE528" i="1"/>
  <c r="AE866" i="1"/>
  <c r="V866" i="1"/>
  <c r="S866" i="1"/>
  <c r="AE865" i="1"/>
  <c r="V865" i="1"/>
  <c r="S865" i="1"/>
  <c r="AE940" i="1"/>
  <c r="V940" i="1"/>
  <c r="S940" i="1"/>
  <c r="AE804" i="1"/>
  <c r="V804" i="1"/>
  <c r="S804" i="1"/>
  <c r="AE297" i="1"/>
  <c r="V297" i="1"/>
  <c r="S297" i="1"/>
  <c r="AE239" i="1"/>
  <c r="V239" i="1"/>
  <c r="S239" i="1"/>
  <c r="AE240" i="1"/>
  <c r="V240" i="1"/>
  <c r="S240" i="1"/>
  <c r="AE211" i="1"/>
  <c r="V211" i="1"/>
  <c r="S211" i="1"/>
  <c r="AE140" i="1"/>
  <c r="V140" i="1"/>
  <c r="S140" i="1"/>
  <c r="AE142" i="1"/>
  <c r="V142" i="1"/>
  <c r="S142" i="1"/>
  <c r="S139" i="1"/>
  <c r="V139" i="1"/>
  <c r="AE139" i="1"/>
  <c r="AE75" i="1"/>
  <c r="V75" i="1"/>
  <c r="S75" i="1"/>
  <c r="S186" i="1"/>
  <c r="V186" i="1"/>
  <c r="AE186" i="1"/>
  <c r="Z1730" i="1"/>
  <c r="Z804" i="1"/>
  <c r="Z529" i="1"/>
  <c r="Z940" i="1"/>
  <c r="Z140" i="1"/>
  <c r="Z866" i="1"/>
  <c r="Z239" i="1"/>
  <c r="Z75" i="1"/>
  <c r="Z240" i="1"/>
  <c r="Z142" i="1"/>
  <c r="Z186" i="1"/>
  <c r="Z865" i="1"/>
  <c r="Z211" i="1"/>
  <c r="Z139" i="1"/>
  <c r="Z297" i="1"/>
  <c r="X1730" i="1"/>
  <c r="AE1112" i="1"/>
  <c r="AI1112" i="1"/>
  <c r="S1113" i="1"/>
  <c r="V1113" i="1"/>
  <c r="AE1113" i="1"/>
  <c r="AE1114" i="1"/>
  <c r="AI1114" i="1"/>
  <c r="AE685" i="1"/>
  <c r="AI685" i="1"/>
  <c r="AJ685" i="1"/>
  <c r="S686" i="1"/>
  <c r="T686" i="1"/>
  <c r="U686" i="1"/>
  <c r="V686" i="1"/>
  <c r="AE686" i="1"/>
  <c r="V687" i="1"/>
  <c r="AE687" i="1"/>
  <c r="AI687" i="1"/>
  <c r="AJ687" i="1"/>
  <c r="V1458" i="1"/>
  <c r="AE1458" i="1"/>
  <c r="AI1458" i="1"/>
  <c r="AJ1458" i="1"/>
  <c r="S1459" i="1"/>
  <c r="T1459" i="1"/>
  <c r="U1459" i="1"/>
  <c r="V1459" i="1"/>
  <c r="AE1459" i="1"/>
  <c r="AE1460" i="1"/>
  <c r="AI1460" i="1"/>
  <c r="AJ1460" i="1"/>
  <c r="V1551" i="1"/>
  <c r="AE1551" i="1"/>
  <c r="AI1551" i="1"/>
  <c r="S1552" i="1"/>
  <c r="T1552" i="1"/>
  <c r="U1552" i="1"/>
  <c r="V1552" i="1"/>
  <c r="AE1552" i="1"/>
  <c r="AE1553" i="1"/>
  <c r="AI1553" i="1"/>
  <c r="V262" i="1"/>
  <c r="AE262" i="1"/>
  <c r="AI262" i="1"/>
  <c r="S263" i="1"/>
  <c r="V263" i="1"/>
  <c r="AE263" i="1"/>
  <c r="AE264" i="1"/>
  <c r="AI264" i="1"/>
  <c r="V603" i="1"/>
  <c r="AE603" i="1"/>
  <c r="AI603" i="1"/>
  <c r="AJ603" i="1"/>
  <c r="S604" i="1"/>
  <c r="V604" i="1"/>
  <c r="AE604" i="1"/>
  <c r="AE605" i="1"/>
  <c r="AI605" i="1"/>
  <c r="AJ605" i="1"/>
  <c r="V1262" i="1"/>
  <c r="AE1262" i="1"/>
  <c r="AI1262" i="1"/>
  <c r="AJ1262" i="1"/>
  <c r="S1263" i="1"/>
  <c r="T1263" i="1"/>
  <c r="U1263" i="1"/>
  <c r="V1263" i="1"/>
  <c r="AE1263" i="1"/>
  <c r="AE1264" i="1"/>
  <c r="AI1264" i="1"/>
  <c r="AJ1264" i="1"/>
  <c r="V1358" i="1"/>
  <c r="AE1358" i="1"/>
  <c r="AI1358" i="1"/>
  <c r="AJ1358" i="1"/>
  <c r="S1359" i="1"/>
  <c r="V1359" i="1"/>
  <c r="AE1359" i="1"/>
  <c r="S1360" i="1"/>
  <c r="V1360" i="1"/>
  <c r="AE1360" i="1"/>
  <c r="AI1360" i="1"/>
  <c r="AJ1360" i="1"/>
  <c r="V1109" i="1"/>
  <c r="AE1109" i="1"/>
  <c r="AI1109" i="1"/>
  <c r="AJ1109" i="1"/>
  <c r="S1110" i="1"/>
  <c r="T1110" i="1"/>
  <c r="U1110" i="1"/>
  <c r="V1110" i="1"/>
  <c r="AE1110" i="1"/>
  <c r="V1111" i="1"/>
  <c r="AE1111" i="1"/>
  <c r="AI1111" i="1"/>
  <c r="AJ1111" i="1"/>
  <c r="V1483" i="1"/>
  <c r="AE1483" i="1"/>
  <c r="AI1483" i="1"/>
  <c r="AJ1483" i="1"/>
  <c r="S1484" i="1"/>
  <c r="V1484" i="1"/>
  <c r="AE1484" i="1"/>
  <c r="AE1485" i="1"/>
  <c r="AI1485" i="1"/>
  <c r="AJ1485" i="1"/>
  <c r="V1593" i="1"/>
  <c r="AE1593" i="1"/>
  <c r="AI1593" i="1"/>
  <c r="AJ1593" i="1"/>
  <c r="S1594" i="1"/>
  <c r="T1594" i="1"/>
  <c r="U1594" i="1"/>
  <c r="V1594" i="1"/>
  <c r="X1594" i="1"/>
  <c r="AE1594" i="1"/>
  <c r="AE1595" i="1"/>
  <c r="AI1595" i="1"/>
  <c r="AJ1595" i="1"/>
  <c r="V1567" i="1"/>
  <c r="AE1567" i="1"/>
  <c r="AI1567" i="1"/>
  <c r="S1568" i="1"/>
  <c r="V1568" i="1"/>
  <c r="AE1568" i="1"/>
  <c r="AE1569" i="1"/>
  <c r="AI1569" i="1"/>
  <c r="V1398" i="1"/>
  <c r="AB1398" i="1"/>
  <c r="AE1398" i="1"/>
  <c r="AI1398" i="1"/>
  <c r="AJ1398" i="1"/>
  <c r="AB1400" i="1"/>
  <c r="AE1400" i="1"/>
  <c r="AI1400" i="1"/>
  <c r="AJ1400" i="1"/>
  <c r="V1389" i="1"/>
  <c r="AE1389" i="1"/>
  <c r="AI1389" i="1"/>
  <c r="AJ1389" i="1"/>
  <c r="S1390" i="1"/>
  <c r="V1390" i="1"/>
  <c r="AE1390" i="1"/>
  <c r="R1391" i="1"/>
  <c r="S1391" i="1"/>
  <c r="V1391" i="1"/>
  <c r="AE1391" i="1"/>
  <c r="AI1391" i="1"/>
  <c r="AJ1391" i="1"/>
  <c r="V585" i="1"/>
  <c r="AE585" i="1"/>
  <c r="AI585" i="1"/>
  <c r="S586" i="1"/>
  <c r="V586" i="1"/>
  <c r="AE586" i="1"/>
  <c r="V587" i="1"/>
  <c r="AE587" i="1"/>
  <c r="AI587" i="1"/>
  <c r="AE1355" i="1"/>
  <c r="AI1355" i="1"/>
  <c r="AE1357" i="1"/>
  <c r="AI1357" i="1"/>
  <c r="V715" i="1"/>
  <c r="AE715" i="1"/>
  <c r="AI715" i="1"/>
  <c r="AJ715" i="1"/>
  <c r="S717" i="1"/>
  <c r="V717" i="1"/>
  <c r="AE717" i="1"/>
  <c r="S718" i="1"/>
  <c r="V718" i="1"/>
  <c r="AE718" i="1"/>
  <c r="AI718" i="1"/>
  <c r="AJ718" i="1"/>
  <c r="V972" i="1"/>
  <c r="AE972" i="1"/>
  <c r="AI972" i="1"/>
  <c r="S974" i="1"/>
  <c r="V974" i="1"/>
  <c r="AE974" i="1"/>
  <c r="AI974" i="1"/>
  <c r="V1129" i="1"/>
  <c r="AE1129" i="1"/>
  <c r="AI1129" i="1"/>
  <c r="S1132" i="1"/>
  <c r="V1132" i="1"/>
  <c r="AE1132" i="1"/>
  <c r="AI1132" i="1"/>
  <c r="AE1343" i="1"/>
  <c r="AI1343" i="1"/>
  <c r="S1344" i="1"/>
  <c r="V1344" i="1"/>
  <c r="AE1344" i="1"/>
  <c r="V1345" i="1"/>
  <c r="AE1345" i="1"/>
  <c r="AI1345" i="1"/>
  <c r="V1337" i="1"/>
  <c r="AE1337" i="1"/>
  <c r="AI1337" i="1"/>
  <c r="AJ1337" i="1"/>
  <c r="S1338" i="1"/>
  <c r="T1338" i="1"/>
  <c r="U1338" i="1"/>
  <c r="V1338" i="1"/>
  <c r="AE1338" i="1"/>
  <c r="V1339" i="1"/>
  <c r="AE1339" i="1"/>
  <c r="AI1339" i="1"/>
  <c r="AJ1339" i="1"/>
  <c r="V459" i="1"/>
  <c r="AE459" i="1"/>
  <c r="AI459" i="1"/>
  <c r="AJ459" i="1"/>
  <c r="S460" i="1"/>
  <c r="T460" i="1"/>
  <c r="U460" i="1"/>
  <c r="V460" i="1"/>
  <c r="AE460" i="1"/>
  <c r="V461" i="1"/>
  <c r="AE461" i="1"/>
  <c r="AI461" i="1"/>
  <c r="AJ461" i="1"/>
  <c r="V819" i="1"/>
  <c r="AE819" i="1"/>
  <c r="AI819" i="1"/>
  <c r="AJ819" i="1"/>
  <c r="S821" i="1"/>
  <c r="V821" i="1"/>
  <c r="AE821" i="1"/>
  <c r="AI821" i="1"/>
  <c r="AJ821" i="1"/>
  <c r="V1596" i="1"/>
  <c r="AE1596" i="1"/>
  <c r="AI1596" i="1"/>
  <c r="S1597" i="1"/>
  <c r="V1597" i="1"/>
  <c r="AE1597" i="1"/>
  <c r="V1598" i="1"/>
  <c r="AE1598" i="1"/>
  <c r="AI1598" i="1"/>
  <c r="V839" i="1"/>
  <c r="AE839" i="1"/>
  <c r="AI839" i="1"/>
  <c r="S841" i="1"/>
  <c r="V841" i="1"/>
  <c r="AE841" i="1"/>
  <c r="S842" i="1"/>
  <c r="V842" i="1"/>
  <c r="AE842" i="1"/>
  <c r="AI842" i="1"/>
  <c r="AE929" i="1"/>
  <c r="AI929" i="1"/>
  <c r="S930" i="1"/>
  <c r="V930" i="1"/>
  <c r="AE930" i="1"/>
  <c r="V931" i="1"/>
  <c r="AE931" i="1"/>
  <c r="AI931" i="1"/>
  <c r="V325" i="1"/>
  <c r="AE325" i="1"/>
  <c r="AI325" i="1"/>
  <c r="AJ325" i="1"/>
  <c r="S326" i="1"/>
  <c r="T326" i="1"/>
  <c r="U326" i="1"/>
  <c r="V326" i="1"/>
  <c r="AE326" i="1"/>
  <c r="S327" i="1"/>
  <c r="V327" i="1"/>
  <c r="AE327" i="1"/>
  <c r="AI327" i="1"/>
  <c r="AJ327" i="1"/>
  <c r="V1346" i="1"/>
  <c r="AE1346" i="1"/>
  <c r="AI1346" i="1"/>
  <c r="S1347" i="1"/>
  <c r="V1347" i="1"/>
  <c r="AE1347" i="1"/>
  <c r="S1348" i="1"/>
  <c r="V1348" i="1"/>
  <c r="AE1348" i="1"/>
  <c r="AI1348" i="1"/>
  <c r="V651" i="1"/>
  <c r="AE651" i="1"/>
  <c r="AI651" i="1"/>
  <c r="AJ651" i="1"/>
  <c r="AE653" i="1"/>
  <c r="AI653" i="1"/>
  <c r="AJ653" i="1"/>
  <c r="V773" i="1"/>
  <c r="AE773" i="1"/>
  <c r="AI773" i="1"/>
  <c r="S774" i="1"/>
  <c r="V774" i="1"/>
  <c r="AE774" i="1"/>
  <c r="S775" i="1"/>
  <c r="V775" i="1"/>
  <c r="AE775" i="1"/>
  <c r="AI775" i="1"/>
  <c r="V969" i="1"/>
  <c r="AE969" i="1"/>
  <c r="AI969" i="1"/>
  <c r="O971" i="1"/>
  <c r="P971" i="1"/>
  <c r="R971" i="1"/>
  <c r="S971" i="1"/>
  <c r="V971" i="1"/>
  <c r="AE971" i="1"/>
  <c r="AI971" i="1"/>
  <c r="V1105" i="1"/>
  <c r="AE1105" i="1"/>
  <c r="AI1105" i="1"/>
  <c r="AJ1105" i="1"/>
  <c r="AE1108" i="1"/>
  <c r="AI1108" i="1"/>
  <c r="AJ1108" i="1"/>
  <c r="V1156" i="1"/>
  <c r="AB1156" i="1"/>
  <c r="AE1156" i="1"/>
  <c r="AI1156" i="1"/>
  <c r="AJ1156" i="1"/>
  <c r="AB1159" i="1"/>
  <c r="AE1159" i="1"/>
  <c r="AI1159" i="1"/>
  <c r="AJ1159" i="1"/>
  <c r="V1330" i="1"/>
  <c r="AE1330" i="1"/>
  <c r="AI1330" i="1"/>
  <c r="S1332" i="1"/>
  <c r="V1332" i="1"/>
  <c r="AE1332" i="1"/>
  <c r="S1333" i="1"/>
  <c r="V1333" i="1"/>
  <c r="AE1333" i="1"/>
  <c r="AI1333" i="1"/>
  <c r="V1386" i="1"/>
  <c r="AB1386" i="1"/>
  <c r="AE1386" i="1"/>
  <c r="AI1386" i="1"/>
  <c r="AJ1386" i="1"/>
  <c r="R1388" i="1"/>
  <c r="S1388" i="1"/>
  <c r="V1388" i="1"/>
  <c r="AB1388" i="1"/>
  <c r="AE1388" i="1"/>
  <c r="AI1388" i="1"/>
  <c r="AJ1388" i="1"/>
  <c r="AE1710" i="1"/>
  <c r="AI1710" i="1"/>
  <c r="AJ1710" i="1"/>
  <c r="S1711" i="1"/>
  <c r="V1711" i="1"/>
  <c r="AE1711" i="1"/>
  <c r="O1712" i="1"/>
  <c r="P1712" i="1"/>
  <c r="AE1712" i="1"/>
  <c r="AI1712" i="1"/>
  <c r="AJ1712" i="1"/>
  <c r="V204" i="1"/>
  <c r="AE204" i="1"/>
  <c r="AI204" i="1"/>
  <c r="V208" i="1"/>
  <c r="AE208" i="1"/>
  <c r="AI208" i="1"/>
  <c r="V401" i="1"/>
  <c r="AE401" i="1"/>
  <c r="AI401" i="1"/>
  <c r="AJ401" i="1"/>
  <c r="S402" i="1"/>
  <c r="T402" i="1"/>
  <c r="U402" i="1"/>
  <c r="V402" i="1"/>
  <c r="AE402" i="1"/>
  <c r="S403" i="1"/>
  <c r="V403" i="1"/>
  <c r="AE403" i="1"/>
  <c r="AI403" i="1"/>
  <c r="AJ403" i="1"/>
  <c r="V600" i="1"/>
  <c r="AE600" i="1"/>
  <c r="AI600" i="1"/>
  <c r="AE602" i="1"/>
  <c r="AI602" i="1"/>
  <c r="V48" i="1"/>
  <c r="AE48" i="1"/>
  <c r="S49" i="1"/>
  <c r="V49" i="1"/>
  <c r="AE49" i="1"/>
  <c r="AE50" i="1"/>
  <c r="V1075" i="1"/>
  <c r="AE1075" i="1"/>
  <c r="AI1075" i="1"/>
  <c r="AJ1075" i="1"/>
  <c r="S1076" i="1"/>
  <c r="T1076" i="1"/>
  <c r="U1076" i="1"/>
  <c r="V1076" i="1"/>
  <c r="AE1076" i="1"/>
  <c r="S1077" i="1"/>
  <c r="V1077" i="1"/>
  <c r="AE1077" i="1"/>
  <c r="AI1077" i="1"/>
  <c r="AJ1077" i="1"/>
  <c r="V573" i="1"/>
  <c r="AB573" i="1"/>
  <c r="AE573" i="1"/>
  <c r="AJ573" i="1"/>
  <c r="AE575" i="1"/>
  <c r="V1381" i="1"/>
  <c r="AE1381" i="1"/>
  <c r="AI1381" i="1"/>
  <c r="AE1383" i="1"/>
  <c r="AI1383" i="1"/>
  <c r="V1453" i="1"/>
  <c r="AE1453" i="1"/>
  <c r="AI1453" i="1"/>
  <c r="S1456" i="1"/>
  <c r="V1456" i="1"/>
  <c r="AE1456" i="1"/>
  <c r="S1457" i="1"/>
  <c r="V1457" i="1"/>
  <c r="AE1457" i="1"/>
  <c r="AI1457" i="1"/>
  <c r="V822" i="1"/>
  <c r="AE822" i="1"/>
  <c r="AI822" i="1"/>
  <c r="S823" i="1"/>
  <c r="V823" i="1"/>
  <c r="AE823" i="1"/>
  <c r="S824" i="1"/>
  <c r="V824" i="1"/>
  <c r="AE824" i="1"/>
  <c r="AI824" i="1"/>
  <c r="V366" i="1"/>
  <c r="AE366" i="1"/>
  <c r="AI366" i="1"/>
  <c r="S368" i="1"/>
  <c r="V368" i="1"/>
  <c r="AE368" i="1"/>
  <c r="AI368" i="1"/>
  <c r="V1227" i="1"/>
  <c r="AE1227" i="1"/>
  <c r="AI1227" i="1"/>
  <c r="V1231" i="1"/>
  <c r="AE1231" i="1"/>
  <c r="AI1231" i="1"/>
  <c r="V1404" i="1"/>
  <c r="AE1404" i="1"/>
  <c r="AJ1404" i="1"/>
  <c r="S1405" i="1"/>
  <c r="T1405" i="1"/>
  <c r="U1405" i="1"/>
  <c r="V1405" i="1"/>
  <c r="AE1405" i="1"/>
  <c r="S1406" i="1"/>
  <c r="V1406" i="1"/>
  <c r="AE1406" i="1"/>
  <c r="AJ1406" i="1"/>
  <c r="V44" i="1"/>
  <c r="AE44" i="1"/>
  <c r="AI44" i="1"/>
  <c r="V47" i="1"/>
  <c r="AE47" i="1"/>
  <c r="AI47" i="1"/>
  <c r="V564" i="1"/>
  <c r="AE564" i="1"/>
  <c r="AI564" i="1"/>
  <c r="S566" i="1"/>
  <c r="V566" i="1"/>
  <c r="AE566" i="1"/>
  <c r="AE567" i="1"/>
  <c r="V1656" i="1"/>
  <c r="AE1656" i="1"/>
  <c r="AI1656" i="1"/>
  <c r="S1659" i="1"/>
  <c r="V1659" i="1"/>
  <c r="AE1659" i="1"/>
  <c r="S1660" i="1"/>
  <c r="V1660" i="1"/>
  <c r="AE1660" i="1"/>
  <c r="AI1660" i="1"/>
  <c r="V471" i="1"/>
  <c r="AE471" i="1"/>
  <c r="AI471" i="1"/>
  <c r="AJ471" i="1"/>
  <c r="S472" i="1"/>
  <c r="T472" i="1"/>
  <c r="U472" i="1"/>
  <c r="V472" i="1"/>
  <c r="AE472" i="1"/>
  <c r="V473" i="1"/>
  <c r="AE473" i="1"/>
  <c r="AI473" i="1"/>
  <c r="AJ473" i="1"/>
  <c r="V691" i="1"/>
  <c r="AE691" i="1"/>
  <c r="AI691" i="1"/>
  <c r="S692" i="1"/>
  <c r="V692" i="1"/>
  <c r="AE692" i="1"/>
  <c r="AE693" i="1"/>
  <c r="V1071" i="1"/>
  <c r="AE1071" i="1"/>
  <c r="AI1071" i="1"/>
  <c r="S1074" i="1"/>
  <c r="V1074" i="1"/>
  <c r="AE1074" i="1"/>
  <c r="AI1074" i="1"/>
  <c r="V1614" i="1"/>
  <c r="AE1614" i="1"/>
  <c r="AI1614" i="1"/>
  <c r="AJ1614" i="1"/>
  <c r="S1615" i="1"/>
  <c r="T1615" i="1"/>
  <c r="U1615" i="1"/>
  <c r="V1615" i="1"/>
  <c r="AE1615" i="1"/>
  <c r="V1616" i="1"/>
  <c r="AE1616" i="1"/>
  <c r="AI1616" i="1"/>
  <c r="AJ1616" i="1"/>
  <c r="AE979" i="1"/>
  <c r="V979" i="1"/>
  <c r="S979" i="1"/>
  <c r="AE1444" i="1"/>
  <c r="V1444" i="1"/>
  <c r="S1444" i="1"/>
  <c r="V1737" i="1"/>
  <c r="V1735" i="1"/>
  <c r="Z1390" i="1"/>
  <c r="Z1359" i="1"/>
  <c r="Z1263" i="1"/>
  <c r="Z1405" i="1"/>
  <c r="Z1338" i="1"/>
  <c r="Z1076" i="1"/>
  <c r="Z460" i="1"/>
  <c r="Z604" i="1"/>
  <c r="Z1459" i="1"/>
  <c r="X472" i="1"/>
  <c r="Z472" i="1"/>
  <c r="Z1711" i="1"/>
  <c r="Z717" i="1"/>
  <c r="Z326" i="1"/>
  <c r="Z1110" i="1"/>
  <c r="Z1594" i="1"/>
  <c r="Z1484" i="1"/>
  <c r="X1110" i="1"/>
  <c r="Z586" i="1"/>
  <c r="Z1552" i="1"/>
  <c r="Z841" i="1"/>
  <c r="Z1659" i="1"/>
  <c r="Z263" i="1"/>
  <c r="Z49" i="1"/>
  <c r="Z1332" i="1"/>
  <c r="Z823" i="1"/>
  <c r="Z1597" i="1"/>
  <c r="Z1347" i="1"/>
  <c r="X1405" i="1"/>
  <c r="Z979" i="1"/>
  <c r="Z774" i="1"/>
  <c r="Z1344" i="1"/>
  <c r="Z1568" i="1"/>
  <c r="Z693" i="1"/>
  <c r="Z692" i="1"/>
  <c r="Z575" i="1"/>
  <c r="AB575" i="1"/>
  <c r="Z567" i="1"/>
  <c r="Z566" i="1"/>
  <c r="Z1456" i="1"/>
  <c r="Z1444" i="1"/>
  <c r="Z1113" i="1"/>
  <c r="Z930" i="1"/>
  <c r="AE757" i="1"/>
  <c r="V757" i="1"/>
  <c r="S757" i="1"/>
  <c r="Z757" i="1"/>
  <c r="AI353" i="1"/>
  <c r="AE353" i="1"/>
  <c r="AE351" i="1"/>
  <c r="V351" i="1"/>
  <c r="S351" i="1"/>
  <c r="AI350" i="1"/>
  <c r="AE350" i="1"/>
  <c r="V350" i="1"/>
  <c r="AE110" i="1"/>
  <c r="V110" i="1"/>
  <c r="S110" i="1"/>
  <c r="AE37" i="1"/>
  <c r="V37" i="1"/>
  <c r="S37" i="1"/>
  <c r="Z37" i="1"/>
  <c r="Z110" i="1"/>
  <c r="Z351" i="1"/>
  <c r="AE1182" i="1"/>
  <c r="V1182" i="1"/>
  <c r="S1182" i="1"/>
  <c r="AE1139" i="1"/>
  <c r="V1139" i="1"/>
  <c r="S1139" i="1"/>
  <c r="AE962" i="1"/>
  <c r="V962" i="1"/>
  <c r="S962" i="1"/>
  <c r="AE863" i="1"/>
  <c r="V863" i="1"/>
  <c r="S863" i="1"/>
  <c r="AE355" i="1"/>
  <c r="V355" i="1"/>
  <c r="S355" i="1"/>
  <c r="Z962" i="1"/>
  <c r="Z863" i="1"/>
  <c r="Z1139" i="1"/>
  <c r="Z1182" i="1"/>
  <c r="Z355" i="1"/>
  <c r="AE1061" i="1"/>
  <c r="V1061" i="1"/>
  <c r="S1061" i="1"/>
  <c r="AE835" i="1"/>
  <c r="V835" i="1"/>
  <c r="S835" i="1"/>
  <c r="Z1061" i="1"/>
  <c r="Z835" i="1"/>
  <c r="S1009" i="1"/>
  <c r="V1009" i="1"/>
  <c r="AE1009" i="1"/>
  <c r="Z1009" i="1"/>
  <c r="V1732" i="1"/>
  <c r="AE1246" i="1"/>
  <c r="V1246" i="1"/>
  <c r="S1246" i="1"/>
  <c r="AI1270" i="1"/>
  <c r="AE1270" i="1"/>
  <c r="AE1269" i="1"/>
  <c r="V1269" i="1"/>
  <c r="S1269" i="1"/>
  <c r="AI1268" i="1"/>
  <c r="AE1268" i="1"/>
  <c r="V1268" i="1"/>
  <c r="Z1269" i="1"/>
  <c r="Z1246" i="1"/>
  <c r="AE253" i="1"/>
  <c r="V253" i="1"/>
  <c r="S253" i="1"/>
  <c r="Z253" i="1"/>
  <c r="AE990" i="1"/>
  <c r="V990" i="1"/>
  <c r="S990" i="1"/>
  <c r="AE515" i="1"/>
  <c r="V515" i="1"/>
  <c r="S515" i="1"/>
  <c r="AE116" i="1"/>
  <c r="V116" i="1"/>
  <c r="S116" i="1"/>
  <c r="AE84" i="1"/>
  <c r="V84" i="1"/>
  <c r="S84" i="1"/>
  <c r="Z116" i="1"/>
  <c r="Z990" i="1"/>
  <c r="Z515" i="1"/>
  <c r="Z84" i="1"/>
  <c r="V21" i="1"/>
  <c r="S21" i="1"/>
  <c r="V25" i="1"/>
  <c r="AE25" i="1"/>
  <c r="AI25" i="1"/>
  <c r="V29" i="1"/>
  <c r="AE29" i="1"/>
  <c r="AI29" i="1"/>
  <c r="V30" i="1"/>
  <c r="AE30" i="1"/>
  <c r="AI30" i="1"/>
  <c r="AE176" i="1"/>
  <c r="V176" i="1"/>
  <c r="S176" i="1"/>
  <c r="Z176" i="1"/>
  <c r="AI1517" i="1"/>
  <c r="AE1517" i="1"/>
  <c r="V1517" i="1"/>
  <c r="S1517" i="1"/>
  <c r="AE1516" i="1"/>
  <c r="V1516" i="1"/>
  <c r="S1516" i="1"/>
  <c r="AI1515" i="1"/>
  <c r="AE1515" i="1"/>
  <c r="V1515" i="1"/>
  <c r="V1506" i="1"/>
  <c r="AE1506" i="1"/>
  <c r="AI1506" i="1"/>
  <c r="AE1509" i="1"/>
  <c r="AI1509" i="1"/>
  <c r="V1521" i="1"/>
  <c r="AE1521" i="1"/>
  <c r="AI1521" i="1"/>
  <c r="S1522" i="1"/>
  <c r="V1522" i="1"/>
  <c r="AE1522" i="1"/>
  <c r="AE976" i="1"/>
  <c r="V976" i="1"/>
  <c r="S976" i="1"/>
  <c r="AE1393" i="1"/>
  <c r="V1393" i="1"/>
  <c r="S1393" i="1"/>
  <c r="AE1481" i="1"/>
  <c r="V1481" i="1"/>
  <c r="S1481" i="1"/>
  <c r="AE268" i="1"/>
  <c r="V268" i="1"/>
  <c r="S268" i="1"/>
  <c r="AE70" i="1"/>
  <c r="V70" i="1"/>
  <c r="S70" i="1"/>
  <c r="AE1402" i="1"/>
  <c r="V1402" i="1"/>
  <c r="U1402" i="1"/>
  <c r="T1402" i="1"/>
  <c r="S1402" i="1"/>
  <c r="AE1721" i="1"/>
  <c r="V1721" i="1"/>
  <c r="S1721" i="1"/>
  <c r="AE1646" i="1"/>
  <c r="V1646" i="1"/>
  <c r="S1646" i="1"/>
  <c r="AE1736" i="1"/>
  <c r="V1736" i="1"/>
  <c r="U1736" i="1"/>
  <c r="T1736" i="1"/>
  <c r="S1736" i="1"/>
  <c r="AE1733" i="1"/>
  <c r="AI1080" i="1"/>
  <c r="AI1078" i="1"/>
  <c r="AJ458" i="1"/>
  <c r="AI458" i="1"/>
  <c r="AJ456" i="1"/>
  <c r="AI456" i="1"/>
  <c r="AI977" i="1"/>
  <c r="AI975" i="1"/>
  <c r="AJ1403" i="1"/>
  <c r="AI1403" i="1"/>
  <c r="AJ1401" i="1"/>
  <c r="AI1401" i="1"/>
  <c r="AI561" i="1"/>
  <c r="AI1394" i="1"/>
  <c r="AI1392" i="1"/>
  <c r="AI915" i="1"/>
  <c r="AI913" i="1"/>
  <c r="AI1482" i="1"/>
  <c r="AI1480" i="1"/>
  <c r="AI1722" i="1"/>
  <c r="AI1720" i="1"/>
  <c r="AI1647" i="1"/>
  <c r="AI1645" i="1"/>
  <c r="AI269" i="1"/>
  <c r="AI265" i="1"/>
  <c r="AI71" i="1"/>
  <c r="AI69" i="1"/>
  <c r="AJ1731" i="1"/>
  <c r="AI1731" i="1"/>
  <c r="AJ1729" i="1"/>
  <c r="AI1729" i="1"/>
  <c r="AI1737" i="1"/>
  <c r="AI1735" i="1"/>
  <c r="AI1734" i="1"/>
  <c r="AI1732" i="1"/>
  <c r="AE1727" i="1"/>
  <c r="AE1165" i="1"/>
  <c r="V1165" i="1"/>
  <c r="S1165" i="1"/>
  <c r="AE934" i="1"/>
  <c r="V934" i="1"/>
  <c r="U934" i="1"/>
  <c r="T934" i="1"/>
  <c r="S934" i="1"/>
  <c r="AE758" i="1"/>
  <c r="V758" i="1"/>
  <c r="S758" i="1"/>
  <c r="AE738" i="1"/>
  <c r="V738" i="1"/>
  <c r="U738" i="1"/>
  <c r="T738" i="1"/>
  <c r="S738" i="1"/>
  <c r="X1402" i="1"/>
  <c r="Z1402" i="1"/>
  <c r="Z1165" i="1"/>
  <c r="Z738" i="1"/>
  <c r="Z268" i="1"/>
  <c r="Z1516" i="1"/>
  <c r="Z1721" i="1"/>
  <c r="Z758" i="1"/>
  <c r="Z934" i="1"/>
  <c r="Z70" i="1"/>
  <c r="Z1481" i="1"/>
  <c r="Z1646" i="1"/>
  <c r="Z976" i="1"/>
  <c r="Z1522" i="1"/>
  <c r="Z1393" i="1"/>
  <c r="Z1733" i="1"/>
  <c r="Z1736" i="1"/>
  <c r="X1736" i="1"/>
  <c r="AE559" i="1"/>
  <c r="V559" i="1"/>
  <c r="S559" i="1"/>
  <c r="AE183" i="1"/>
  <c r="V183" i="1"/>
  <c r="S183" i="1"/>
  <c r="AE121" i="1"/>
  <c r="V121" i="1"/>
  <c r="U121" i="1"/>
  <c r="T121" i="1"/>
  <c r="S121" i="1"/>
  <c r="Z183" i="1"/>
  <c r="Z559" i="1"/>
  <c r="V1726" i="1"/>
  <c r="AE1728" i="1"/>
  <c r="AE1726" i="1"/>
  <c r="AE1703" i="1"/>
  <c r="V1703" i="1"/>
  <c r="S1703" i="1"/>
  <c r="AE1684" i="1"/>
  <c r="V1684" i="1"/>
  <c r="S1684" i="1"/>
  <c r="Z1703" i="1"/>
  <c r="Z1684" i="1"/>
  <c r="AE1621" i="1"/>
  <c r="V1621" i="1"/>
  <c r="S1621" i="1"/>
  <c r="AE1609" i="1"/>
  <c r="V1609" i="1"/>
  <c r="S1609" i="1"/>
  <c r="AE1732" i="1"/>
  <c r="V1734" i="1"/>
  <c r="AE1734" i="1"/>
  <c r="AE1735" i="1"/>
  <c r="AE1737" i="1"/>
  <c r="V1729" i="1"/>
  <c r="AE1729" i="1"/>
  <c r="V1731" i="1"/>
  <c r="AE1731" i="1"/>
  <c r="V69" i="1"/>
  <c r="AE69" i="1"/>
  <c r="AE71" i="1"/>
  <c r="V265" i="1"/>
  <c r="AE265" i="1"/>
  <c r="AE269" i="1"/>
  <c r="V1645" i="1"/>
  <c r="AE1645" i="1"/>
  <c r="AE1647" i="1"/>
  <c r="V1720" i="1"/>
  <c r="AE1720" i="1"/>
  <c r="AE1722" i="1"/>
  <c r="AE1480" i="1"/>
  <c r="AE1482" i="1"/>
  <c r="V913" i="1"/>
  <c r="AE913" i="1"/>
  <c r="AE915" i="1"/>
  <c r="V1392" i="1"/>
  <c r="AE1392" i="1"/>
  <c r="AE1394" i="1"/>
  <c r="V561" i="1"/>
  <c r="AE561" i="1"/>
  <c r="S563" i="1"/>
  <c r="V563" i="1"/>
  <c r="AE563" i="1"/>
  <c r="V978" i="1"/>
  <c r="AE978" i="1"/>
  <c r="O983" i="1"/>
  <c r="P983" i="1"/>
  <c r="R983" i="1"/>
  <c r="S983" i="1"/>
  <c r="AE983" i="1"/>
  <c r="V1401" i="1"/>
  <c r="AE1401" i="1"/>
  <c r="AE1403" i="1"/>
  <c r="V975" i="1"/>
  <c r="AE975" i="1"/>
  <c r="S977" i="1"/>
  <c r="V977" i="1"/>
  <c r="AE977" i="1"/>
  <c r="V456" i="1"/>
  <c r="AE456" i="1"/>
  <c r="AE458" i="1"/>
  <c r="V1078" i="1"/>
  <c r="AE1078" i="1"/>
  <c r="AE1080" i="1"/>
  <c r="AE1487" i="1"/>
  <c r="V1487" i="1"/>
  <c r="S1487" i="1"/>
  <c r="AE1276" i="1"/>
  <c r="V1276" i="1"/>
  <c r="S1276" i="1"/>
  <c r="AE1306" i="1"/>
  <c r="V1306" i="1"/>
  <c r="S1306" i="1"/>
  <c r="AE1292" i="1"/>
  <c r="V1292" i="1"/>
  <c r="S1292" i="1"/>
  <c r="AE1174" i="1"/>
  <c r="V1174" i="1"/>
  <c r="S1174" i="1"/>
  <c r="AE1178" i="1"/>
  <c r="V1178" i="1"/>
  <c r="S1178" i="1"/>
  <c r="AE1314" i="1"/>
  <c r="V1314" i="1"/>
  <c r="S1314" i="1"/>
  <c r="Z1487" i="1"/>
  <c r="Z1178" i="1"/>
  <c r="Z1292" i="1"/>
  <c r="Z1276" i="1"/>
  <c r="Z1609" i="1"/>
  <c r="Z1314" i="1"/>
  <c r="Z1174" i="1"/>
  <c r="Z1621" i="1"/>
  <c r="Z1306" i="1"/>
  <c r="Z563" i="1"/>
  <c r="AJ1164" i="1"/>
  <c r="AE739" i="1"/>
  <c r="AJ737" i="1"/>
  <c r="AI737" i="1"/>
  <c r="AE737" i="1"/>
  <c r="AE1445" i="1"/>
  <c r="V1445" i="1"/>
  <c r="S1445" i="1"/>
  <c r="Z1445" i="1"/>
  <c r="AE1135" i="1"/>
  <c r="V1135" i="1"/>
  <c r="S1135" i="1"/>
  <c r="AE1120" i="1"/>
  <c r="V1120" i="1"/>
  <c r="S1120" i="1"/>
  <c r="AE967" i="1"/>
  <c r="V967" i="1"/>
  <c r="S967" i="1"/>
  <c r="AE966" i="1"/>
  <c r="V966" i="1"/>
  <c r="S966" i="1"/>
  <c r="AE965" i="1"/>
  <c r="V965" i="1"/>
  <c r="S965" i="1"/>
  <c r="S955" i="1"/>
  <c r="V955" i="1"/>
  <c r="AE955" i="1"/>
  <c r="AE861" i="1"/>
  <c r="V861" i="1"/>
  <c r="S861" i="1"/>
  <c r="Z967" i="1"/>
  <c r="Z861" i="1"/>
  <c r="Z1135" i="1"/>
  <c r="Z955" i="1"/>
  <c r="Z965" i="1"/>
  <c r="Z966" i="1"/>
  <c r="Z1120" i="1"/>
  <c r="AE153" i="1"/>
  <c r="V153" i="1"/>
  <c r="S153" i="1"/>
  <c r="AE851" i="1"/>
  <c r="V851" i="1"/>
  <c r="S851" i="1"/>
  <c r="AE1511" i="1"/>
  <c r="V1511" i="1"/>
  <c r="S1511" i="1"/>
  <c r="Z851" i="1"/>
  <c r="Z1511" i="1"/>
  <c r="Z153" i="1"/>
  <c r="S673" i="1"/>
  <c r="V673" i="1"/>
  <c r="AE673" i="1"/>
  <c r="S674" i="1"/>
  <c r="V674" i="1"/>
  <c r="AE674" i="1"/>
  <c r="Z674" i="1"/>
  <c r="Z673" i="1"/>
  <c r="AE777" i="1"/>
  <c r="V777" i="1"/>
  <c r="S777" i="1"/>
  <c r="AE945" i="1"/>
  <c r="V945" i="1"/>
  <c r="S945" i="1"/>
  <c r="Z777" i="1"/>
  <c r="Z945" i="1"/>
  <c r="S1704" i="1"/>
  <c r="V1704" i="1"/>
  <c r="AE1704" i="1"/>
  <c r="AE1705" i="1"/>
  <c r="AI1705" i="1"/>
  <c r="V1706" i="1"/>
  <c r="AE1706" i="1"/>
  <c r="AI1706" i="1"/>
  <c r="S1707" i="1"/>
  <c r="V1707" i="1"/>
  <c r="AE1707" i="1"/>
  <c r="AE1709" i="1"/>
  <c r="AI1709" i="1"/>
  <c r="V1713" i="1"/>
  <c r="AE1713" i="1"/>
  <c r="AI1713" i="1"/>
  <c r="S1714" i="1"/>
  <c r="V1714" i="1"/>
  <c r="AE1714" i="1"/>
  <c r="S1715" i="1"/>
  <c r="V1715" i="1"/>
  <c r="AE1715" i="1"/>
  <c r="AE1716" i="1"/>
  <c r="AI1716" i="1"/>
  <c r="Z1715" i="1"/>
  <c r="Z1704" i="1"/>
  <c r="Z1707" i="1"/>
  <c r="Z1714" i="1"/>
  <c r="AE154" i="1"/>
  <c r="V154" i="1"/>
  <c r="S154" i="1"/>
  <c r="AE1048" i="1"/>
  <c r="V1048" i="1"/>
  <c r="S1048" i="1"/>
  <c r="AE1029" i="1"/>
  <c r="V1029" i="1"/>
  <c r="S1029" i="1"/>
  <c r="AE272" i="1"/>
  <c r="V272" i="1"/>
  <c r="S272" i="1"/>
  <c r="Z1048" i="1"/>
  <c r="Z1029" i="1"/>
  <c r="Z272" i="1"/>
  <c r="Z154" i="1"/>
  <c r="AE282" i="1"/>
  <c r="V282" i="1"/>
  <c r="S282" i="1"/>
  <c r="Z282" i="1"/>
  <c r="AE1195" i="1"/>
  <c r="V1195" i="1"/>
  <c r="S1195" i="1"/>
  <c r="Z1195" i="1"/>
  <c r="AE939" i="1"/>
  <c r="V939" i="1"/>
  <c r="S939" i="1"/>
  <c r="Z939" i="1"/>
  <c r="AE985" i="1"/>
  <c r="V985" i="1"/>
  <c r="S985" i="1"/>
  <c r="AE301" i="1"/>
  <c r="V301" i="1"/>
  <c r="S301" i="1"/>
  <c r="Z985" i="1"/>
  <c r="Z301" i="1"/>
  <c r="I1613" i="1"/>
  <c r="I1472" i="1"/>
  <c r="I1385" i="1"/>
  <c r="I1329" i="1"/>
  <c r="I1100" i="1"/>
  <c r="I698" i="1"/>
  <c r="I321" i="1"/>
  <c r="V120" i="1"/>
  <c r="AE120" i="1"/>
  <c r="AJ120" i="1"/>
  <c r="AE122" i="1"/>
  <c r="AJ122" i="1"/>
  <c r="V1164" i="1"/>
  <c r="AE1164" i="1"/>
  <c r="AE1166" i="1"/>
  <c r="V737" i="1"/>
  <c r="V932" i="1"/>
  <c r="AE932" i="1"/>
  <c r="AE935" i="1"/>
  <c r="V1275" i="1"/>
  <c r="AE1275" i="1"/>
  <c r="AI1275" i="1"/>
  <c r="AE1277" i="1"/>
  <c r="AI1277" i="1"/>
  <c r="AE1527" i="1"/>
  <c r="V1527" i="1"/>
  <c r="S1527" i="1"/>
  <c r="AE202" i="1"/>
  <c r="V202" i="1"/>
  <c r="S202" i="1"/>
  <c r="S193" i="1"/>
  <c r="V193" i="1"/>
  <c r="AE193" i="1"/>
  <c r="Z1527" i="1"/>
  <c r="Z202" i="1"/>
  <c r="Z193" i="1"/>
  <c r="V935" i="1"/>
  <c r="S614" i="1"/>
  <c r="V614" i="1"/>
  <c r="AE614" i="1"/>
  <c r="Z614" i="1"/>
  <c r="Z422" i="1"/>
  <c r="AJ1424" i="1"/>
  <c r="AJ1420" i="1"/>
  <c r="AJ1083" i="1"/>
  <c r="AJ1081" i="1"/>
  <c r="AJ665" i="1"/>
  <c r="AJ534" i="1"/>
  <c r="AJ531" i="1"/>
  <c r="AJ507" i="1"/>
  <c r="AJ503" i="1"/>
  <c r="AJ502" i="1"/>
  <c r="AJ499" i="1"/>
  <c r="AJ290" i="1"/>
  <c r="AI1764" i="1"/>
  <c r="AI1762" i="1"/>
  <c r="AI1761" i="1"/>
  <c r="AI1744" i="1"/>
  <c r="AI1741" i="1"/>
  <c r="AI1723" i="1"/>
  <c r="AI1717" i="1"/>
  <c r="AI1702" i="1"/>
  <c r="AI1701" i="1"/>
  <c r="AI1699" i="1"/>
  <c r="AI1698" i="1"/>
  <c r="AI1696" i="1"/>
  <c r="AI1695" i="1"/>
  <c r="AI1693" i="1"/>
  <c r="AI1692" i="1"/>
  <c r="AI1687" i="1"/>
  <c r="AI1686" i="1"/>
  <c r="AI1683" i="1"/>
  <c r="AI1682" i="1"/>
  <c r="AI1679" i="1"/>
  <c r="AI1678" i="1"/>
  <c r="AI1675" i="1"/>
  <c r="AI1674" i="1"/>
  <c r="AI1671" i="1"/>
  <c r="AI1670" i="1"/>
  <c r="AI1667" i="1"/>
  <c r="AI1663" i="1"/>
  <c r="AI1661" i="1"/>
  <c r="AI1655" i="1"/>
  <c r="AI1652" i="1"/>
  <c r="AI1651" i="1"/>
  <c r="AI1648" i="1"/>
  <c r="AI1237" i="1"/>
  <c r="AI1235" i="1"/>
  <c r="AI1641" i="1"/>
  <c r="AI1638" i="1"/>
  <c r="AI1637" i="1"/>
  <c r="AI1633" i="1"/>
  <c r="AI1626" i="1"/>
  <c r="AI1624" i="1"/>
  <c r="AI1623" i="1"/>
  <c r="AI1620" i="1"/>
  <c r="AI1613" i="1"/>
  <c r="AI1612" i="1"/>
  <c r="AI1611" i="1"/>
  <c r="AI1605" i="1"/>
  <c r="AI1592" i="1"/>
  <c r="AI1590" i="1"/>
  <c r="AI1589" i="1"/>
  <c r="AI1587" i="1"/>
  <c r="AI1586" i="1"/>
  <c r="AI1583" i="1"/>
  <c r="AI1579" i="1"/>
  <c r="AI1576" i="1"/>
  <c r="AI1575" i="1"/>
  <c r="AI1573" i="1"/>
  <c r="AI1566" i="1"/>
  <c r="AI1562" i="1"/>
  <c r="AI1557" i="1"/>
  <c r="AI1554" i="1"/>
  <c r="AI1547" i="1"/>
  <c r="AI1543" i="1"/>
  <c r="AI1542" i="1"/>
  <c r="AI1539" i="1"/>
  <c r="AI1538" i="1"/>
  <c r="AI1534" i="1"/>
  <c r="AI1533" i="1"/>
  <c r="AI1531" i="1"/>
  <c r="AI1530" i="1"/>
  <c r="AI1525" i="1"/>
  <c r="AI1524" i="1"/>
  <c r="AI1514" i="1"/>
  <c r="AI1510" i="1"/>
  <c r="AI1502" i="1"/>
  <c r="AI1499" i="1"/>
  <c r="AI1498" i="1"/>
  <c r="AI1495" i="1"/>
  <c r="AI1491" i="1"/>
  <c r="AI1489" i="1"/>
  <c r="AI1488" i="1"/>
  <c r="AI1486" i="1"/>
  <c r="AI1479" i="1"/>
  <c r="AI1477" i="1"/>
  <c r="AI1472" i="1"/>
  <c r="AI1471" i="1"/>
  <c r="AI1464" i="1"/>
  <c r="AI1461" i="1"/>
  <c r="AI1452" i="1"/>
  <c r="AI1450" i="1"/>
  <c r="AI1449" i="1"/>
  <c r="AI1447" i="1"/>
  <c r="AI1446" i="1"/>
  <c r="AI1443" i="1"/>
  <c r="AI1442" i="1"/>
  <c r="AI1440" i="1"/>
  <c r="AI1439" i="1"/>
  <c r="AI1435" i="1"/>
  <c r="AI1434" i="1"/>
  <c r="AI1432" i="1"/>
  <c r="AI1431" i="1"/>
  <c r="AI1428" i="1"/>
  <c r="AI1427" i="1"/>
  <c r="AI1425" i="1"/>
  <c r="AI1424" i="1"/>
  <c r="AI1420" i="1"/>
  <c r="AI1419" i="1"/>
  <c r="AI1417" i="1"/>
  <c r="AI1397" i="1"/>
  <c r="AI1395" i="1"/>
  <c r="AI1385" i="1"/>
  <c r="AI1384" i="1"/>
  <c r="AI1380" i="1"/>
  <c r="AI1372" i="1"/>
  <c r="AI1371" i="1"/>
  <c r="AI1367" i="1"/>
  <c r="AI1366" i="1"/>
  <c r="AI1361" i="1"/>
  <c r="AI1354" i="1"/>
  <c r="AI1352" i="1"/>
  <c r="AI1342" i="1"/>
  <c r="AI1340" i="1"/>
  <c r="AI1336" i="1"/>
  <c r="AI1334" i="1"/>
  <c r="AI1329" i="1"/>
  <c r="AI1328" i="1"/>
  <c r="AI1327" i="1"/>
  <c r="AI1325" i="1"/>
  <c r="AI1324" i="1"/>
  <c r="AI1320" i="1"/>
  <c r="AI1319" i="1"/>
  <c r="AI1316" i="1"/>
  <c r="AI1315" i="1"/>
  <c r="AI1313" i="1"/>
  <c r="AI1312" i="1"/>
  <c r="AI1308" i="1"/>
  <c r="AI1307" i="1"/>
  <c r="AI1303" i="1"/>
  <c r="AI1299" i="1"/>
  <c r="AI1294" i="1"/>
  <c r="AI1293" i="1"/>
  <c r="AI1290" i="1"/>
  <c r="AI1289" i="1"/>
  <c r="AI1286" i="1"/>
  <c r="AI1285" i="1"/>
  <c r="AI1282" i="1"/>
  <c r="AI1281" i="1"/>
  <c r="AI1278" i="1"/>
  <c r="AI1274" i="1"/>
  <c r="AI1271" i="1"/>
  <c r="AI1267" i="1"/>
  <c r="AI1265" i="1"/>
  <c r="AI1261" i="1"/>
  <c r="AI1259" i="1"/>
  <c r="AI1258" i="1"/>
  <c r="AI1255" i="1"/>
  <c r="AI1254" i="1"/>
  <c r="AI1251" i="1"/>
  <c r="AI1250" i="1"/>
  <c r="AI1248" i="1"/>
  <c r="AI1247" i="1"/>
  <c r="AI1245" i="1"/>
  <c r="AI1244" i="1"/>
  <c r="AI1242" i="1"/>
  <c r="AI1241" i="1"/>
  <c r="AI1238" i="1"/>
  <c r="AI1222" i="1"/>
  <c r="AI1220" i="1"/>
  <c r="AI1219" i="1"/>
  <c r="AI1216" i="1"/>
  <c r="AI1215" i="1"/>
  <c r="AI1213" i="1"/>
  <c r="AI1212" i="1"/>
  <c r="AI1208" i="1"/>
  <c r="AI1207" i="1"/>
  <c r="AI1205" i="1"/>
  <c r="AI1204" i="1"/>
  <c r="AI1197" i="1"/>
  <c r="AI1196" i="1"/>
  <c r="AI1194" i="1"/>
  <c r="AI1193" i="1"/>
  <c r="AI1191" i="1"/>
  <c r="AI1190" i="1"/>
  <c r="AI1188" i="1"/>
  <c r="AI1187" i="1"/>
  <c r="AI1184" i="1"/>
  <c r="AI1183" i="1"/>
  <c r="AI1180" i="1"/>
  <c r="AI1179" i="1"/>
  <c r="AI1177" i="1"/>
  <c r="AI1176" i="1"/>
  <c r="AI1173" i="1"/>
  <c r="AI1167" i="1"/>
  <c r="AI1153" i="1"/>
  <c r="AI1148" i="1"/>
  <c r="AI1141" i="1"/>
  <c r="AI1133" i="1"/>
  <c r="AI1124" i="1"/>
  <c r="AI1119" i="1"/>
  <c r="AI1115" i="1"/>
  <c r="AI1100" i="1"/>
  <c r="AI1099" i="1"/>
  <c r="AI1067" i="1"/>
  <c r="AI1063" i="1"/>
  <c r="AI1095" i="1"/>
  <c r="AI1092" i="1"/>
  <c r="AI1087" i="1"/>
  <c r="AI1084" i="1"/>
  <c r="AI1083" i="1"/>
  <c r="AI1081" i="1"/>
  <c r="AI1070" i="1"/>
  <c r="AI1068" i="1"/>
  <c r="AI1062" i="1"/>
  <c r="AI1060" i="1"/>
  <c r="AI1059" i="1"/>
  <c r="AI1057" i="1"/>
  <c r="AI1056" i="1"/>
  <c r="AI1050" i="1"/>
  <c r="AI1045" i="1"/>
  <c r="AI1044" i="1"/>
  <c r="AI1042" i="1"/>
  <c r="AI1041" i="1"/>
  <c r="AI1038" i="1"/>
  <c r="AI1037" i="1"/>
  <c r="AI1035" i="1"/>
  <c r="AI1034" i="1"/>
  <c r="AI1031" i="1"/>
  <c r="AI1030" i="1"/>
  <c r="AI1027" i="1"/>
  <c r="AI1026" i="1"/>
  <c r="AI1022" i="1"/>
  <c r="AI1021" i="1"/>
  <c r="AI1017" i="1"/>
  <c r="AI1016" i="1"/>
  <c r="AI1011" i="1"/>
  <c r="AI1010" i="1"/>
  <c r="AI1007" i="1"/>
  <c r="AI1006" i="1"/>
  <c r="AI1003" i="1"/>
  <c r="AI1002" i="1"/>
  <c r="AI1000" i="1"/>
  <c r="AI999" i="1"/>
  <c r="AI992" i="1"/>
  <c r="AI991" i="1"/>
  <c r="AI987" i="1"/>
  <c r="AI986" i="1"/>
  <c r="AI984" i="1"/>
  <c r="AI968" i="1"/>
  <c r="AI964" i="1"/>
  <c r="AI854" i="1"/>
  <c r="AI957" i="1"/>
  <c r="AI950" i="1"/>
  <c r="AI949" i="1"/>
  <c r="AI947" i="1"/>
  <c r="AI943" i="1"/>
  <c r="AI942" i="1"/>
  <c r="AI936" i="1"/>
  <c r="AI928" i="1"/>
  <c r="AI925" i="1"/>
  <c r="AI924" i="1"/>
  <c r="AI921" i="1"/>
  <c r="AI785" i="1"/>
  <c r="AI780" i="1"/>
  <c r="AI908" i="1"/>
  <c r="AI905" i="1"/>
  <c r="AI904" i="1"/>
  <c r="AI900" i="1"/>
  <c r="AI899" i="1"/>
  <c r="AI896" i="1"/>
  <c r="AI891" i="1"/>
  <c r="AI887" i="1"/>
  <c r="AI886" i="1"/>
  <c r="AI882" i="1"/>
  <c r="AI881" i="1"/>
  <c r="AI876" i="1"/>
  <c r="AI875" i="1"/>
  <c r="AI873" i="1"/>
  <c r="AI872" i="1"/>
  <c r="AI868" i="1"/>
  <c r="AI867" i="1"/>
  <c r="AI857" i="1"/>
  <c r="AI853" i="1"/>
  <c r="AI847" i="1"/>
  <c r="AI843" i="1"/>
  <c r="AI838" i="1"/>
  <c r="AI834" i="1"/>
  <c r="AI833" i="1"/>
  <c r="AI828" i="1"/>
  <c r="AI827" i="1"/>
  <c r="AI825" i="1"/>
  <c r="AI818" i="1"/>
  <c r="AI815" i="1"/>
  <c r="AI814" i="1"/>
  <c r="AI810" i="1"/>
  <c r="AI809" i="1"/>
  <c r="AI802" i="1"/>
  <c r="AI801" i="1"/>
  <c r="AI799" i="1"/>
  <c r="AI798" i="1"/>
  <c r="AI794" i="1"/>
  <c r="AI793" i="1"/>
  <c r="AI790" i="1"/>
  <c r="AI789" i="1"/>
  <c r="AI786" i="1"/>
  <c r="AI779" i="1"/>
  <c r="AI776" i="1"/>
  <c r="AI772" i="1"/>
  <c r="AI768" i="1"/>
  <c r="AI767" i="1"/>
  <c r="AI763" i="1"/>
  <c r="AI762" i="1"/>
  <c r="AI760" i="1"/>
  <c r="AI759" i="1"/>
  <c r="AI756" i="1"/>
  <c r="AI744" i="1"/>
  <c r="AI740" i="1"/>
  <c r="AI730" i="1"/>
  <c r="AI719" i="1"/>
  <c r="AI712" i="1"/>
  <c r="AI709" i="1"/>
  <c r="AI705" i="1"/>
  <c r="AI699" i="1"/>
  <c r="AI698" i="1"/>
  <c r="AI688" i="1"/>
  <c r="AI682" i="1"/>
  <c r="AI679" i="1"/>
  <c r="AI672" i="1"/>
  <c r="AI669" i="1"/>
  <c r="AI665" i="1"/>
  <c r="AI661" i="1"/>
  <c r="AI657" i="1"/>
  <c r="AI648" i="1"/>
  <c r="AI644" i="1"/>
  <c r="AI636" i="1"/>
  <c r="AI633" i="1"/>
  <c r="AI629" i="1"/>
  <c r="AI620" i="1"/>
  <c r="AI616" i="1"/>
  <c r="AI610" i="1"/>
  <c r="AI606" i="1"/>
  <c r="AI597" i="1"/>
  <c r="AI591" i="1"/>
  <c r="AI588" i="1"/>
  <c r="AI582" i="1"/>
  <c r="AI579" i="1"/>
  <c r="AI576" i="1"/>
  <c r="AI568" i="1"/>
  <c r="AI558" i="1"/>
  <c r="AI557" i="1"/>
  <c r="AI554" i="1"/>
  <c r="AI553" i="1"/>
  <c r="AI550" i="1"/>
  <c r="AI549" i="1"/>
  <c r="AI539" i="1"/>
  <c r="AI535" i="1"/>
  <c r="AI534" i="1"/>
  <c r="AI531" i="1"/>
  <c r="AI527" i="1"/>
  <c r="AI524" i="1"/>
  <c r="AI523" i="1"/>
  <c r="AI519" i="1"/>
  <c r="AI518" i="1"/>
  <c r="AI511" i="1"/>
  <c r="AI510" i="1"/>
  <c r="AI508" i="1"/>
  <c r="AI507" i="1"/>
  <c r="AI503" i="1"/>
  <c r="AI502" i="1"/>
  <c r="AI499" i="1"/>
  <c r="AI498" i="1"/>
  <c r="AI491" i="1"/>
  <c r="AI490" i="1"/>
  <c r="AI485" i="1"/>
  <c r="AI484" i="1"/>
  <c r="AI479" i="1"/>
  <c r="AI478" i="1"/>
  <c r="AI474" i="1"/>
  <c r="AI470" i="1"/>
  <c r="AI466" i="1"/>
  <c r="AI451" i="1"/>
  <c r="AI446" i="1"/>
  <c r="AI439" i="1"/>
  <c r="AI428" i="1"/>
  <c r="AI424" i="1"/>
  <c r="AI420" i="1"/>
  <c r="AI417" i="1"/>
  <c r="AI411" i="1"/>
  <c r="AI434" i="1"/>
  <c r="AI407" i="1"/>
  <c r="AI404" i="1"/>
  <c r="AI392" i="1"/>
  <c r="AI388" i="1"/>
  <c r="AI383" i="1"/>
  <c r="AI377" i="1"/>
  <c r="AI374" i="1"/>
  <c r="AI373" i="1"/>
  <c r="AI369" i="1"/>
  <c r="AI362" i="1"/>
  <c r="AI359" i="1"/>
  <c r="AI354" i="1"/>
  <c r="AI346" i="1"/>
  <c r="AI342" i="1"/>
  <c r="AI338" i="1"/>
  <c r="AI333" i="1"/>
  <c r="AI328" i="1"/>
  <c r="AI322" i="1"/>
  <c r="AI321" i="1"/>
  <c r="AI320" i="1"/>
  <c r="AI313" i="1"/>
  <c r="AI307" i="1"/>
  <c r="AI303" i="1"/>
  <c r="AI296" i="1"/>
  <c r="AI290" i="1"/>
  <c r="AI286" i="1"/>
  <c r="AI280" i="1"/>
  <c r="AI274" i="1"/>
  <c r="AI270" i="1"/>
  <c r="AI256" i="1"/>
  <c r="AI247" i="1"/>
  <c r="AI243" i="1"/>
  <c r="AI237" i="1"/>
  <c r="AI221" i="1"/>
  <c r="AI218" i="1"/>
  <c r="AI214" i="1"/>
  <c r="AI209" i="1"/>
  <c r="AI191" i="1"/>
  <c r="AI185" i="1"/>
  <c r="AI180" i="1"/>
  <c r="AI174" i="1"/>
  <c r="AI170" i="1"/>
  <c r="AI164" i="1"/>
  <c r="AI160" i="1"/>
  <c r="AI159" i="1"/>
  <c r="AI150" i="1"/>
  <c r="AI149" i="1"/>
  <c r="AI144" i="1"/>
  <c r="AI143" i="1"/>
  <c r="AI137" i="1"/>
  <c r="AI136" i="1"/>
  <c r="AI131" i="1"/>
  <c r="AI130" i="1"/>
  <c r="AI126" i="1"/>
  <c r="AI125" i="1"/>
  <c r="AI123" i="1"/>
  <c r="AI119" i="1"/>
  <c r="AI112" i="1"/>
  <c r="AI111" i="1"/>
  <c r="AI108" i="1"/>
  <c r="AI107" i="1"/>
  <c r="AI105" i="1"/>
  <c r="AI104" i="1"/>
  <c r="AI101" i="1"/>
  <c r="AI100" i="1"/>
  <c r="AI92" i="1"/>
  <c r="AI91" i="1"/>
  <c r="AI87" i="1"/>
  <c r="AI86" i="1"/>
  <c r="AI80" i="1"/>
  <c r="AI79" i="1"/>
  <c r="AI72" i="1"/>
  <c r="AI68" i="1"/>
  <c r="AI65" i="1"/>
  <c r="AI64" i="1"/>
  <c r="AI62" i="1"/>
  <c r="AI61" i="1"/>
  <c r="AI59" i="1"/>
  <c r="AI58" i="1"/>
  <c r="AI54" i="1"/>
  <c r="AI43" i="1"/>
  <c r="AI39" i="1"/>
  <c r="AI24" i="1"/>
  <c r="AI22" i="1"/>
  <c r="AI21" i="1"/>
  <c r="AI19" i="1"/>
  <c r="AI18" i="1"/>
  <c r="AI16" i="1"/>
  <c r="AI15" i="1"/>
  <c r="AE631" i="1"/>
  <c r="V631" i="1"/>
  <c r="S631" i="1"/>
  <c r="V629" i="1"/>
  <c r="AE629" i="1"/>
  <c r="AE632" i="1"/>
  <c r="Z631" i="1"/>
  <c r="AE1297" i="1"/>
  <c r="V1297" i="1"/>
  <c r="S1297" i="1"/>
  <c r="Z1297" i="1"/>
  <c r="AE1163" i="1"/>
  <c r="S1163" i="1"/>
  <c r="V1092" i="1"/>
  <c r="AE1095" i="1"/>
  <c r="V1095" i="1"/>
  <c r="AE1094" i="1"/>
  <c r="V1094" i="1"/>
  <c r="S1094" i="1"/>
  <c r="AE1092" i="1"/>
  <c r="AE1154" i="1"/>
  <c r="V1154" i="1"/>
  <c r="S1154" i="1"/>
  <c r="Z1154" i="1"/>
  <c r="Z1094" i="1"/>
  <c r="V1163" i="1"/>
  <c r="AE498" i="1"/>
  <c r="AE497" i="1"/>
  <c r="V497" i="1"/>
  <c r="S497" i="1"/>
  <c r="AE491" i="1"/>
  <c r="Z497" i="1"/>
  <c r="AE1490" i="1"/>
  <c r="V1490" i="1"/>
  <c r="S1490" i="1"/>
  <c r="AE1117" i="1"/>
  <c r="V1117" i="1"/>
  <c r="S1117" i="1"/>
  <c r="AE277" i="1"/>
  <c r="V277" i="1"/>
  <c r="S277" i="1"/>
  <c r="AE1584" i="1"/>
  <c r="V1584" i="1"/>
  <c r="S1584" i="1"/>
  <c r="AE168" i="1"/>
  <c r="V168" i="1"/>
  <c r="S168" i="1"/>
  <c r="AE1126" i="1"/>
  <c r="V1126" i="1"/>
  <c r="S1126" i="1"/>
  <c r="AE235" i="1"/>
  <c r="V235" i="1"/>
  <c r="S235" i="1"/>
  <c r="Z168" i="1"/>
  <c r="Z1584" i="1"/>
  <c r="Z1117" i="1"/>
  <c r="Z1126" i="1"/>
  <c r="Z277" i="1"/>
  <c r="Z235" i="1"/>
  <c r="Z1490" i="1"/>
  <c r="AE1700" i="1"/>
  <c r="V1700" i="1"/>
  <c r="S1700" i="1"/>
  <c r="Z1700" i="1"/>
  <c r="V558" i="1"/>
  <c r="AE558" i="1"/>
  <c r="AE560" i="1"/>
  <c r="Z560" i="1"/>
  <c r="AE23" i="1"/>
  <c r="V23" i="1"/>
  <c r="S23" i="1"/>
  <c r="Z23" i="1"/>
  <c r="AL1764" i="1"/>
  <c r="AL1762" i="1"/>
  <c r="AL1761" i="1"/>
  <c r="AA1784" i="1"/>
  <c r="E9" i="1"/>
  <c r="Z667" i="1"/>
  <c r="Z1082" i="1"/>
  <c r="Z506" i="1"/>
  <c r="Z1588" i="1"/>
  <c r="Z501" i="1"/>
  <c r="Z533" i="1"/>
  <c r="Z172" i="1"/>
  <c r="Z259" i="1"/>
  <c r="Z386" i="1"/>
  <c r="Z408" i="1"/>
  <c r="Z476" i="1"/>
  <c r="Z735" i="1"/>
  <c r="Z813" i="1"/>
  <c r="Z889" i="1"/>
  <c r="Z783" i="1"/>
  <c r="Z937" i="1"/>
  <c r="Z855" i="1"/>
  <c r="Z1122" i="1"/>
  <c r="Z1151" i="1"/>
  <c r="Z1209" i="1"/>
  <c r="Z1239" i="1"/>
  <c r="Z1309" i="1"/>
  <c r="Z1323" i="1"/>
  <c r="Z1379" i="1"/>
  <c r="Z1672" i="1"/>
  <c r="Z98" i="1"/>
  <c r="Z409" i="1"/>
  <c r="Z449" i="1"/>
  <c r="Z477" i="1"/>
  <c r="Z522" i="1"/>
  <c r="Z764" i="1"/>
  <c r="Z938" i="1"/>
  <c r="Z1001" i="1"/>
  <c r="Z1043" i="1"/>
  <c r="Z1210" i="1"/>
  <c r="Z1240" i="1"/>
  <c r="Z1260" i="1"/>
  <c r="Z1311" i="1"/>
  <c r="Z1341" i="1"/>
  <c r="Z1535" i="1"/>
  <c r="Z1236" i="1"/>
  <c r="Z1673" i="1"/>
  <c r="Z1694" i="1"/>
  <c r="Z1724" i="1"/>
  <c r="Z1069" i="1"/>
  <c r="Z241" i="1"/>
  <c r="Z124" i="1"/>
  <c r="Z375" i="1"/>
  <c r="Z577" i="1"/>
  <c r="Z589" i="1"/>
  <c r="Z646" i="1"/>
  <c r="Z765" i="1"/>
  <c r="Z844" i="1"/>
  <c r="Z941" i="1"/>
  <c r="Z1192" i="1"/>
  <c r="Z1211" i="1"/>
  <c r="Z1283" i="1"/>
  <c r="Z1585" i="1"/>
  <c r="Z1622" i="1"/>
  <c r="Z334" i="1"/>
  <c r="Z102" i="1"/>
  <c r="Z175" i="1"/>
  <c r="Z336" i="1"/>
  <c r="Z357" i="1"/>
  <c r="Z390" i="1"/>
  <c r="Z426" i="1"/>
  <c r="Z742" i="1"/>
  <c r="Z874" i="1"/>
  <c r="Z1125" i="1"/>
  <c r="Z1536" i="1"/>
  <c r="Z1564" i="1"/>
  <c r="Z384" i="1"/>
  <c r="Z335" i="1"/>
  <c r="Z103" i="1"/>
  <c r="Z151" i="1"/>
  <c r="Z219" i="1"/>
  <c r="Z435" i="1"/>
  <c r="Z480" i="1"/>
  <c r="Z710" i="1"/>
  <c r="Z795" i="1"/>
  <c r="Z845" i="1"/>
  <c r="Z1049" i="1"/>
  <c r="Z1243" i="1"/>
  <c r="Z1266" i="1"/>
  <c r="Z1353" i="1"/>
  <c r="Z1565" i="1"/>
  <c r="Z1697" i="1"/>
  <c r="Z1742" i="1"/>
  <c r="Z437" i="1"/>
  <c r="Z481" i="1"/>
  <c r="Z525" i="1"/>
  <c r="Z592" i="1"/>
  <c r="Z649" i="1"/>
  <c r="Z769" i="1"/>
  <c r="Z797" i="1"/>
  <c r="Z826" i="1"/>
  <c r="Z846" i="1"/>
  <c r="Z1214" i="1"/>
  <c r="Z1512" i="1"/>
  <c r="Z733" i="1"/>
  <c r="Z1023" i="1"/>
  <c r="Z74" i="1"/>
  <c r="Z156" i="1"/>
  <c r="Z339" i="1"/>
  <c r="Z360" i="1"/>
  <c r="Z394" i="1"/>
  <c r="Z432" i="1"/>
  <c r="Z621" i="1"/>
  <c r="Z670" i="1"/>
  <c r="Z903" i="1"/>
  <c r="Z1033" i="1"/>
  <c r="Z258" i="1"/>
  <c r="Z106" i="1"/>
  <c r="Z278" i="1"/>
  <c r="Z304" i="1"/>
  <c r="Z396" i="1"/>
  <c r="Z452" i="1"/>
  <c r="Z622" i="1"/>
  <c r="Z746" i="1"/>
  <c r="Z879" i="1"/>
  <c r="Z927" i="1"/>
  <c r="Z988" i="1"/>
  <c r="Z1055" i="1"/>
  <c r="Z1066" i="1"/>
  <c r="Z1136" i="1"/>
  <c r="Z1365" i="1"/>
  <c r="Z1523" i="1"/>
  <c r="Z1541" i="1"/>
  <c r="Z1574" i="1"/>
  <c r="Z348" i="1"/>
  <c r="Z73" i="1"/>
  <c r="Z222" i="1"/>
  <c r="Z224" i="1"/>
  <c r="Z378" i="1"/>
  <c r="Z397" i="1"/>
  <c r="Z509" i="1"/>
  <c r="Z624" i="1"/>
  <c r="Z747" i="1"/>
  <c r="Z800" i="1"/>
  <c r="Z829" i="1"/>
  <c r="Z852" i="1"/>
  <c r="Z948" i="1"/>
  <c r="Z989" i="1"/>
  <c r="Z1199" i="1"/>
  <c r="Z1217" i="1"/>
  <c r="Z1272" i="1"/>
  <c r="Z1591" i="1"/>
  <c r="Z1681" i="1"/>
  <c r="Z1501" i="1"/>
  <c r="Z152" i="1"/>
  <c r="Z32" i="1"/>
  <c r="Z161" i="1"/>
  <c r="Z227" i="1"/>
  <c r="Z343" i="1"/>
  <c r="Z363" i="1"/>
  <c r="Z399" i="1"/>
  <c r="Z412" i="1"/>
  <c r="Z464" i="1"/>
  <c r="Z627" i="1"/>
  <c r="Z700" i="1"/>
  <c r="Z723" i="1"/>
  <c r="Z830" i="1"/>
  <c r="Z880" i="1"/>
  <c r="Z1013" i="1"/>
  <c r="Z1168" i="1"/>
  <c r="Z1186" i="1"/>
  <c r="Z1218" i="1"/>
  <c r="Z1249" i="1"/>
  <c r="Z1273" i="1"/>
  <c r="Z1295" i="1"/>
  <c r="Z1318" i="1"/>
  <c r="Z1326" i="1"/>
  <c r="Z372" i="1"/>
  <c r="Z1189" i="1"/>
  <c r="Z1280" i="1"/>
  <c r="Z1377" i="1"/>
  <c r="Z132" i="1"/>
  <c r="Z162" i="1"/>
  <c r="Z230" i="1"/>
  <c r="Z283" i="1"/>
  <c r="Z329" i="1"/>
  <c r="Z364" i="1"/>
  <c r="Z583" i="1"/>
  <c r="Z598" i="1"/>
  <c r="Z702" i="1"/>
  <c r="Z727" i="1"/>
  <c r="Z778" i="1"/>
  <c r="Z1015" i="1"/>
  <c r="Z1058" i="1"/>
  <c r="Z1144" i="1"/>
  <c r="Z1171" i="1"/>
  <c r="Z1200" i="1"/>
  <c r="Z1298" i="1"/>
  <c r="Z1368" i="1"/>
  <c r="Z1526" i="1"/>
  <c r="Z1544" i="1"/>
  <c r="Z1578" i="1"/>
  <c r="Z1636" i="1"/>
  <c r="Z475" i="1"/>
  <c r="Z76" i="1"/>
  <c r="Z135" i="1"/>
  <c r="Z232" i="1"/>
  <c r="Z284" i="1"/>
  <c r="Z308" i="1"/>
  <c r="Z344" i="1"/>
  <c r="Z440" i="1"/>
  <c r="Z556" i="1"/>
  <c r="Z703" i="1"/>
  <c r="Z728" i="1"/>
  <c r="Z858" i="1"/>
  <c r="Z1143" i="1"/>
  <c r="Z1369" i="1"/>
  <c r="Z1497" i="1"/>
  <c r="Z1528" i="1"/>
  <c r="Z1685" i="1"/>
  <c r="Z1149" i="1"/>
  <c r="Z254" i="1"/>
  <c r="Z418" i="1"/>
  <c r="Z441" i="1"/>
  <c r="Z467" i="1"/>
  <c r="Z634" i="1"/>
  <c r="Z659" i="1"/>
  <c r="Z805" i="1"/>
  <c r="Z859" i="1"/>
  <c r="Z885" i="1"/>
  <c r="Z993" i="1"/>
  <c r="Z1146" i="1"/>
  <c r="Z1370" i="1"/>
  <c r="Z90" i="1"/>
  <c r="Z115" i="1"/>
  <c r="Z210" i="1"/>
  <c r="Z370" i="1"/>
  <c r="Z442" i="1"/>
  <c r="Z607" i="1"/>
  <c r="Z836" i="1"/>
  <c r="Z864" i="1"/>
  <c r="Z994" i="1"/>
  <c r="Z1175" i="1"/>
  <c r="Z1206" i="1"/>
  <c r="Z1304" i="1"/>
  <c r="Z1639" i="1"/>
  <c r="Z1669" i="1"/>
  <c r="Z1718" i="1"/>
  <c r="Z42" i="1"/>
  <c r="Z663" i="1"/>
  <c r="Z117" i="1"/>
  <c r="Z212" i="1"/>
  <c r="Z288" i="1"/>
  <c r="Z316" i="1"/>
  <c r="Z347" i="1"/>
  <c r="Z443" i="1"/>
  <c r="Z731" i="1"/>
  <c r="Z761" i="1"/>
  <c r="Z787" i="1"/>
  <c r="Z998" i="1"/>
  <c r="Z1257" i="1"/>
  <c r="Z1500" i="1"/>
  <c r="Z1532" i="1"/>
  <c r="Z1690" i="1"/>
  <c r="Z681" i="1"/>
  <c r="Z683" i="1"/>
  <c r="Z684" i="1"/>
  <c r="Z689" i="1"/>
  <c r="Z690" i="1"/>
  <c r="Z697" i="1"/>
  <c r="Z675" i="1"/>
  <c r="Z676" i="1"/>
  <c r="Z677" i="1"/>
  <c r="Z678" i="1"/>
  <c r="Z680" i="1"/>
  <c r="Z572" i="1"/>
  <c r="Z569" i="1"/>
  <c r="Z379" i="1"/>
  <c r="Z381" i="1"/>
  <c r="Z298" i="1"/>
  <c r="Z1448" i="1"/>
  <c r="Z1441" i="1"/>
  <c r="Z1438" i="1"/>
  <c r="Z1677" i="1"/>
  <c r="Z707" i="1"/>
  <c r="AI9" i="1"/>
  <c r="AE98" i="1"/>
  <c r="V98" i="1"/>
  <c r="S98" i="1"/>
  <c r="S32" i="1"/>
  <c r="V32" i="1"/>
  <c r="AE32" i="1"/>
  <c r="AE222" i="1"/>
  <c r="V222" i="1"/>
  <c r="S222" i="1"/>
  <c r="AE1143" i="1"/>
  <c r="V1143" i="1"/>
  <c r="S1143" i="1"/>
  <c r="AE627" i="1"/>
  <c r="V627" i="1"/>
  <c r="S627" i="1"/>
  <c r="AE577" i="1"/>
  <c r="V577" i="1"/>
  <c r="S577" i="1"/>
  <c r="AE449" i="1"/>
  <c r="V449" i="1"/>
  <c r="S449" i="1"/>
  <c r="AE467" i="1"/>
  <c r="V467" i="1"/>
  <c r="S467" i="1"/>
  <c r="S357" i="1"/>
  <c r="V357" i="1"/>
  <c r="AE357" i="1"/>
  <c r="AE396" i="1"/>
  <c r="V396" i="1"/>
  <c r="S396" i="1"/>
  <c r="AE506" i="1"/>
  <c r="V506" i="1"/>
  <c r="U506" i="1"/>
  <c r="T506" i="1"/>
  <c r="S506" i="1"/>
  <c r="S390" i="1"/>
  <c r="V390" i="1"/>
  <c r="AE390" i="1"/>
  <c r="S17" i="1"/>
  <c r="V17" i="1"/>
  <c r="AE17" i="1"/>
  <c r="AE442" i="1"/>
  <c r="V442" i="1"/>
  <c r="S442" i="1"/>
  <c r="AI1" i="1"/>
  <c r="AE426" i="1"/>
  <c r="V426" i="1"/>
  <c r="S426" i="1"/>
  <c r="AE386" i="1"/>
  <c r="V386" i="1"/>
  <c r="S386" i="1"/>
  <c r="AE106" i="1"/>
  <c r="V106" i="1"/>
  <c r="S106" i="1"/>
  <c r="AE370" i="1"/>
  <c r="V370" i="1"/>
  <c r="S370" i="1"/>
  <c r="AE599" i="1"/>
  <c r="AE598" i="1"/>
  <c r="AE597" i="1"/>
  <c r="AE1755" i="1"/>
  <c r="AE1753" i="1"/>
  <c r="AE1746" i="1"/>
  <c r="AE1745" i="1"/>
  <c r="AE1744" i="1"/>
  <c r="AE1743" i="1"/>
  <c r="AE1742" i="1"/>
  <c r="AE1741" i="1"/>
  <c r="AE1725" i="1"/>
  <c r="AE1724" i="1"/>
  <c r="AE1723" i="1"/>
  <c r="AE1719" i="1"/>
  <c r="AE1718" i="1"/>
  <c r="AE1717" i="1"/>
  <c r="AE1702" i="1"/>
  <c r="AE1701" i="1"/>
  <c r="AE1699" i="1"/>
  <c r="AE1698" i="1"/>
  <c r="AE1697" i="1"/>
  <c r="AE1696" i="1"/>
  <c r="AE1695" i="1"/>
  <c r="AE1694" i="1"/>
  <c r="AE1693" i="1"/>
  <c r="AE1692" i="1"/>
  <c r="AE1690" i="1"/>
  <c r="AE1687" i="1"/>
  <c r="AE1686" i="1"/>
  <c r="AE1685" i="1"/>
  <c r="AE1683" i="1"/>
  <c r="AE1682" i="1"/>
  <c r="AE1681" i="1"/>
  <c r="AE1679" i="1"/>
  <c r="AE1678" i="1"/>
  <c r="AE1677" i="1"/>
  <c r="AE1675" i="1"/>
  <c r="AE1674" i="1"/>
  <c r="AE1673" i="1"/>
  <c r="AE1672" i="1"/>
  <c r="AE1671" i="1"/>
  <c r="AE1670" i="1"/>
  <c r="AE1669" i="1"/>
  <c r="AE1667" i="1"/>
  <c r="AE1663" i="1"/>
  <c r="AE1661" i="1"/>
  <c r="AE1655" i="1"/>
  <c r="AE1652" i="1"/>
  <c r="AE1651" i="1"/>
  <c r="AE1648" i="1"/>
  <c r="AE1237" i="1"/>
  <c r="AE1236" i="1"/>
  <c r="AE1235" i="1"/>
  <c r="AE1641" i="1"/>
  <c r="AE1639" i="1"/>
  <c r="AE1638" i="1"/>
  <c r="AE1637" i="1"/>
  <c r="AE1636" i="1"/>
  <c r="AE1633" i="1"/>
  <c r="AE1626" i="1"/>
  <c r="AE1624" i="1"/>
  <c r="AE1623" i="1"/>
  <c r="AE1622" i="1"/>
  <c r="AE1620" i="1"/>
  <c r="AE1613" i="1"/>
  <c r="AE1612" i="1"/>
  <c r="AE1611" i="1"/>
  <c r="AE1605" i="1"/>
  <c r="AE1592" i="1"/>
  <c r="AE1591" i="1"/>
  <c r="AE1590" i="1"/>
  <c r="AE1589" i="1"/>
  <c r="AE1588" i="1"/>
  <c r="AE1587" i="1"/>
  <c r="AE1586" i="1"/>
  <c r="AE1585" i="1"/>
  <c r="AE1583" i="1"/>
  <c r="AE1579" i="1"/>
  <c r="AE1578" i="1"/>
  <c r="AE1576" i="1"/>
  <c r="AE1575" i="1"/>
  <c r="AE1574" i="1"/>
  <c r="AE1573" i="1"/>
  <c r="AE1566" i="1"/>
  <c r="AE1565" i="1"/>
  <c r="AE1564" i="1"/>
  <c r="AE1562" i="1"/>
  <c r="AE1557" i="1"/>
  <c r="AE1554" i="1"/>
  <c r="AE1547" i="1"/>
  <c r="AE1544" i="1"/>
  <c r="AE1543" i="1"/>
  <c r="AE1542" i="1"/>
  <c r="AE1541" i="1"/>
  <c r="AE1539" i="1"/>
  <c r="AE1538" i="1"/>
  <c r="AE1536" i="1"/>
  <c r="AE1535" i="1"/>
  <c r="AE1534" i="1"/>
  <c r="AE1533" i="1"/>
  <c r="AE1532" i="1"/>
  <c r="AE1531" i="1"/>
  <c r="AE1530" i="1"/>
  <c r="AE1528" i="1"/>
  <c r="AE1526" i="1"/>
  <c r="AE1525" i="1"/>
  <c r="AE1524" i="1"/>
  <c r="AE1523" i="1"/>
  <c r="AE1514" i="1"/>
  <c r="AE1512" i="1"/>
  <c r="AE1510" i="1"/>
  <c r="AE1502" i="1"/>
  <c r="AE1501" i="1"/>
  <c r="AE1500" i="1"/>
  <c r="AE1499" i="1"/>
  <c r="AE1498" i="1"/>
  <c r="AE1497" i="1"/>
  <c r="AE1495" i="1"/>
  <c r="AE1491" i="1"/>
  <c r="AE1489" i="1"/>
  <c r="AE1488" i="1"/>
  <c r="AE1486" i="1"/>
  <c r="AE1479" i="1"/>
  <c r="AE1477" i="1"/>
  <c r="AE1472" i="1"/>
  <c r="AE1471" i="1"/>
  <c r="AE1464" i="1"/>
  <c r="AE1461" i="1"/>
  <c r="AE1452" i="1"/>
  <c r="AE1450" i="1"/>
  <c r="AE1449" i="1"/>
  <c r="AE1448" i="1"/>
  <c r="AE1447" i="1"/>
  <c r="AE1446" i="1"/>
  <c r="AE1443" i="1"/>
  <c r="AE1442" i="1"/>
  <c r="AE1441" i="1"/>
  <c r="AE1440" i="1"/>
  <c r="AE1439" i="1"/>
  <c r="AE1438" i="1"/>
  <c r="AE1435" i="1"/>
  <c r="AE1434" i="1"/>
  <c r="AE1432" i="1"/>
  <c r="AE1431" i="1"/>
  <c r="AE1428" i="1"/>
  <c r="AE1427" i="1"/>
  <c r="AE1425" i="1"/>
  <c r="AE1424" i="1"/>
  <c r="AE1420" i="1"/>
  <c r="AE1419" i="1"/>
  <c r="AE1417" i="1"/>
  <c r="AE1397" i="1"/>
  <c r="AE1395" i="1"/>
  <c r="AE1385" i="1"/>
  <c r="AE1384" i="1"/>
  <c r="AE1380" i="1"/>
  <c r="AE1379" i="1"/>
  <c r="AE1377" i="1"/>
  <c r="AE1372" i="1"/>
  <c r="AE1371" i="1"/>
  <c r="AE1370" i="1"/>
  <c r="AE1369" i="1"/>
  <c r="AE1368" i="1"/>
  <c r="AE1367" i="1"/>
  <c r="AE1366" i="1"/>
  <c r="AE1365" i="1"/>
  <c r="AE1361" i="1"/>
  <c r="AE1354" i="1"/>
  <c r="AE1353" i="1"/>
  <c r="AE1352" i="1"/>
  <c r="AE1342" i="1"/>
  <c r="AE1341" i="1"/>
  <c r="AE1340" i="1"/>
  <c r="AE1336" i="1"/>
  <c r="AE1334" i="1"/>
  <c r="AE1329" i="1"/>
  <c r="AE1328" i="1"/>
  <c r="AE1327" i="1"/>
  <c r="AE1326" i="1"/>
  <c r="AE1325" i="1"/>
  <c r="AE1324" i="1"/>
  <c r="AE1323" i="1"/>
  <c r="AE1320" i="1"/>
  <c r="AE1319" i="1"/>
  <c r="AE1318" i="1"/>
  <c r="AE1316" i="1"/>
  <c r="AE1315" i="1"/>
  <c r="AE1313" i="1"/>
  <c r="AE1312" i="1"/>
  <c r="AE1311" i="1"/>
  <c r="AE1309" i="1"/>
  <c r="AE1308" i="1"/>
  <c r="AE1307" i="1"/>
  <c r="AE1304" i="1"/>
  <c r="AE1303" i="1"/>
  <c r="AE1299" i="1"/>
  <c r="AE1298" i="1"/>
  <c r="AE1295" i="1"/>
  <c r="AE1294" i="1"/>
  <c r="AE1293" i="1"/>
  <c r="AE1290" i="1"/>
  <c r="AE1289" i="1"/>
  <c r="AE1286" i="1"/>
  <c r="AE1285" i="1"/>
  <c r="AE1283" i="1"/>
  <c r="AE1282" i="1"/>
  <c r="AE1281" i="1"/>
  <c r="AE1280" i="1"/>
  <c r="AE1278" i="1"/>
  <c r="AE1274" i="1"/>
  <c r="AE1273" i="1"/>
  <c r="AE1272" i="1"/>
  <c r="AE1271" i="1"/>
  <c r="AE1267" i="1"/>
  <c r="AE1266" i="1"/>
  <c r="AE1265" i="1"/>
  <c r="AE1261" i="1"/>
  <c r="AE1260" i="1"/>
  <c r="AE1259" i="1"/>
  <c r="AE1258" i="1"/>
  <c r="AE1257" i="1"/>
  <c r="AE1255" i="1"/>
  <c r="AE1254" i="1"/>
  <c r="AE1251" i="1"/>
  <c r="AE1250" i="1"/>
  <c r="AE1249" i="1"/>
  <c r="AE1248" i="1"/>
  <c r="AE1247" i="1"/>
  <c r="AE1245" i="1"/>
  <c r="AE1244" i="1"/>
  <c r="AE1243" i="1"/>
  <c r="AE1242" i="1"/>
  <c r="AE1241" i="1"/>
  <c r="AE1240" i="1"/>
  <c r="AE1239" i="1"/>
  <c r="AE1238" i="1"/>
  <c r="AE1222" i="1"/>
  <c r="AE1220" i="1"/>
  <c r="AE1219" i="1"/>
  <c r="AE1218" i="1"/>
  <c r="AE1217" i="1"/>
  <c r="AE1216" i="1"/>
  <c r="AE1215" i="1"/>
  <c r="AE1214" i="1"/>
  <c r="AE1213" i="1"/>
  <c r="AE1212" i="1"/>
  <c r="AE1211" i="1"/>
  <c r="AE1210" i="1"/>
  <c r="AE1209" i="1"/>
  <c r="AE1208" i="1"/>
  <c r="AE1207" i="1"/>
  <c r="AE1206" i="1"/>
  <c r="AE1205" i="1"/>
  <c r="AE1204" i="1"/>
  <c r="AE1200" i="1"/>
  <c r="AE1199" i="1"/>
  <c r="AE1197" i="1"/>
  <c r="AE1196" i="1"/>
  <c r="AE1194" i="1"/>
  <c r="AE1193" i="1"/>
  <c r="AE1192" i="1"/>
  <c r="AE1191" i="1"/>
  <c r="AE1190" i="1"/>
  <c r="AE1189" i="1"/>
  <c r="AE1188" i="1"/>
  <c r="AE1187" i="1"/>
  <c r="AE1186" i="1"/>
  <c r="AE1184" i="1"/>
  <c r="AE1183" i="1"/>
  <c r="AE1180" i="1"/>
  <c r="AE1179" i="1"/>
  <c r="AE1177" i="1"/>
  <c r="AE1176" i="1"/>
  <c r="AE1175" i="1"/>
  <c r="AE1173" i="1"/>
  <c r="AE1172" i="1"/>
  <c r="AE1171" i="1"/>
  <c r="AE1168" i="1"/>
  <c r="AE1167" i="1"/>
  <c r="AE1155" i="1"/>
  <c r="AE1153" i="1"/>
  <c r="AE1152" i="1"/>
  <c r="AE1151" i="1"/>
  <c r="AE1149" i="1"/>
  <c r="AE1148" i="1"/>
  <c r="AE1147" i="1"/>
  <c r="AE1146" i="1"/>
  <c r="AE1144" i="1"/>
  <c r="AE1141" i="1"/>
  <c r="AE1140" i="1"/>
  <c r="AE1136" i="1"/>
  <c r="AE1133" i="1"/>
  <c r="AE1128" i="1"/>
  <c r="AE1125" i="1"/>
  <c r="AE1124" i="1"/>
  <c r="AE1123" i="1"/>
  <c r="AE1122" i="1"/>
  <c r="AE1119" i="1"/>
  <c r="AE1118" i="1"/>
  <c r="AE1115" i="1"/>
  <c r="AE1100" i="1"/>
  <c r="AE1099" i="1"/>
  <c r="AE1067" i="1"/>
  <c r="AE1066" i="1"/>
  <c r="AE1063" i="1"/>
  <c r="AE1087" i="1"/>
  <c r="AE1084" i="1"/>
  <c r="AE1083" i="1"/>
  <c r="AE1082" i="1"/>
  <c r="AE1081" i="1"/>
  <c r="AE1070" i="1"/>
  <c r="AE1069" i="1"/>
  <c r="AE1068" i="1"/>
  <c r="AE1062" i="1"/>
  <c r="AE1060" i="1"/>
  <c r="AE1059" i="1"/>
  <c r="AE1058" i="1"/>
  <c r="AE1057" i="1"/>
  <c r="AE1056" i="1"/>
  <c r="AE1055" i="1"/>
  <c r="AE1050" i="1"/>
  <c r="AE1049" i="1"/>
  <c r="AE1045" i="1"/>
  <c r="AE1044" i="1"/>
  <c r="AE1043" i="1"/>
  <c r="AE1042" i="1"/>
  <c r="AE1041" i="1"/>
  <c r="AE1038" i="1"/>
  <c r="AE1037" i="1"/>
  <c r="AE1035" i="1"/>
  <c r="AE1034" i="1"/>
  <c r="AE1033" i="1"/>
  <c r="AE1031" i="1"/>
  <c r="AE1030" i="1"/>
  <c r="AE1027" i="1"/>
  <c r="AE1026" i="1"/>
  <c r="AE1023" i="1"/>
  <c r="AE1022" i="1"/>
  <c r="AE1021" i="1"/>
  <c r="AE1017" i="1"/>
  <c r="AE1016" i="1"/>
  <c r="AE1015" i="1"/>
  <c r="AE1013" i="1"/>
  <c r="AE1011" i="1"/>
  <c r="AE1010" i="1"/>
  <c r="AE1007" i="1"/>
  <c r="AE1006" i="1"/>
  <c r="AE1003" i="1"/>
  <c r="AE1002" i="1"/>
  <c r="AE1001" i="1"/>
  <c r="AE1000" i="1"/>
  <c r="AE999" i="1"/>
  <c r="AE998" i="1"/>
  <c r="AE994" i="1"/>
  <c r="AE993" i="1"/>
  <c r="AE992" i="1"/>
  <c r="AE991" i="1"/>
  <c r="AE989" i="1"/>
  <c r="AE988" i="1"/>
  <c r="AE987" i="1"/>
  <c r="AE986" i="1"/>
  <c r="AE984" i="1"/>
  <c r="AE968" i="1"/>
  <c r="AE964" i="1"/>
  <c r="AE856" i="1"/>
  <c r="AE855" i="1"/>
  <c r="AE854" i="1"/>
  <c r="AE963" i="1"/>
  <c r="AE957" i="1"/>
  <c r="AE956" i="1"/>
  <c r="AE950" i="1"/>
  <c r="AE949" i="1"/>
  <c r="AE948" i="1"/>
  <c r="AE947" i="1"/>
  <c r="AE946" i="1"/>
  <c r="AE943" i="1"/>
  <c r="AE942" i="1"/>
  <c r="AE941" i="1"/>
  <c r="AE938" i="1"/>
  <c r="AE937" i="1"/>
  <c r="AE936" i="1"/>
  <c r="AE928" i="1"/>
  <c r="AE927" i="1"/>
  <c r="AE925" i="1"/>
  <c r="AE924" i="1"/>
  <c r="AE921" i="1"/>
  <c r="AE785" i="1"/>
  <c r="AE783" i="1"/>
  <c r="AE780" i="1"/>
  <c r="AE908" i="1"/>
  <c r="AE905" i="1"/>
  <c r="AE904" i="1"/>
  <c r="AE903" i="1"/>
  <c r="AE900" i="1"/>
  <c r="AE899" i="1"/>
  <c r="AE896" i="1"/>
  <c r="AE891" i="1"/>
  <c r="AE889" i="1"/>
  <c r="AE887" i="1"/>
  <c r="AE886" i="1"/>
  <c r="AE885" i="1"/>
  <c r="AE882" i="1"/>
  <c r="AE881" i="1"/>
  <c r="AE880" i="1"/>
  <c r="AE879" i="1"/>
  <c r="AE876" i="1"/>
  <c r="AE875" i="1"/>
  <c r="AE874" i="1"/>
  <c r="AE873" i="1"/>
  <c r="AE872" i="1"/>
  <c r="AE868" i="1"/>
  <c r="AE867" i="1"/>
  <c r="AE864" i="1"/>
  <c r="AE859" i="1"/>
  <c r="AE858" i="1"/>
  <c r="AE857" i="1"/>
  <c r="AE853" i="1"/>
  <c r="AE852" i="1"/>
  <c r="AE847" i="1"/>
  <c r="AE846" i="1"/>
  <c r="AE845" i="1"/>
  <c r="AE844" i="1"/>
  <c r="AE843" i="1"/>
  <c r="AE838" i="1"/>
  <c r="AE836" i="1"/>
  <c r="AE834" i="1"/>
  <c r="AE833" i="1"/>
  <c r="AE830" i="1"/>
  <c r="AE829" i="1"/>
  <c r="AE828" i="1"/>
  <c r="AE827" i="1"/>
  <c r="AE826" i="1"/>
  <c r="AE825" i="1"/>
  <c r="AE818" i="1"/>
  <c r="AE815" i="1"/>
  <c r="AE814" i="1"/>
  <c r="AE813" i="1"/>
  <c r="AE810" i="1"/>
  <c r="AE809" i="1"/>
  <c r="AE805" i="1"/>
  <c r="AE802" i="1"/>
  <c r="AE801" i="1"/>
  <c r="AE800" i="1"/>
  <c r="AE799" i="1"/>
  <c r="AE798" i="1"/>
  <c r="AE797" i="1"/>
  <c r="AE795" i="1"/>
  <c r="AE794" i="1"/>
  <c r="AE793" i="1"/>
  <c r="AE790" i="1"/>
  <c r="AE789" i="1"/>
  <c r="AE787" i="1"/>
  <c r="AE786" i="1"/>
  <c r="AE779" i="1"/>
  <c r="AE778" i="1"/>
  <c r="AE776" i="1"/>
  <c r="AE772" i="1"/>
  <c r="AE769" i="1"/>
  <c r="AE768" i="1"/>
  <c r="AE767" i="1"/>
  <c r="AE765" i="1"/>
  <c r="AE764" i="1"/>
  <c r="AE763" i="1"/>
  <c r="AE762" i="1"/>
  <c r="AE761" i="1"/>
  <c r="AE760" i="1"/>
  <c r="AE759" i="1"/>
  <c r="AE756" i="1"/>
  <c r="AE750" i="1"/>
  <c r="AE747" i="1"/>
  <c r="AE746" i="1"/>
  <c r="AE744" i="1"/>
  <c r="AE743" i="1"/>
  <c r="AE742" i="1"/>
  <c r="AE740" i="1"/>
  <c r="AE736" i="1"/>
  <c r="AE735" i="1"/>
  <c r="AE733" i="1"/>
  <c r="AE731" i="1"/>
  <c r="AE730" i="1"/>
  <c r="AE729" i="1"/>
  <c r="AE728" i="1"/>
  <c r="AE727" i="1"/>
  <c r="AE723" i="1"/>
  <c r="AE719" i="1"/>
  <c r="AE714" i="1"/>
  <c r="AE712" i="1"/>
  <c r="AE711" i="1"/>
  <c r="AE710" i="1"/>
  <c r="AE709" i="1"/>
  <c r="AE708" i="1"/>
  <c r="AE707" i="1"/>
  <c r="AE705" i="1"/>
  <c r="AE704" i="1"/>
  <c r="AE703" i="1"/>
  <c r="AE702" i="1"/>
  <c r="AE700" i="1"/>
  <c r="AE699" i="1"/>
  <c r="AE698" i="1"/>
  <c r="AE697" i="1"/>
  <c r="AE690" i="1"/>
  <c r="AE689" i="1"/>
  <c r="AE688" i="1"/>
  <c r="AE684" i="1"/>
  <c r="AE683" i="1"/>
  <c r="AE682" i="1"/>
  <c r="AE681" i="1"/>
  <c r="AE680" i="1"/>
  <c r="AE679" i="1"/>
  <c r="AE678" i="1"/>
  <c r="AE677" i="1"/>
  <c r="AE676" i="1"/>
  <c r="AE675" i="1"/>
  <c r="AE672" i="1"/>
  <c r="AE671" i="1"/>
  <c r="AE670" i="1"/>
  <c r="AE669" i="1"/>
  <c r="AE668" i="1"/>
  <c r="AE667" i="1"/>
  <c r="AE665" i="1"/>
  <c r="AE664" i="1"/>
  <c r="AE663" i="1"/>
  <c r="AE661" i="1"/>
  <c r="AE660" i="1"/>
  <c r="AE659" i="1"/>
  <c r="AE657" i="1"/>
  <c r="AE650" i="1"/>
  <c r="AE649" i="1"/>
  <c r="AE648" i="1"/>
  <c r="AE647" i="1"/>
  <c r="AE646" i="1"/>
  <c r="AE644" i="1"/>
  <c r="AE638" i="1"/>
  <c r="AE636" i="1"/>
  <c r="AE635" i="1"/>
  <c r="AE634" i="1"/>
  <c r="AE633" i="1"/>
  <c r="AE628" i="1"/>
  <c r="AE624" i="1"/>
  <c r="AE622" i="1"/>
  <c r="AE621" i="1"/>
  <c r="AE620" i="1"/>
  <c r="AE619" i="1"/>
  <c r="AE616" i="1"/>
  <c r="AE615" i="1"/>
  <c r="AE610" i="1"/>
  <c r="AE609" i="1"/>
  <c r="AE607" i="1"/>
  <c r="AE606" i="1"/>
  <c r="AE596" i="1"/>
  <c r="AE592" i="1"/>
  <c r="AE591" i="1"/>
  <c r="AE590" i="1"/>
  <c r="AE589" i="1"/>
  <c r="AE588" i="1"/>
  <c r="AE584" i="1"/>
  <c r="AE583" i="1"/>
  <c r="AE582" i="1"/>
  <c r="AE581" i="1"/>
  <c r="AE579" i="1"/>
  <c r="AE578" i="1"/>
  <c r="AE576" i="1"/>
  <c r="AE572" i="1"/>
  <c r="AE569" i="1"/>
  <c r="AE568" i="1"/>
  <c r="AE557" i="1"/>
  <c r="AE556" i="1"/>
  <c r="AE554" i="1"/>
  <c r="AE553" i="1"/>
  <c r="AE550" i="1"/>
  <c r="AE549" i="1"/>
  <c r="AE539" i="1"/>
  <c r="AE535" i="1"/>
  <c r="AE534" i="1"/>
  <c r="AE533" i="1"/>
  <c r="AE531" i="1"/>
  <c r="AE527" i="1"/>
  <c r="AE525" i="1"/>
  <c r="AE524" i="1"/>
  <c r="AE523" i="1"/>
  <c r="AE522" i="1"/>
  <c r="AE519" i="1"/>
  <c r="AE518" i="1"/>
  <c r="AE511" i="1"/>
  <c r="AE510" i="1"/>
  <c r="AE509" i="1"/>
  <c r="AE508" i="1"/>
  <c r="AE507" i="1"/>
  <c r="AE503" i="1"/>
  <c r="AE502" i="1"/>
  <c r="AE501" i="1"/>
  <c r="AE499" i="1"/>
  <c r="AE490" i="1"/>
  <c r="AE485" i="1"/>
  <c r="AE484" i="1"/>
  <c r="AE481" i="1"/>
  <c r="AE480" i="1"/>
  <c r="AE479" i="1"/>
  <c r="AE478" i="1"/>
  <c r="AE477" i="1"/>
  <c r="AE476" i="1"/>
  <c r="AE475" i="1"/>
  <c r="AE474" i="1"/>
  <c r="AE470" i="1"/>
  <c r="AE466" i="1"/>
  <c r="AE465" i="1"/>
  <c r="AE464" i="1"/>
  <c r="AE455" i="1"/>
  <c r="AE452" i="1"/>
  <c r="AE451" i="1"/>
  <c r="AE450" i="1"/>
  <c r="AE446" i="1"/>
  <c r="AE445" i="1"/>
  <c r="AE443" i="1"/>
  <c r="AE441" i="1"/>
  <c r="AE440" i="1"/>
  <c r="AE439" i="1"/>
  <c r="AE433" i="1"/>
  <c r="AE432" i="1"/>
  <c r="AE428" i="1"/>
  <c r="AE427" i="1"/>
  <c r="AE424" i="1"/>
  <c r="AE423" i="1"/>
  <c r="AE422" i="1"/>
  <c r="AE420" i="1"/>
  <c r="AE419" i="1"/>
  <c r="AE418" i="1"/>
  <c r="AE417" i="1"/>
  <c r="AE413" i="1"/>
  <c r="AE412" i="1"/>
  <c r="AE411" i="1"/>
  <c r="AE438" i="1"/>
  <c r="AE437" i="1"/>
  <c r="AE435" i="1"/>
  <c r="AE434" i="1"/>
  <c r="AE410" i="1"/>
  <c r="AE409" i="1"/>
  <c r="AE408" i="1"/>
  <c r="AE407" i="1"/>
  <c r="AE406" i="1"/>
  <c r="AE404" i="1"/>
  <c r="AE400" i="1"/>
  <c r="AE399" i="1"/>
  <c r="AE397" i="1"/>
  <c r="AE394" i="1"/>
  <c r="AE392" i="1"/>
  <c r="AE391" i="1"/>
  <c r="AE388" i="1"/>
  <c r="AE387" i="1"/>
  <c r="AE384" i="1"/>
  <c r="AE383" i="1"/>
  <c r="AE382" i="1"/>
  <c r="AE379" i="1"/>
  <c r="AE381" i="1"/>
  <c r="AE378" i="1"/>
  <c r="AE377" i="1"/>
  <c r="AE376" i="1"/>
  <c r="AE375" i="1"/>
  <c r="AE374" i="1"/>
  <c r="AE373" i="1"/>
  <c r="AE372" i="1"/>
  <c r="AE371" i="1"/>
  <c r="AE369" i="1"/>
  <c r="AE365" i="1"/>
  <c r="AE364" i="1"/>
  <c r="AE363" i="1"/>
  <c r="AE362" i="1"/>
  <c r="AE361" i="1"/>
  <c r="AE360" i="1"/>
  <c r="AE359" i="1"/>
  <c r="AE358" i="1"/>
  <c r="AE354" i="1"/>
  <c r="AE349" i="1"/>
  <c r="AE348" i="1"/>
  <c r="AE347" i="1"/>
  <c r="AE346" i="1"/>
  <c r="AE345" i="1"/>
  <c r="AE344" i="1"/>
  <c r="AE343" i="1"/>
  <c r="AE342" i="1"/>
  <c r="AE341" i="1"/>
  <c r="AE339" i="1"/>
  <c r="AE338" i="1"/>
  <c r="AE337" i="1"/>
  <c r="AE336" i="1"/>
  <c r="AE335" i="1"/>
  <c r="AE334" i="1"/>
  <c r="AE333" i="1"/>
  <c r="AE332" i="1"/>
  <c r="AE329" i="1"/>
  <c r="AE328" i="1"/>
  <c r="AE324" i="1"/>
  <c r="AE322" i="1"/>
  <c r="AE321" i="1"/>
  <c r="AE320" i="1"/>
  <c r="AE319" i="1"/>
  <c r="AE316" i="1"/>
  <c r="AE313" i="1"/>
  <c r="AE309" i="1"/>
  <c r="AE308" i="1"/>
  <c r="AE307" i="1"/>
  <c r="AE306" i="1"/>
  <c r="AE304" i="1"/>
  <c r="AE303" i="1"/>
  <c r="AE302" i="1"/>
  <c r="AE298" i="1"/>
  <c r="AE296" i="1"/>
  <c r="AE295" i="1"/>
  <c r="AE290" i="1"/>
  <c r="AE289" i="1"/>
  <c r="AE288" i="1"/>
  <c r="AE286" i="1"/>
  <c r="AE285" i="1"/>
  <c r="AE284" i="1"/>
  <c r="AE283" i="1"/>
  <c r="AE280" i="1"/>
  <c r="AE279" i="1"/>
  <c r="AE274" i="1"/>
  <c r="AE273" i="1"/>
  <c r="AE270" i="1"/>
  <c r="AE261" i="1"/>
  <c r="AE259" i="1"/>
  <c r="AE258" i="1"/>
  <c r="AE256" i="1"/>
  <c r="AE255" i="1"/>
  <c r="AE254" i="1"/>
  <c r="AE247" i="1"/>
  <c r="AE246" i="1"/>
  <c r="AE243" i="1"/>
  <c r="AE242" i="1"/>
  <c r="AE241" i="1"/>
  <c r="AE237" i="1"/>
  <c r="AE236" i="1"/>
  <c r="AE232" i="1"/>
  <c r="AE230" i="1"/>
  <c r="AE227" i="1"/>
  <c r="AE224" i="1"/>
  <c r="AE221" i="1"/>
  <c r="AE220" i="1"/>
  <c r="AE219" i="1"/>
  <c r="AE218" i="1"/>
  <c r="AE217" i="1"/>
  <c r="AE214" i="1"/>
  <c r="AE213" i="1"/>
  <c r="AE212" i="1"/>
  <c r="AE210" i="1"/>
  <c r="AE209" i="1"/>
  <c r="AE203" i="1"/>
  <c r="AE191" i="1"/>
  <c r="AE190" i="1"/>
  <c r="AE185" i="1"/>
  <c r="AE184" i="1"/>
  <c r="AE180" i="1"/>
  <c r="AE179" i="1"/>
  <c r="AE175" i="1"/>
  <c r="AE174" i="1"/>
  <c r="AE173" i="1"/>
  <c r="AE172" i="1"/>
  <c r="AE170" i="1"/>
  <c r="AE169" i="1"/>
  <c r="AE164" i="1"/>
  <c r="AE163" i="1"/>
  <c r="AE162" i="1"/>
  <c r="AE161" i="1"/>
  <c r="AE160" i="1"/>
  <c r="AE159" i="1"/>
  <c r="AE156" i="1"/>
  <c r="AE152" i="1"/>
  <c r="AE151" i="1"/>
  <c r="AE150" i="1"/>
  <c r="AE149" i="1"/>
  <c r="AE148" i="1"/>
  <c r="AE144" i="1"/>
  <c r="AE143" i="1"/>
  <c r="AE137" i="1"/>
  <c r="AE136" i="1"/>
  <c r="AE135" i="1"/>
  <c r="AE132" i="1"/>
  <c r="AE131" i="1"/>
  <c r="AE130" i="1"/>
  <c r="AE126" i="1"/>
  <c r="AE125" i="1"/>
  <c r="AE124" i="1"/>
  <c r="AE123" i="1"/>
  <c r="AE119" i="1"/>
  <c r="AE117" i="1"/>
  <c r="AE115" i="1"/>
  <c r="AE112" i="1"/>
  <c r="AE111" i="1"/>
  <c r="AE108" i="1"/>
  <c r="AE107" i="1"/>
  <c r="AE105" i="1"/>
  <c r="AE104" i="1"/>
  <c r="AE103" i="1"/>
  <c r="AE102" i="1"/>
  <c r="AE101" i="1"/>
  <c r="AE100" i="1"/>
  <c r="AE92" i="1"/>
  <c r="AE68" i="1"/>
  <c r="AE65" i="1"/>
  <c r="AE91" i="1"/>
  <c r="AE90" i="1"/>
  <c r="AE87" i="1"/>
  <c r="AE86" i="1"/>
  <c r="AE80" i="1"/>
  <c r="AE79" i="1"/>
  <c r="AE76" i="1"/>
  <c r="AE74" i="1"/>
  <c r="AE73" i="1"/>
  <c r="AE72" i="1"/>
  <c r="AE64" i="1"/>
  <c r="AE62" i="1"/>
  <c r="AE61" i="1"/>
  <c r="AE59" i="1"/>
  <c r="AE58" i="1"/>
  <c r="AE54" i="1"/>
  <c r="AE43" i="1"/>
  <c r="AE42" i="1"/>
  <c r="AE39" i="1"/>
  <c r="AE24" i="1"/>
  <c r="AE22" i="1"/>
  <c r="AE21" i="1"/>
  <c r="AE19" i="1"/>
  <c r="AE18" i="1"/>
  <c r="AE15" i="1"/>
  <c r="V554" i="1"/>
  <c r="V1125" i="1"/>
  <c r="S1125" i="1"/>
  <c r="V1122" i="1"/>
  <c r="S1122" i="1"/>
  <c r="V1066" i="1"/>
  <c r="S1066" i="1"/>
  <c r="V1082" i="1"/>
  <c r="S1082" i="1"/>
  <c r="C1814" i="1"/>
  <c r="R1743" i="1"/>
  <c r="S1743" i="1"/>
  <c r="V1743" i="1"/>
  <c r="V1744" i="1"/>
  <c r="S1745" i="1"/>
  <c r="V1745" i="1"/>
  <c r="V598" i="1"/>
  <c r="S598" i="1"/>
  <c r="V597" i="1"/>
  <c r="X598" i="1"/>
  <c r="A1797" i="1"/>
  <c r="S1015" i="1"/>
  <c r="V1015" i="1"/>
  <c r="V723" i="1"/>
  <c r="S723" i="1"/>
  <c r="V258" i="1"/>
  <c r="S258" i="1"/>
  <c r="V688" i="1"/>
  <c r="S689" i="1"/>
  <c r="V689" i="1"/>
  <c r="S690" i="1"/>
  <c r="V690" i="1"/>
  <c r="V699" i="1"/>
  <c r="S700" i="1"/>
  <c r="V700" i="1"/>
  <c r="S702" i="1"/>
  <c r="V702" i="1"/>
  <c r="S703" i="1"/>
  <c r="V703" i="1"/>
  <c r="V705" i="1"/>
  <c r="S707" i="1"/>
  <c r="V707" i="1"/>
  <c r="S708" i="1"/>
  <c r="V708" i="1"/>
  <c r="V709" i="1"/>
  <c r="S710" i="1"/>
  <c r="V710" i="1"/>
  <c r="S711" i="1"/>
  <c r="V711" i="1"/>
  <c r="V712" i="1"/>
  <c r="S714" i="1"/>
  <c r="V714" i="1"/>
  <c r="V719" i="1"/>
  <c r="S727" i="1"/>
  <c r="V727" i="1"/>
  <c r="S728" i="1"/>
  <c r="V728" i="1"/>
  <c r="S729" i="1"/>
  <c r="V729" i="1"/>
  <c r="V730" i="1"/>
  <c r="S731" i="1"/>
  <c r="V731" i="1"/>
  <c r="S733" i="1"/>
  <c r="V733" i="1"/>
  <c r="S735" i="1"/>
  <c r="V735" i="1"/>
  <c r="V740" i="1"/>
  <c r="S742" i="1"/>
  <c r="V742" i="1"/>
  <c r="V744" i="1"/>
  <c r="S746" i="1"/>
  <c r="V746" i="1"/>
  <c r="S747" i="1"/>
  <c r="V747" i="1"/>
  <c r="S750" i="1"/>
  <c r="V750" i="1"/>
  <c r="V756" i="1"/>
  <c r="S759" i="1"/>
  <c r="V759" i="1"/>
  <c r="V760" i="1"/>
  <c r="S761" i="1"/>
  <c r="V761" i="1"/>
  <c r="S762" i="1"/>
  <c r="V762" i="1"/>
  <c r="V763" i="1"/>
  <c r="S764" i="1"/>
  <c r="V764" i="1"/>
  <c r="S765" i="1"/>
  <c r="V765" i="1"/>
  <c r="P767" i="1"/>
  <c r="R767" i="1"/>
  <c r="S767" i="1"/>
  <c r="V767" i="1"/>
  <c r="V768" i="1"/>
  <c r="S769" i="1"/>
  <c r="V769" i="1"/>
  <c r="V776" i="1"/>
  <c r="S778" i="1"/>
  <c r="V778" i="1"/>
  <c r="S779" i="1"/>
  <c r="V779" i="1"/>
  <c r="V786" i="1"/>
  <c r="S787" i="1"/>
  <c r="V787" i="1"/>
  <c r="O789" i="1"/>
  <c r="P789" i="1"/>
  <c r="R789" i="1"/>
  <c r="S789" i="1"/>
  <c r="V789" i="1"/>
  <c r="V790" i="1"/>
  <c r="S793" i="1"/>
  <c r="V793" i="1"/>
  <c r="V794" i="1"/>
  <c r="S795" i="1"/>
  <c r="V795" i="1"/>
  <c r="S797" i="1"/>
  <c r="V797" i="1"/>
  <c r="S798" i="1"/>
  <c r="V798" i="1"/>
  <c r="V799" i="1"/>
  <c r="S800" i="1"/>
  <c r="V800" i="1"/>
  <c r="V801" i="1"/>
  <c r="V802" i="1"/>
  <c r="S805" i="1"/>
  <c r="V805" i="1"/>
  <c r="O809" i="1"/>
  <c r="P809" i="1"/>
  <c r="R809" i="1"/>
  <c r="S809" i="1"/>
  <c r="V809" i="1"/>
  <c r="V810" i="1"/>
  <c r="S813" i="1"/>
  <c r="V813" i="1"/>
  <c r="V815" i="1"/>
  <c r="V818" i="1"/>
  <c r="V825" i="1"/>
  <c r="S826" i="1"/>
  <c r="V826" i="1"/>
  <c r="V827" i="1"/>
  <c r="V828" i="1"/>
  <c r="S829" i="1"/>
  <c r="V829" i="1"/>
  <c r="S830" i="1"/>
  <c r="V830" i="1"/>
  <c r="S833" i="1"/>
  <c r="V833" i="1"/>
  <c r="V834" i="1"/>
  <c r="S836" i="1"/>
  <c r="V836" i="1"/>
  <c r="S838" i="1"/>
  <c r="V838" i="1"/>
  <c r="V843" i="1"/>
  <c r="S844" i="1"/>
  <c r="V844" i="1"/>
  <c r="S845" i="1"/>
  <c r="V845" i="1"/>
  <c r="S846" i="1"/>
  <c r="V846" i="1"/>
  <c r="S852" i="1"/>
  <c r="V852" i="1"/>
  <c r="V853" i="1"/>
  <c r="V857" i="1"/>
  <c r="S858" i="1"/>
  <c r="V858" i="1"/>
  <c r="S859" i="1"/>
  <c r="V859" i="1"/>
  <c r="S864" i="1"/>
  <c r="V864" i="1"/>
  <c r="S867" i="1"/>
  <c r="V867" i="1"/>
  <c r="V868" i="1"/>
  <c r="S872" i="1"/>
  <c r="V872" i="1"/>
  <c r="V873" i="1"/>
  <c r="S874" i="1"/>
  <c r="V874" i="1"/>
  <c r="S875" i="1"/>
  <c r="V875" i="1"/>
  <c r="V876" i="1"/>
  <c r="S879" i="1"/>
  <c r="V879" i="1"/>
  <c r="S880" i="1"/>
  <c r="V880" i="1"/>
  <c r="O881" i="1"/>
  <c r="P881" i="1"/>
  <c r="V882" i="1"/>
  <c r="S885" i="1"/>
  <c r="V885" i="1"/>
  <c r="S886" i="1"/>
  <c r="V886" i="1"/>
  <c r="V887" i="1"/>
  <c r="S889" i="1"/>
  <c r="V889" i="1"/>
  <c r="V896" i="1"/>
  <c r="P899" i="1"/>
  <c r="R899" i="1"/>
  <c r="S899" i="1"/>
  <c r="V899" i="1"/>
  <c r="V900" i="1"/>
  <c r="S903" i="1"/>
  <c r="V903" i="1"/>
  <c r="V904" i="1"/>
  <c r="V905" i="1"/>
  <c r="V780" i="1"/>
  <c r="S783" i="1"/>
  <c r="V783" i="1"/>
  <c r="O785" i="1"/>
  <c r="P785" i="1"/>
  <c r="R785" i="1"/>
  <c r="S785" i="1"/>
  <c r="V785" i="1"/>
  <c r="V921" i="1"/>
  <c r="S924" i="1"/>
  <c r="V924" i="1"/>
  <c r="V925" i="1"/>
  <c r="S927" i="1"/>
  <c r="V927" i="1"/>
  <c r="S928" i="1"/>
  <c r="V928" i="1"/>
  <c r="V936" i="1"/>
  <c r="S937" i="1"/>
  <c r="V937" i="1"/>
  <c r="S938" i="1"/>
  <c r="V938" i="1"/>
  <c r="S941" i="1"/>
  <c r="V941" i="1"/>
  <c r="S942" i="1"/>
  <c r="V942" i="1"/>
  <c r="V943" i="1"/>
  <c r="V947" i="1"/>
  <c r="S948" i="1"/>
  <c r="V948" i="1"/>
  <c r="V950" i="1"/>
  <c r="S956" i="1"/>
  <c r="V956" i="1"/>
  <c r="V957" i="1"/>
  <c r="S963" i="1"/>
  <c r="V963" i="1"/>
  <c r="V854" i="1"/>
  <c r="S855" i="1"/>
  <c r="V855" i="1"/>
  <c r="V964" i="1"/>
  <c r="S968" i="1"/>
  <c r="V968" i="1"/>
  <c r="V984" i="1"/>
  <c r="S986" i="1"/>
  <c r="V986" i="1"/>
  <c r="V987" i="1"/>
  <c r="S988" i="1"/>
  <c r="V988" i="1"/>
  <c r="S989" i="1"/>
  <c r="V989" i="1"/>
  <c r="V992" i="1"/>
  <c r="S993" i="1"/>
  <c r="V993" i="1"/>
  <c r="S994" i="1"/>
  <c r="V994" i="1"/>
  <c r="S998" i="1"/>
  <c r="V998" i="1"/>
  <c r="S999" i="1"/>
  <c r="V999" i="1"/>
  <c r="V1000" i="1"/>
  <c r="S1001" i="1"/>
  <c r="V1001" i="1"/>
  <c r="S1002" i="1"/>
  <c r="V1002" i="1"/>
  <c r="V1003" i="1"/>
  <c r="S1006" i="1"/>
  <c r="V1006" i="1"/>
  <c r="V1007" i="1"/>
  <c r="S1010" i="1"/>
  <c r="V1010" i="1"/>
  <c r="V1011" i="1"/>
  <c r="S1013" i="1"/>
  <c r="V1013" i="1"/>
  <c r="V1017" i="1"/>
  <c r="S1021" i="1"/>
  <c r="V1021" i="1"/>
  <c r="V1022" i="1"/>
  <c r="S1023" i="1"/>
  <c r="V1023" i="1"/>
  <c r="S1026" i="1"/>
  <c r="V1026" i="1"/>
  <c r="V1027" i="1"/>
  <c r="S1030" i="1"/>
  <c r="V1030" i="1"/>
  <c r="V1031" i="1"/>
  <c r="S1033" i="1"/>
  <c r="V1033" i="1"/>
  <c r="S1034" i="1"/>
  <c r="V1034" i="1"/>
  <c r="V1035" i="1"/>
  <c r="S1037" i="1"/>
  <c r="V1037" i="1"/>
  <c r="V1038" i="1"/>
  <c r="O1041" i="1"/>
  <c r="P1041" i="1"/>
  <c r="R1041" i="1"/>
  <c r="S1041" i="1"/>
  <c r="V1041" i="1"/>
  <c r="V1042" i="1"/>
  <c r="S1043" i="1"/>
  <c r="V1043" i="1"/>
  <c r="O1044" i="1"/>
  <c r="P1044" i="1"/>
  <c r="V1045" i="1"/>
  <c r="S1049" i="1"/>
  <c r="V1049" i="1"/>
  <c r="S1050" i="1"/>
  <c r="V1050" i="1"/>
  <c r="S1055" i="1"/>
  <c r="V1055" i="1"/>
  <c r="O1056" i="1"/>
  <c r="P1056" i="1"/>
  <c r="R1056" i="1"/>
  <c r="S1056" i="1"/>
  <c r="V1056" i="1"/>
  <c r="V1057" i="1"/>
  <c r="S1058" i="1"/>
  <c r="V1058" i="1"/>
  <c r="S1059" i="1"/>
  <c r="V1059" i="1"/>
  <c r="V1060" i="1"/>
  <c r="S1062" i="1"/>
  <c r="V1062" i="1"/>
  <c r="V1068" i="1"/>
  <c r="S1069" i="1"/>
  <c r="V1069" i="1"/>
  <c r="V1084" i="1"/>
  <c r="S1087" i="1"/>
  <c r="V1087" i="1"/>
  <c r="V1063" i="1"/>
  <c r="V1067" i="1"/>
  <c r="V1115" i="1"/>
  <c r="S1118" i="1"/>
  <c r="V1118" i="1"/>
  <c r="V1119" i="1"/>
  <c r="V1123" i="1"/>
  <c r="V1124" i="1"/>
  <c r="S1128" i="1"/>
  <c r="V1128" i="1"/>
  <c r="V1133" i="1"/>
  <c r="S1136" i="1"/>
  <c r="V1136" i="1"/>
  <c r="V1141" i="1"/>
  <c r="S1144" i="1"/>
  <c r="V1144" i="1"/>
  <c r="S1146" i="1"/>
  <c r="V1146" i="1"/>
  <c r="V1148" i="1"/>
  <c r="S1149" i="1"/>
  <c r="V1149" i="1"/>
  <c r="S1151" i="1"/>
  <c r="V1151" i="1"/>
  <c r="V1153" i="1"/>
  <c r="V1167" i="1"/>
  <c r="S1168" i="1"/>
  <c r="V1168" i="1"/>
  <c r="S1171" i="1"/>
  <c r="V1171" i="1"/>
  <c r="S1172" i="1"/>
  <c r="V1172" i="1"/>
  <c r="V1173" i="1"/>
  <c r="S1175" i="1"/>
  <c r="V1175" i="1"/>
  <c r="S1176" i="1"/>
  <c r="V1176" i="1"/>
  <c r="V1177" i="1"/>
  <c r="V1180" i="1"/>
  <c r="V1184" i="1"/>
  <c r="S1186" i="1"/>
  <c r="V1186" i="1"/>
  <c r="S1187" i="1"/>
  <c r="V1187" i="1"/>
  <c r="V1188" i="1"/>
  <c r="S1189" i="1"/>
  <c r="V1189" i="1"/>
  <c r="V1191" i="1"/>
  <c r="S1192" i="1"/>
  <c r="V1192" i="1"/>
  <c r="V1193" i="1"/>
  <c r="V1194" i="1"/>
  <c r="S1196" i="1"/>
  <c r="V1196" i="1"/>
  <c r="V1197" i="1"/>
  <c r="S1199" i="1"/>
  <c r="V1199" i="1"/>
  <c r="S1200" i="1"/>
  <c r="V1200" i="1"/>
  <c r="S1204" i="1"/>
  <c r="V1204" i="1"/>
  <c r="V1205" i="1"/>
  <c r="S1206" i="1"/>
  <c r="V1206" i="1"/>
  <c r="V1208" i="1"/>
  <c r="S1209" i="1"/>
  <c r="V1209" i="1"/>
  <c r="S1210" i="1"/>
  <c r="V1210" i="1"/>
  <c r="S1211" i="1"/>
  <c r="V1211" i="1"/>
  <c r="V1213" i="1"/>
  <c r="S1214" i="1"/>
  <c r="V1214" i="1"/>
  <c r="V1216" i="1"/>
  <c r="S1217" i="1"/>
  <c r="V1217" i="1"/>
  <c r="S1218" i="1"/>
  <c r="V1218" i="1"/>
  <c r="V1219" i="1"/>
  <c r="V1220" i="1"/>
  <c r="S1222" i="1"/>
  <c r="V1222" i="1"/>
  <c r="V1238" i="1"/>
  <c r="S1239" i="1"/>
  <c r="V1239" i="1"/>
  <c r="S1240" i="1"/>
  <c r="V1240" i="1"/>
  <c r="V1242" i="1"/>
  <c r="S1243" i="1"/>
  <c r="V1243" i="1"/>
  <c r="P1244" i="1"/>
  <c r="R1244" i="1"/>
  <c r="S1244" i="1"/>
  <c r="V1244" i="1"/>
  <c r="V1245" i="1"/>
  <c r="V1248" i="1"/>
  <c r="S1249" i="1"/>
  <c r="V1249" i="1"/>
  <c r="V1250" i="1"/>
  <c r="V1251" i="1"/>
  <c r="S1254" i="1"/>
  <c r="V1254" i="1"/>
  <c r="V1255" i="1"/>
  <c r="S1257" i="1"/>
  <c r="V1257" i="1"/>
  <c r="S1258" i="1"/>
  <c r="V1258" i="1"/>
  <c r="V1259" i="1"/>
  <c r="S1260" i="1"/>
  <c r="V1260" i="1"/>
  <c r="V1265" i="1"/>
  <c r="S1266" i="1"/>
  <c r="V1266" i="1"/>
  <c r="V1271" i="1"/>
  <c r="S1272" i="1"/>
  <c r="V1272" i="1"/>
  <c r="S1273" i="1"/>
  <c r="V1273" i="1"/>
  <c r="V1278" i="1"/>
  <c r="S1280" i="1"/>
  <c r="V1280" i="1"/>
  <c r="S1281" i="1"/>
  <c r="V1281" i="1"/>
  <c r="V1282" i="1"/>
  <c r="S1283" i="1"/>
  <c r="V1283" i="1"/>
  <c r="S1285" i="1"/>
  <c r="V1285" i="1"/>
  <c r="V1286" i="1"/>
  <c r="S1289" i="1"/>
  <c r="V1289" i="1"/>
  <c r="V1290" i="1"/>
  <c r="V1293" i="1"/>
  <c r="V1294" i="1"/>
  <c r="S1295" i="1"/>
  <c r="V1295" i="1"/>
  <c r="S1298" i="1"/>
  <c r="V1298" i="1"/>
  <c r="V1303" i="1"/>
  <c r="S1304" i="1"/>
  <c r="V1304" i="1"/>
  <c r="S1307" i="1"/>
  <c r="V1307" i="1"/>
  <c r="V1308" i="1"/>
  <c r="S1309" i="1"/>
  <c r="V1309" i="1"/>
  <c r="S1311" i="1"/>
  <c r="V1311" i="1"/>
  <c r="S1312" i="1"/>
  <c r="V1312" i="1"/>
  <c r="V1313" i="1"/>
  <c r="V1315" i="1"/>
  <c r="V1316" i="1"/>
  <c r="S1318" i="1"/>
  <c r="V1318" i="1"/>
  <c r="V1319" i="1"/>
  <c r="V1320" i="1"/>
  <c r="S1323" i="1"/>
  <c r="V1323" i="1"/>
  <c r="V1324" i="1"/>
  <c r="V1325" i="1"/>
  <c r="S1326" i="1"/>
  <c r="V1326" i="1"/>
  <c r="O1327" i="1"/>
  <c r="P1327" i="1"/>
  <c r="R1327" i="1"/>
  <c r="S1327" i="1"/>
  <c r="V1327" i="1"/>
  <c r="V1334" i="1"/>
  <c r="S1336" i="1"/>
  <c r="V1336" i="1"/>
  <c r="S1340" i="1"/>
  <c r="V1340" i="1"/>
  <c r="S1341" i="1"/>
  <c r="V1341" i="1"/>
  <c r="S1342" i="1"/>
  <c r="V1342" i="1"/>
  <c r="V1352" i="1"/>
  <c r="S1353" i="1"/>
  <c r="V1353" i="1"/>
  <c r="S1354" i="1"/>
  <c r="V1354" i="1"/>
  <c r="V1361" i="1"/>
  <c r="S1365" i="1"/>
  <c r="V1365" i="1"/>
  <c r="S1368" i="1"/>
  <c r="V1368" i="1"/>
  <c r="S1369" i="1"/>
  <c r="V1369" i="1"/>
  <c r="S1370" i="1"/>
  <c r="V1370" i="1"/>
  <c r="O1371" i="1"/>
  <c r="P1371" i="1"/>
  <c r="S1377" i="1"/>
  <c r="V1377" i="1"/>
  <c r="S1379" i="1"/>
  <c r="V1379" i="1"/>
  <c r="V1395" i="1"/>
  <c r="S1397" i="1"/>
  <c r="V1397" i="1"/>
  <c r="V1417" i="1"/>
  <c r="S1419" i="1"/>
  <c r="V1419" i="1"/>
  <c r="V1420" i="1"/>
  <c r="S1424" i="1"/>
  <c r="V1424" i="1"/>
  <c r="V1425" i="1"/>
  <c r="S1427" i="1"/>
  <c r="V1427" i="1"/>
  <c r="V1428" i="1"/>
  <c r="S1431" i="1"/>
  <c r="V1431" i="1"/>
  <c r="V1432" i="1"/>
  <c r="S1434" i="1"/>
  <c r="V1434" i="1"/>
  <c r="V1435" i="1"/>
  <c r="S1438" i="1"/>
  <c r="V1438" i="1"/>
  <c r="S1439" i="1"/>
  <c r="V1439" i="1"/>
  <c r="V1440" i="1"/>
  <c r="S1441" i="1"/>
  <c r="V1441" i="1"/>
  <c r="S1442" i="1"/>
  <c r="V1442" i="1"/>
  <c r="V1443" i="1"/>
  <c r="S1446" i="1"/>
  <c r="V1446" i="1"/>
  <c r="S1447" i="1"/>
  <c r="V1447" i="1"/>
  <c r="S1448" i="1"/>
  <c r="V1448" i="1"/>
  <c r="S1452" i="1"/>
  <c r="V1452" i="1"/>
  <c r="V1461" i="1"/>
  <c r="S1464" i="1"/>
  <c r="V1464" i="1"/>
  <c r="V1477" i="1"/>
  <c r="S1479" i="1"/>
  <c r="V1479" i="1"/>
  <c r="V1486" i="1"/>
  <c r="V1488" i="1"/>
  <c r="V1489" i="1"/>
  <c r="S1491" i="1"/>
  <c r="V1491" i="1"/>
  <c r="V1495" i="1"/>
  <c r="S1497" i="1"/>
  <c r="V1497" i="1"/>
  <c r="V1498" i="1"/>
  <c r="V1499" i="1"/>
  <c r="S1500" i="1"/>
  <c r="V1500" i="1"/>
  <c r="S1501" i="1"/>
  <c r="V1501" i="1"/>
  <c r="V1502" i="1"/>
  <c r="V1510" i="1"/>
  <c r="S1512" i="1"/>
  <c r="V1512" i="1"/>
  <c r="S1514" i="1"/>
  <c r="V1514" i="1"/>
  <c r="S1523" i="1"/>
  <c r="V1523" i="1"/>
  <c r="V1525" i="1"/>
  <c r="S1526" i="1"/>
  <c r="V1526" i="1"/>
  <c r="S1528" i="1"/>
  <c r="V1528" i="1"/>
  <c r="S1530" i="1"/>
  <c r="V1530" i="1"/>
  <c r="V1531" i="1"/>
  <c r="S1532" i="1"/>
  <c r="V1532" i="1"/>
  <c r="S1533" i="1"/>
  <c r="V1533" i="1"/>
  <c r="V1534" i="1"/>
  <c r="V1535" i="1"/>
  <c r="S1536" i="1"/>
  <c r="V1536" i="1"/>
  <c r="S1538" i="1"/>
  <c r="V1538" i="1"/>
  <c r="S1541" i="1"/>
  <c r="V1541" i="1"/>
  <c r="V1542" i="1"/>
  <c r="V1543" i="1"/>
  <c r="S1544" i="1"/>
  <c r="V1544" i="1"/>
  <c r="S1547" i="1"/>
  <c r="V1547" i="1"/>
  <c r="V1554" i="1"/>
  <c r="V1562" i="1"/>
  <c r="S1564" i="1"/>
  <c r="V1564" i="1"/>
  <c r="S1565" i="1"/>
  <c r="V1565" i="1"/>
  <c r="S1566" i="1"/>
  <c r="V1566" i="1"/>
  <c r="V1573" i="1"/>
  <c r="S1574" i="1"/>
  <c r="V1574" i="1"/>
  <c r="S1575" i="1"/>
  <c r="V1575" i="1"/>
  <c r="V1576" i="1"/>
  <c r="S1578" i="1"/>
  <c r="V1578" i="1"/>
  <c r="S1579" i="1"/>
  <c r="V1579" i="1"/>
  <c r="V1583" i="1"/>
  <c r="S1585" i="1"/>
  <c r="V1585" i="1"/>
  <c r="S1586" i="1"/>
  <c r="V1586" i="1"/>
  <c r="V1587" i="1"/>
  <c r="S1588" i="1"/>
  <c r="V1588" i="1"/>
  <c r="V1590" i="1"/>
  <c r="S1591" i="1"/>
  <c r="T1591" i="1"/>
  <c r="U1591" i="1"/>
  <c r="V1591" i="1"/>
  <c r="X1591" i="1"/>
  <c r="V1605" i="1"/>
  <c r="S1611" i="1"/>
  <c r="V1611" i="1"/>
  <c r="V1620" i="1"/>
  <c r="S1622" i="1"/>
  <c r="V1622" i="1"/>
  <c r="S1623" i="1"/>
  <c r="V1623" i="1"/>
  <c r="V1624" i="1"/>
  <c r="S1626" i="1"/>
  <c r="V1626" i="1"/>
  <c r="V1633" i="1"/>
  <c r="S1636" i="1"/>
  <c r="V1636" i="1"/>
  <c r="S1637" i="1"/>
  <c r="V1637" i="1"/>
  <c r="V1638" i="1"/>
  <c r="S1639" i="1"/>
  <c r="V1639" i="1"/>
  <c r="S1641" i="1"/>
  <c r="V1641" i="1"/>
  <c r="V1235" i="1"/>
  <c r="S1236" i="1"/>
  <c r="V1236" i="1"/>
  <c r="V1648" i="1"/>
  <c r="V1652" i="1"/>
  <c r="V1655" i="1"/>
  <c r="V1661" i="1"/>
  <c r="S1663" i="1"/>
  <c r="V1663" i="1"/>
  <c r="V1667" i="1"/>
  <c r="S1669" i="1"/>
  <c r="V1669" i="1"/>
  <c r="S1670" i="1"/>
  <c r="V1670" i="1"/>
  <c r="S1672" i="1"/>
  <c r="V1672" i="1"/>
  <c r="S1673" i="1"/>
  <c r="V1673" i="1"/>
  <c r="O1674" i="1"/>
  <c r="P1674" i="1"/>
  <c r="V1675" i="1"/>
  <c r="S1677" i="1"/>
  <c r="V1677" i="1"/>
  <c r="V1678" i="1"/>
  <c r="V1679" i="1"/>
  <c r="S1681" i="1"/>
  <c r="V1681" i="1"/>
  <c r="V1683" i="1"/>
  <c r="S1685" i="1"/>
  <c r="V1685" i="1"/>
  <c r="V1686" i="1"/>
  <c r="V1687" i="1"/>
  <c r="S1690" i="1"/>
  <c r="V1690" i="1"/>
  <c r="V1693" i="1"/>
  <c r="S1694" i="1"/>
  <c r="V1694" i="1"/>
  <c r="V1695" i="1"/>
  <c r="S1697" i="1"/>
  <c r="V1697" i="1"/>
  <c r="S1701" i="1"/>
  <c r="V1701" i="1"/>
  <c r="V1702" i="1"/>
  <c r="V1717" i="1"/>
  <c r="S1718" i="1"/>
  <c r="V1718" i="1"/>
  <c r="V1723" i="1"/>
  <c r="S1724" i="1"/>
  <c r="V1724" i="1"/>
  <c r="S1742" i="1"/>
  <c r="V1742" i="1"/>
  <c r="S1746" i="1"/>
  <c r="V1746" i="1"/>
  <c r="V1753" i="1"/>
  <c r="S1755" i="1"/>
  <c r="V1755" i="1"/>
  <c r="V302" i="1"/>
  <c r="S302" i="1"/>
  <c r="V298" i="1"/>
  <c r="S298" i="1"/>
  <c r="V296" i="1"/>
  <c r="V283" i="1"/>
  <c r="S283" i="1"/>
  <c r="V319" i="1"/>
  <c r="V322" i="1"/>
  <c r="S324" i="1"/>
  <c r="V324" i="1"/>
  <c r="V328" i="1"/>
  <c r="S329" i="1"/>
  <c r="V329" i="1"/>
  <c r="V332" i="1"/>
  <c r="V333" i="1"/>
  <c r="S334" i="1"/>
  <c r="V334" i="1"/>
  <c r="S335" i="1"/>
  <c r="V335" i="1"/>
  <c r="S336" i="1"/>
  <c r="V336" i="1"/>
  <c r="S337" i="1"/>
  <c r="V337" i="1"/>
  <c r="V338" i="1"/>
  <c r="S339" i="1"/>
  <c r="V339" i="1"/>
  <c r="V342" i="1"/>
  <c r="S343" i="1"/>
  <c r="V343" i="1"/>
  <c r="S344" i="1"/>
  <c r="V344" i="1"/>
  <c r="S345" i="1"/>
  <c r="V345" i="1"/>
  <c r="V346" i="1"/>
  <c r="S347" i="1"/>
  <c r="V347" i="1"/>
  <c r="S348" i="1"/>
  <c r="V348" i="1"/>
  <c r="S349" i="1"/>
  <c r="V349" i="1"/>
  <c r="V354" i="1"/>
  <c r="S358" i="1"/>
  <c r="V358" i="1"/>
  <c r="V359" i="1"/>
  <c r="S360" i="1"/>
  <c r="V360" i="1"/>
  <c r="V362" i="1"/>
  <c r="S363" i="1"/>
  <c r="V363" i="1"/>
  <c r="S364" i="1"/>
  <c r="V364" i="1"/>
  <c r="S365" i="1"/>
  <c r="V365" i="1"/>
  <c r="V369" i="1"/>
  <c r="S371" i="1"/>
  <c r="V371" i="1"/>
  <c r="S372" i="1"/>
  <c r="V372" i="1"/>
  <c r="V373" i="1"/>
  <c r="V374" i="1"/>
  <c r="S375" i="1"/>
  <c r="V375" i="1"/>
  <c r="S376" i="1"/>
  <c r="V376" i="1"/>
  <c r="V377" i="1"/>
  <c r="S378" i="1"/>
  <c r="V378" i="1"/>
  <c r="S381" i="1"/>
  <c r="V381" i="1"/>
  <c r="S379" i="1"/>
  <c r="V379" i="1"/>
  <c r="V383" i="1"/>
  <c r="S384" i="1"/>
  <c r="V384" i="1"/>
  <c r="P387" i="1"/>
  <c r="R387" i="1"/>
  <c r="S387" i="1"/>
  <c r="V387" i="1"/>
  <c r="V388" i="1"/>
  <c r="V392" i="1"/>
  <c r="S394" i="1"/>
  <c r="V394" i="1"/>
  <c r="S397" i="1"/>
  <c r="V397" i="1"/>
  <c r="S399" i="1"/>
  <c r="V399" i="1"/>
  <c r="P400" i="1"/>
  <c r="R400" i="1"/>
  <c r="S400" i="1"/>
  <c r="V400" i="1"/>
  <c r="V404" i="1"/>
  <c r="P406" i="1"/>
  <c r="R406" i="1"/>
  <c r="S406" i="1"/>
  <c r="V406" i="1"/>
  <c r="V407" i="1"/>
  <c r="S408" i="1"/>
  <c r="V408" i="1"/>
  <c r="S409" i="1"/>
  <c r="V409" i="1"/>
  <c r="S410" i="1"/>
  <c r="V410" i="1"/>
  <c r="V434" i="1"/>
  <c r="S435" i="1"/>
  <c r="V435" i="1"/>
  <c r="S437" i="1"/>
  <c r="V437" i="1"/>
  <c r="S438" i="1"/>
  <c r="V438" i="1"/>
  <c r="V411" i="1"/>
  <c r="S412" i="1"/>
  <c r="V412" i="1"/>
  <c r="S413" i="1"/>
  <c r="V413" i="1"/>
  <c r="V417" i="1"/>
  <c r="S418" i="1"/>
  <c r="V418" i="1"/>
  <c r="S419" i="1"/>
  <c r="V419" i="1"/>
  <c r="V420" i="1"/>
  <c r="S422" i="1"/>
  <c r="V422" i="1"/>
  <c r="S423" i="1"/>
  <c r="V423" i="1"/>
  <c r="V424" i="1"/>
  <c r="S427" i="1"/>
  <c r="V427" i="1"/>
  <c r="V428" i="1"/>
  <c r="S432" i="1"/>
  <c r="V432" i="1"/>
  <c r="S433" i="1"/>
  <c r="V433" i="1"/>
  <c r="V439" i="1"/>
  <c r="S440" i="1"/>
  <c r="V440" i="1"/>
  <c r="S441" i="1"/>
  <c r="V441" i="1"/>
  <c r="S443" i="1"/>
  <c r="V443" i="1"/>
  <c r="V445" i="1"/>
  <c r="V446" i="1"/>
  <c r="V451" i="1"/>
  <c r="S452" i="1"/>
  <c r="V452" i="1"/>
  <c r="S464" i="1"/>
  <c r="V464" i="1"/>
  <c r="V466" i="1"/>
  <c r="S474" i="1"/>
  <c r="V474" i="1"/>
  <c r="S475" i="1"/>
  <c r="V475" i="1"/>
  <c r="S476" i="1"/>
  <c r="V476" i="1"/>
  <c r="S477" i="1"/>
  <c r="V477" i="1"/>
  <c r="S478" i="1"/>
  <c r="V478" i="1"/>
  <c r="V479" i="1"/>
  <c r="S480" i="1"/>
  <c r="V480" i="1"/>
  <c r="S481" i="1"/>
  <c r="V481" i="1"/>
  <c r="S484" i="1"/>
  <c r="V484" i="1"/>
  <c r="V485" i="1"/>
  <c r="V490" i="1"/>
  <c r="V499" i="1"/>
  <c r="S501" i="1"/>
  <c r="T501" i="1"/>
  <c r="U501" i="1"/>
  <c r="V501" i="1"/>
  <c r="V502" i="1"/>
  <c r="V503" i="1"/>
  <c r="S507" i="1"/>
  <c r="V507" i="1"/>
  <c r="S509" i="1"/>
  <c r="V509" i="1"/>
  <c r="S510" i="1"/>
  <c r="V510" i="1"/>
  <c r="V511" i="1"/>
  <c r="V519" i="1"/>
  <c r="S522" i="1"/>
  <c r="V522" i="1"/>
  <c r="P523" i="1"/>
  <c r="R523" i="1"/>
  <c r="S523" i="1"/>
  <c r="V523" i="1"/>
  <c r="V524" i="1"/>
  <c r="S525" i="1"/>
  <c r="V525" i="1"/>
  <c r="V527" i="1"/>
  <c r="V531" i="1"/>
  <c r="S533" i="1"/>
  <c r="T533" i="1"/>
  <c r="U533" i="1"/>
  <c r="V533" i="1"/>
  <c r="V535" i="1"/>
  <c r="V539" i="1"/>
  <c r="S549" i="1"/>
  <c r="V549" i="1"/>
  <c r="V550" i="1"/>
  <c r="O553" i="1"/>
  <c r="P553" i="1"/>
  <c r="R553" i="1"/>
  <c r="S553" i="1"/>
  <c r="V553" i="1"/>
  <c r="S556" i="1"/>
  <c r="V556" i="1"/>
  <c r="S557" i="1"/>
  <c r="V557" i="1"/>
  <c r="V568" i="1"/>
  <c r="S569" i="1"/>
  <c r="V569" i="1"/>
  <c r="V572" i="1"/>
  <c r="V576" i="1"/>
  <c r="S578" i="1"/>
  <c r="V578" i="1"/>
  <c r="V579" i="1"/>
  <c r="V581" i="1"/>
  <c r="V582" i="1"/>
  <c r="S583" i="1"/>
  <c r="V583" i="1"/>
  <c r="V588" i="1"/>
  <c r="S589" i="1"/>
  <c r="V589" i="1"/>
  <c r="O590" i="1"/>
  <c r="P590" i="1"/>
  <c r="R590" i="1"/>
  <c r="S590" i="1"/>
  <c r="V590" i="1"/>
  <c r="S592" i="1"/>
  <c r="V592" i="1"/>
  <c r="S596" i="1"/>
  <c r="V596" i="1"/>
  <c r="V606" i="1"/>
  <c r="S607" i="1"/>
  <c r="V607" i="1"/>
  <c r="S609" i="1"/>
  <c r="V609" i="1"/>
  <c r="V610" i="1"/>
  <c r="S615" i="1"/>
  <c r="V615" i="1"/>
  <c r="V620" i="1"/>
  <c r="S621" i="1"/>
  <c r="V621" i="1"/>
  <c r="S622" i="1"/>
  <c r="V622" i="1"/>
  <c r="S624" i="1"/>
  <c r="V624" i="1"/>
  <c r="V633" i="1"/>
  <c r="S634" i="1"/>
  <c r="V634" i="1"/>
  <c r="V636" i="1"/>
  <c r="O638" i="1"/>
  <c r="P638" i="1"/>
  <c r="S646" i="1"/>
  <c r="V646" i="1"/>
  <c r="S647" i="1"/>
  <c r="V647" i="1"/>
  <c r="V648" i="1"/>
  <c r="S649" i="1"/>
  <c r="V649" i="1"/>
  <c r="S650" i="1"/>
  <c r="V650" i="1"/>
  <c r="V657" i="1"/>
  <c r="S659" i="1"/>
  <c r="V659" i="1"/>
  <c r="S660" i="1"/>
  <c r="V660" i="1"/>
  <c r="V661" i="1"/>
  <c r="S663" i="1"/>
  <c r="V663" i="1"/>
  <c r="V664" i="1"/>
  <c r="V665" i="1"/>
  <c r="S667" i="1"/>
  <c r="T667" i="1"/>
  <c r="U667" i="1"/>
  <c r="V667" i="1"/>
  <c r="V669" i="1"/>
  <c r="S670" i="1"/>
  <c r="V670" i="1"/>
  <c r="O671" i="1"/>
  <c r="P671" i="1"/>
  <c r="V672" i="1"/>
  <c r="S675" i="1"/>
  <c r="V675" i="1"/>
  <c r="S676" i="1"/>
  <c r="V676" i="1"/>
  <c r="S677" i="1"/>
  <c r="V677" i="1"/>
  <c r="V679" i="1"/>
  <c r="S680" i="1"/>
  <c r="V680" i="1"/>
  <c r="S681" i="1"/>
  <c r="V681" i="1"/>
  <c r="V682" i="1"/>
  <c r="S683" i="1"/>
  <c r="V683" i="1"/>
  <c r="V15" i="1"/>
  <c r="V19" i="1"/>
  <c r="S24" i="1"/>
  <c r="V24" i="1"/>
  <c r="S42" i="1"/>
  <c r="V42" i="1"/>
  <c r="S43" i="1"/>
  <c r="V43" i="1"/>
  <c r="V54" i="1"/>
  <c r="S58" i="1"/>
  <c r="V58" i="1"/>
  <c r="V62" i="1"/>
  <c r="V64" i="1"/>
  <c r="V72" i="1"/>
  <c r="S73" i="1"/>
  <c r="V73" i="1"/>
  <c r="S74" i="1"/>
  <c r="V74" i="1"/>
  <c r="S76" i="1"/>
  <c r="V76" i="1"/>
  <c r="S79" i="1"/>
  <c r="V79" i="1"/>
  <c r="V80" i="1"/>
  <c r="S86" i="1"/>
  <c r="V86" i="1"/>
  <c r="V87" i="1"/>
  <c r="S90" i="1"/>
  <c r="V90" i="1"/>
  <c r="V91" i="1"/>
  <c r="V65" i="1"/>
  <c r="V92" i="1"/>
  <c r="S100" i="1"/>
  <c r="V100" i="1"/>
  <c r="V101" i="1"/>
  <c r="S102" i="1"/>
  <c r="V102" i="1"/>
  <c r="S103" i="1"/>
  <c r="V103" i="1"/>
  <c r="S104" i="1"/>
  <c r="V104" i="1"/>
  <c r="V105" i="1"/>
  <c r="S107" i="1"/>
  <c r="V107" i="1"/>
  <c r="V108" i="1"/>
  <c r="S111" i="1"/>
  <c r="V111" i="1"/>
  <c r="V112" i="1"/>
  <c r="S115" i="1"/>
  <c r="V115" i="1"/>
  <c r="S117" i="1"/>
  <c r="V117" i="1"/>
  <c r="S119" i="1"/>
  <c r="V119" i="1"/>
  <c r="V123" i="1"/>
  <c r="S124" i="1"/>
  <c r="V124" i="1"/>
  <c r="V125" i="1"/>
  <c r="V126" i="1"/>
  <c r="S129" i="1"/>
  <c r="V129" i="1"/>
  <c r="V131" i="1"/>
  <c r="S132" i="1"/>
  <c r="V132" i="1"/>
  <c r="S135" i="1"/>
  <c r="V135" i="1"/>
  <c r="S136" i="1"/>
  <c r="V136" i="1"/>
  <c r="V137" i="1"/>
  <c r="S143" i="1"/>
  <c r="V143" i="1"/>
  <c r="V144" i="1"/>
  <c r="S148" i="1"/>
  <c r="V148" i="1"/>
  <c r="V150" i="1"/>
  <c r="S151" i="1"/>
  <c r="V151" i="1"/>
  <c r="S152" i="1"/>
  <c r="V152" i="1"/>
  <c r="S156" i="1"/>
  <c r="V156" i="1"/>
  <c r="S159" i="1"/>
  <c r="V159" i="1"/>
  <c r="V160" i="1"/>
  <c r="S161" i="1"/>
  <c r="V161" i="1"/>
  <c r="S162" i="1"/>
  <c r="V162" i="1"/>
  <c r="V164" i="1"/>
  <c r="V170" i="1"/>
  <c r="S172" i="1"/>
  <c r="V172" i="1"/>
  <c r="S173" i="1"/>
  <c r="V173" i="1"/>
  <c r="V174" i="1"/>
  <c r="S175" i="1"/>
  <c r="V175" i="1"/>
  <c r="S179" i="1"/>
  <c r="V179" i="1"/>
  <c r="V180" i="1"/>
  <c r="V185" i="1"/>
  <c r="O190" i="1"/>
  <c r="P190" i="1"/>
  <c r="R190" i="1"/>
  <c r="S190" i="1"/>
  <c r="V190" i="1"/>
  <c r="V191" i="1"/>
  <c r="S203" i="1"/>
  <c r="V203" i="1"/>
  <c r="V209" i="1"/>
  <c r="S210" i="1"/>
  <c r="V210" i="1"/>
  <c r="S212" i="1"/>
  <c r="V212" i="1"/>
  <c r="V214" i="1"/>
  <c r="V218" i="1"/>
  <c r="S219" i="1"/>
  <c r="V219" i="1"/>
  <c r="S220" i="1"/>
  <c r="V220" i="1"/>
  <c r="V221" i="1"/>
  <c r="S224" i="1"/>
  <c r="V224" i="1"/>
  <c r="S227" i="1"/>
  <c r="V227" i="1"/>
  <c r="S230" i="1"/>
  <c r="V230" i="1"/>
  <c r="S232" i="1"/>
  <c r="V232" i="1"/>
  <c r="S236" i="1"/>
  <c r="V236" i="1"/>
  <c r="V237" i="1"/>
  <c r="S241" i="1"/>
  <c r="V241" i="1"/>
  <c r="V243" i="1"/>
  <c r="S246" i="1"/>
  <c r="V246" i="1"/>
  <c r="V247" i="1"/>
  <c r="S254" i="1"/>
  <c r="V254" i="1"/>
  <c r="V255" i="1"/>
  <c r="V256" i="1"/>
  <c r="S259" i="1"/>
  <c r="V259" i="1"/>
  <c r="S261" i="1"/>
  <c r="V261" i="1"/>
  <c r="V270" i="1"/>
  <c r="S273" i="1"/>
  <c r="V273" i="1"/>
  <c r="V274" i="1"/>
  <c r="S278" i="1"/>
  <c r="V278" i="1"/>
  <c r="V280" i="1"/>
  <c r="S284" i="1"/>
  <c r="V284" i="1"/>
  <c r="V285" i="1"/>
  <c r="V286" i="1"/>
  <c r="S288" i="1"/>
  <c r="V288" i="1"/>
  <c r="V289" i="1"/>
  <c r="V290" i="1"/>
  <c r="V303" i="1"/>
  <c r="S304" i="1"/>
  <c r="V304" i="1"/>
  <c r="S306" i="1"/>
  <c r="V306" i="1"/>
  <c r="V307" i="1"/>
  <c r="S308" i="1"/>
  <c r="V308" i="1"/>
  <c r="S309" i="1"/>
  <c r="V309" i="1"/>
  <c r="V313" i="1"/>
  <c r="S316" i="1"/>
  <c r="V316" i="1"/>
  <c r="V1763" i="1"/>
  <c r="S1763" i="1"/>
  <c r="S1756" i="1"/>
  <c r="R1756" i="1"/>
  <c r="V1756" i="1"/>
  <c r="S1761" i="1"/>
  <c r="V1761" i="1"/>
  <c r="S1762" i="1"/>
  <c r="V1762" i="1"/>
  <c r="S1764" i="1"/>
  <c r="V1764" i="1"/>
  <c r="V59" i="1"/>
  <c r="V616" i="1"/>
  <c r="M11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AB1233" i="1"/>
  <c r="AB367" i="1"/>
  <c r="AB128" i="1"/>
  <c r="AB129" i="1"/>
  <c r="AB1158" i="1"/>
  <c r="AB1739" i="1"/>
  <c r="AB1493" i="1"/>
  <c r="AB1549" i="1"/>
  <c r="AB1052" i="1"/>
  <c r="AB1423" i="1"/>
  <c r="AB1730" i="1"/>
  <c r="AB1459" i="1"/>
  <c r="AB1110" i="1"/>
  <c r="AB1405" i="1"/>
  <c r="AB604" i="1"/>
  <c r="AB1594" i="1"/>
  <c r="AB1359" i="1"/>
  <c r="AB1338" i="1"/>
  <c r="AB1484" i="1"/>
  <c r="AB1263" i="1"/>
  <c r="AB460" i="1"/>
  <c r="AB717" i="1"/>
  <c r="AB472" i="1"/>
  <c r="AB1711" i="1"/>
  <c r="AB1402" i="1"/>
  <c r="AB1165" i="1"/>
  <c r="AB738" i="1"/>
  <c r="AB667" i="1"/>
  <c r="AB1082" i="1"/>
  <c r="AB506" i="1"/>
  <c r="AB501" i="1"/>
  <c r="AB533" i="1"/>
  <c r="AB1588" i="1"/>
  <c r="AB601" i="1"/>
  <c r="AB970" i="1"/>
  <c r="AB1634" i="1"/>
  <c r="AB1653" i="1"/>
  <c r="AB1363" i="1"/>
  <c r="AB1676" i="1"/>
  <c r="AB1134" i="1"/>
  <c r="AB1310" i="1"/>
  <c r="AB973" i="1"/>
  <c r="AB706" i="1"/>
  <c r="AB1689" i="1"/>
  <c r="AB331" i="1"/>
  <c r="AB784" i="1"/>
  <c r="AB489" i="1"/>
  <c r="AB171" i="1"/>
  <c r="AB1121" i="1"/>
  <c r="AB1317" i="1"/>
  <c r="AB1137" i="1"/>
  <c r="AB1640" i="1"/>
  <c r="AB1305" i="1"/>
  <c r="AB1546" i="1"/>
  <c r="AB1229" i="1"/>
  <c r="AB1252" i="1"/>
  <c r="AB1321" i="1"/>
  <c r="AB981" i="1"/>
  <c r="AB1221" i="1"/>
  <c r="AB1563" i="1"/>
  <c r="AB1322" i="1"/>
  <c r="AB1335" i="1"/>
  <c r="AB1657" i="1"/>
  <c r="AB914" i="1"/>
  <c r="AB788" i="1"/>
  <c r="AB1025" i="1"/>
  <c r="AB1680" i="1"/>
  <c r="AB1296" i="1"/>
  <c r="AB1150" i="1"/>
  <c r="AB1012" i="1"/>
  <c r="AB1253" i="1"/>
  <c r="AB1284" i="1"/>
  <c r="AB637" i="1"/>
  <c r="AB658" i="1"/>
  <c r="AB625" i="1"/>
  <c r="AB850" i="1"/>
  <c r="AB517" i="1"/>
  <c r="AB421" i="1"/>
  <c r="AB516" i="1"/>
  <c r="AB118" i="1"/>
  <c r="AB796" i="1"/>
  <c r="AB862" i="1"/>
  <c r="AB127" i="1"/>
  <c r="AB1127" i="1"/>
  <c r="AB849" i="1"/>
  <c r="AB133" i="1"/>
  <c r="AB158" i="1"/>
  <c r="AB248" i="1"/>
  <c r="AB1508" i="1"/>
  <c r="AB318" i="1"/>
  <c r="AB96" i="1"/>
  <c r="AB906" i="1"/>
  <c r="AB888" i="1"/>
  <c r="AB954" i="1"/>
  <c r="AB1040" i="1"/>
  <c r="AB721" i="1"/>
  <c r="AB231" i="1"/>
  <c r="AB732" i="1"/>
  <c r="AB724" i="1"/>
  <c r="AB177" i="1"/>
  <c r="AB1643" i="1"/>
  <c r="AB781" i="1"/>
  <c r="AB234" i="1"/>
  <c r="AB613" i="1"/>
  <c r="AB206" i="1"/>
  <c r="AB57" i="1"/>
  <c r="AB429" i="1"/>
  <c r="AB493" i="1"/>
  <c r="AB430" i="1"/>
  <c r="AB26" i="1"/>
  <c r="AB496" i="1"/>
  <c r="AB495" i="1"/>
  <c r="AB287" i="1"/>
  <c r="AB1625" i="1"/>
  <c r="AB1650" i="1"/>
  <c r="AB1635" i="1"/>
  <c r="AB1181" i="1"/>
  <c r="AB1504" i="1"/>
  <c r="AB1603" i="1"/>
  <c r="AB1560" i="1"/>
  <c r="AB1601" i="1"/>
  <c r="AB1602" i="1"/>
  <c r="AB189" i="1"/>
  <c r="AB1291" i="1"/>
  <c r="AB181" i="1"/>
  <c r="AB1130" i="1"/>
  <c r="AB766" i="1"/>
  <c r="AB1131" i="1"/>
  <c r="AB808" i="1"/>
  <c r="AB1225" i="1"/>
  <c r="AB1519" i="1"/>
  <c r="AB1198" i="1"/>
  <c r="AB205" i="1"/>
  <c r="AB1577" i="1"/>
  <c r="AB454" i="1"/>
  <c r="AB182" i="1"/>
  <c r="AB199" i="1"/>
  <c r="AB1331" i="1"/>
  <c r="AB1478" i="1"/>
  <c r="AB1288" i="1"/>
  <c r="AB1610" i="1"/>
  <c r="AB745" i="1"/>
  <c r="AB951" i="1"/>
  <c r="AB330" i="1"/>
  <c r="AB453" i="1"/>
  <c r="AB980" i="1"/>
  <c r="AB816" i="1"/>
  <c r="AB252" i="1"/>
  <c r="AB640" i="1"/>
  <c r="AB871" i="1"/>
  <c r="AB1688" i="1"/>
  <c r="AB469" i="1"/>
  <c r="AB1378" i="1"/>
  <c r="AB198" i="1"/>
  <c r="AB1203" i="1"/>
  <c r="AB1376" i="1"/>
  <c r="AB623" i="1"/>
  <c r="AB1556" i="1"/>
  <c r="AB546" i="1"/>
  <c r="AB749" i="1"/>
  <c r="AB1036" i="1"/>
  <c r="AB194" i="1"/>
  <c r="AB817" i="1"/>
  <c r="AB996" i="1"/>
  <c r="AB995" i="1"/>
  <c r="AB352" i="1"/>
  <c r="AB1005" i="1"/>
  <c r="AB547" i="1"/>
  <c r="AB1065" i="1"/>
  <c r="AB642" i="1"/>
  <c r="AB537" i="1"/>
  <c r="AB201" i="1"/>
  <c r="AB85" i="1"/>
  <c r="AB832" i="1"/>
  <c r="AB178" i="1"/>
  <c r="AB720" i="1"/>
  <c r="AB782" i="1"/>
  <c r="AB305" i="1"/>
  <c r="AB281" i="1"/>
  <c r="AB134" i="1"/>
  <c r="AB878" i="1"/>
  <c r="AB267" i="1"/>
  <c r="AB36" i="1"/>
  <c r="AB1373" i="1"/>
  <c r="AB240" i="1"/>
  <c r="AB186" i="1"/>
  <c r="AB940" i="1"/>
  <c r="AB865" i="1"/>
  <c r="AB139" i="1"/>
  <c r="AB211" i="1"/>
  <c r="AB239" i="1"/>
  <c r="AB140" i="1"/>
  <c r="AB142" i="1"/>
  <c r="AB804" i="1"/>
  <c r="AB866" i="1"/>
  <c r="AB529" i="1"/>
  <c r="AB1659" i="1"/>
  <c r="AB263" i="1"/>
  <c r="AB1347" i="1"/>
  <c r="AB774" i="1"/>
  <c r="AB1552" i="1"/>
  <c r="AB841" i="1"/>
  <c r="AB979" i="1"/>
  <c r="AB823" i="1"/>
  <c r="AB1332" i="1"/>
  <c r="AB1344" i="1"/>
  <c r="AB1597" i="1"/>
  <c r="AB49" i="1"/>
  <c r="AB586" i="1"/>
  <c r="AB1568" i="1"/>
  <c r="AB930" i="1"/>
  <c r="AB757" i="1"/>
  <c r="AB351" i="1"/>
  <c r="AB37" i="1"/>
  <c r="AB110" i="1"/>
  <c r="AB355" i="1"/>
  <c r="AB962" i="1"/>
  <c r="AB1182" i="1"/>
  <c r="AB1139" i="1"/>
  <c r="AB863" i="1"/>
  <c r="AB1061" i="1"/>
  <c r="AB835" i="1"/>
  <c r="AB1009" i="1"/>
  <c r="AB1269" i="1"/>
  <c r="AB1246" i="1"/>
  <c r="AB253" i="1"/>
  <c r="AB515" i="1"/>
  <c r="AB990" i="1"/>
  <c r="AB116" i="1"/>
  <c r="AB84" i="1"/>
  <c r="AB176" i="1"/>
  <c r="AB934" i="1"/>
  <c r="AB1522" i="1"/>
  <c r="AB70" i="1"/>
  <c r="AB1721" i="1"/>
  <c r="AB1481" i="1"/>
  <c r="AB268" i="1"/>
  <c r="AB758" i="1"/>
  <c r="AB1516" i="1"/>
  <c r="AB1646" i="1"/>
  <c r="AB976" i="1"/>
  <c r="AB1733" i="1"/>
  <c r="AB1736" i="1"/>
  <c r="AB183" i="1"/>
  <c r="AB1703" i="1"/>
  <c r="AB1684" i="1"/>
  <c r="AB1276" i="1"/>
  <c r="AB1174" i="1"/>
  <c r="AB1487" i="1"/>
  <c r="AB1292" i="1"/>
  <c r="AB1306" i="1"/>
  <c r="AB1621" i="1"/>
  <c r="AB1609" i="1"/>
  <c r="AB1178" i="1"/>
  <c r="AB1314" i="1"/>
  <c r="AB955" i="1"/>
  <c r="AB1135" i="1"/>
  <c r="AB965" i="1"/>
  <c r="AB967" i="1"/>
  <c r="AB966" i="1"/>
  <c r="AB861" i="1"/>
  <c r="AB1120" i="1"/>
  <c r="AB1511" i="1"/>
  <c r="AB851" i="1"/>
  <c r="AB153" i="1"/>
  <c r="AB945" i="1"/>
  <c r="AB777" i="1"/>
  <c r="AB1714" i="1"/>
  <c r="AB1715" i="1"/>
  <c r="AB1707" i="1"/>
  <c r="AB1704" i="1"/>
  <c r="AB272" i="1"/>
  <c r="AB154" i="1"/>
  <c r="AB1029" i="1"/>
  <c r="AB1048" i="1"/>
  <c r="AB282" i="1"/>
  <c r="AB1195" i="1"/>
  <c r="AB939" i="1"/>
  <c r="AB985" i="1"/>
  <c r="AB202" i="1"/>
  <c r="AB193" i="1"/>
  <c r="AB1527" i="1"/>
  <c r="AB614" i="1"/>
  <c r="AB422" i="1"/>
  <c r="AB631" i="1"/>
  <c r="AB1297" i="1"/>
  <c r="AB1154" i="1"/>
  <c r="AB1094" i="1"/>
  <c r="AB497" i="1"/>
  <c r="AB1126" i="1"/>
  <c r="AB168" i="1"/>
  <c r="AB277" i="1"/>
  <c r="AB1490" i="1"/>
  <c r="AB1584" i="1"/>
  <c r="AB235" i="1"/>
  <c r="AB1117" i="1"/>
  <c r="AB1700" i="1"/>
  <c r="AB855" i="1"/>
  <c r="AB1239" i="1"/>
  <c r="AB1724" i="1"/>
  <c r="AB384" i="1"/>
  <c r="AB1243" i="1"/>
  <c r="AB525" i="1"/>
  <c r="AB846" i="1"/>
  <c r="AB156" i="1"/>
  <c r="AB394" i="1"/>
  <c r="AB106" i="1"/>
  <c r="AB396" i="1"/>
  <c r="AB1055" i="1"/>
  <c r="AB73" i="1"/>
  <c r="AB224" i="1"/>
  <c r="AB397" i="1"/>
  <c r="AB1199" i="1"/>
  <c r="AB700" i="1"/>
  <c r="AB1280" i="1"/>
  <c r="AB1171" i="1"/>
  <c r="AB859" i="1"/>
  <c r="AB370" i="1"/>
  <c r="AB889" i="1"/>
  <c r="AB1236" i="1"/>
  <c r="AB151" i="1"/>
  <c r="AB769" i="1"/>
  <c r="AB284" i="1"/>
  <c r="AB440" i="1"/>
  <c r="AB1685" i="1"/>
  <c r="AB386" i="1"/>
  <c r="AB1311" i="1"/>
  <c r="AB577" i="1"/>
  <c r="AB1585" i="1"/>
  <c r="AB435" i="1"/>
  <c r="AB1049" i="1"/>
  <c r="AB927" i="1"/>
  <c r="AB624" i="1"/>
  <c r="AB948" i="1"/>
  <c r="AB132" i="1"/>
  <c r="AB329" i="1"/>
  <c r="AB1015" i="1"/>
  <c r="AB1578" i="1"/>
  <c r="AB1369" i="1"/>
  <c r="AB418" i="1"/>
  <c r="AB735" i="1"/>
  <c r="AB1210" i="1"/>
  <c r="AB1283" i="1"/>
  <c r="AB175" i="1"/>
  <c r="AB357" i="1"/>
  <c r="AB1023" i="1"/>
  <c r="AB670" i="1"/>
  <c r="AB1523" i="1"/>
  <c r="AB829" i="1"/>
  <c r="AB152" i="1"/>
  <c r="AB161" i="1"/>
  <c r="AB1295" i="1"/>
  <c r="AB583" i="1"/>
  <c r="AB778" i="1"/>
  <c r="AB1368" i="1"/>
  <c r="AB634" i="1"/>
  <c r="AB522" i="1"/>
  <c r="AB1001" i="1"/>
  <c r="AB1125" i="1"/>
  <c r="AB710" i="1"/>
  <c r="AB432" i="1"/>
  <c r="AB1033" i="1"/>
  <c r="AB278" i="1"/>
  <c r="AB452" i="1"/>
  <c r="AB222" i="1"/>
  <c r="AB1591" i="1"/>
  <c r="AB723" i="1"/>
  <c r="AB1218" i="1"/>
  <c r="AB1200" i="1"/>
  <c r="AB475" i="1"/>
  <c r="AB1309" i="1"/>
  <c r="AB764" i="1"/>
  <c r="AB375" i="1"/>
  <c r="AB765" i="1"/>
  <c r="AB874" i="1"/>
  <c r="AB1266" i="1"/>
  <c r="AB592" i="1"/>
  <c r="AB903" i="1"/>
  <c r="AB1066" i="1"/>
  <c r="AB1217" i="1"/>
  <c r="AB1377" i="1"/>
  <c r="AB135" i="1"/>
  <c r="AB308" i="1"/>
  <c r="AB885" i="1"/>
  <c r="AB408" i="1"/>
  <c r="AB783" i="1"/>
  <c r="AB449" i="1"/>
  <c r="AB1673" i="1"/>
  <c r="AB589" i="1"/>
  <c r="AB1536" i="1"/>
  <c r="AB797" i="1"/>
  <c r="AB989" i="1"/>
  <c r="AB1168" i="1"/>
  <c r="AB162" i="1"/>
  <c r="AB254" i="1"/>
  <c r="AB441" i="1"/>
  <c r="AB813" i="1"/>
  <c r="AB1341" i="1"/>
  <c r="AB1622" i="1"/>
  <c r="AB390" i="1"/>
  <c r="AB437" i="1"/>
  <c r="AB258" i="1"/>
  <c r="AB399" i="1"/>
  <c r="AB372" i="1"/>
  <c r="AB598" i="1"/>
  <c r="AB1058" i="1"/>
  <c r="AB1636" i="1"/>
  <c r="AB1497" i="1"/>
  <c r="AB1240" i="1"/>
  <c r="AB1069" i="1"/>
  <c r="AB795" i="1"/>
  <c r="AB74" i="1"/>
  <c r="AB339" i="1"/>
  <c r="AB304" i="1"/>
  <c r="AB1541" i="1"/>
  <c r="AB509" i="1"/>
  <c r="AB852" i="1"/>
  <c r="AB830" i="1"/>
  <c r="AB1318" i="1"/>
  <c r="AB1526" i="1"/>
  <c r="AB115" i="1"/>
  <c r="AB1672" i="1"/>
  <c r="AB1043" i="1"/>
  <c r="AB1192" i="1"/>
  <c r="AB335" i="1"/>
  <c r="AB219" i="1"/>
  <c r="AB1565" i="1"/>
  <c r="AB649" i="1"/>
  <c r="AB1512" i="1"/>
  <c r="AB1681" i="1"/>
  <c r="AB1249" i="1"/>
  <c r="AB172" i="1"/>
  <c r="AB476" i="1"/>
  <c r="AB1323" i="1"/>
  <c r="AB477" i="1"/>
  <c r="AB844" i="1"/>
  <c r="AB480" i="1"/>
  <c r="AB1136" i="1"/>
  <c r="AB747" i="1"/>
  <c r="AB1272" i="1"/>
  <c r="AB1186" i="1"/>
  <c r="AB230" i="1"/>
  <c r="AB364" i="1"/>
  <c r="AB1149" i="1"/>
  <c r="AB467" i="1"/>
  <c r="AB937" i="1"/>
  <c r="AB1209" i="1"/>
  <c r="AB1694" i="1"/>
  <c r="AB334" i="1"/>
  <c r="AB426" i="1"/>
  <c r="AB1564" i="1"/>
  <c r="AB481" i="1"/>
  <c r="AB826" i="1"/>
  <c r="AB622" i="1"/>
  <c r="AB988" i="1"/>
  <c r="AB412" i="1"/>
  <c r="AB1189" i="1"/>
  <c r="AB702" i="1"/>
  <c r="AB805" i="1"/>
  <c r="AB1535" i="1"/>
  <c r="AB742" i="1"/>
  <c r="AB348" i="1"/>
  <c r="AB378" i="1"/>
  <c r="AB627" i="1"/>
  <c r="AB1013" i="1"/>
  <c r="AB1144" i="1"/>
  <c r="AB728" i="1"/>
  <c r="AB1528" i="1"/>
  <c r="AB1260" i="1"/>
  <c r="AB241" i="1"/>
  <c r="AB124" i="1"/>
  <c r="AB103" i="1"/>
  <c r="AB845" i="1"/>
  <c r="AB879" i="1"/>
  <c r="AB1574" i="1"/>
  <c r="AB880" i="1"/>
  <c r="AB1326" i="1"/>
  <c r="AB1544" i="1"/>
  <c r="AB76" i="1"/>
  <c r="AB232" i="1"/>
  <c r="AB344" i="1"/>
  <c r="AB259" i="1"/>
  <c r="AB1122" i="1"/>
  <c r="AB98" i="1"/>
  <c r="AB409" i="1"/>
  <c r="AB646" i="1"/>
  <c r="AB1211" i="1"/>
  <c r="AB1365" i="1"/>
  <c r="AB800" i="1"/>
  <c r="AB1501" i="1"/>
  <c r="AB1273" i="1"/>
  <c r="AB283" i="1"/>
  <c r="AB1143" i="1"/>
  <c r="AB464" i="1"/>
  <c r="AB556" i="1"/>
  <c r="AB442" i="1"/>
  <c r="AB316" i="1"/>
  <c r="AB727" i="1"/>
  <c r="AB90" i="1"/>
  <c r="AB864" i="1"/>
  <c r="AB998" i="1"/>
  <c r="AB336" i="1"/>
  <c r="AB659" i="1"/>
  <c r="AB994" i="1"/>
  <c r="AB1690" i="1"/>
  <c r="AB1353" i="1"/>
  <c r="AB1206" i="1"/>
  <c r="AB761" i="1"/>
  <c r="AB1500" i="1"/>
  <c r="AB1639" i="1"/>
  <c r="AB212" i="1"/>
  <c r="AB347" i="1"/>
  <c r="AB663" i="1"/>
  <c r="AB941" i="1"/>
  <c r="AB938" i="1"/>
  <c r="AB1257" i="1"/>
  <c r="AB1697" i="1"/>
  <c r="AB210" i="1"/>
  <c r="AB1175" i="1"/>
  <c r="AB1214" i="1"/>
  <c r="AB858" i="1"/>
  <c r="AB787" i="1"/>
  <c r="AB1532" i="1"/>
  <c r="AB1669" i="1"/>
  <c r="AB746" i="1"/>
  <c r="AB993" i="1"/>
  <c r="AB1370" i="1"/>
  <c r="AB343" i="1"/>
  <c r="AB733" i="1"/>
  <c r="AB607" i="1"/>
  <c r="AB836" i="1"/>
  <c r="AB288" i="1"/>
  <c r="AB443" i="1"/>
  <c r="AB102" i="1"/>
  <c r="AB621" i="1"/>
  <c r="AB1304" i="1"/>
  <c r="AB117" i="1"/>
  <c r="AB1379" i="1"/>
  <c r="AB1298" i="1"/>
  <c r="AB1146" i="1"/>
  <c r="AB731" i="1"/>
  <c r="AB693" i="1"/>
  <c r="AB674" i="1"/>
  <c r="AB673" i="1"/>
  <c r="AB689" i="1"/>
  <c r="AB676" i="1"/>
  <c r="AB681" i="1"/>
  <c r="AB690" i="1"/>
  <c r="AB677" i="1"/>
  <c r="AB683" i="1"/>
  <c r="AB697" i="1"/>
  <c r="AB678" i="1"/>
  <c r="AB684" i="1"/>
  <c r="AB675" i="1"/>
  <c r="AB680" i="1"/>
  <c r="AB571" i="1"/>
  <c r="AB572" i="1"/>
  <c r="AB569" i="1"/>
  <c r="AB566" i="1"/>
  <c r="AB567" i="1"/>
  <c r="AB563" i="1"/>
  <c r="AB559" i="1"/>
  <c r="AB560" i="1"/>
  <c r="AB381" i="1"/>
  <c r="AB379" i="1"/>
  <c r="AB301" i="1"/>
  <c r="AB299" i="1"/>
  <c r="AB297" i="1"/>
  <c r="AB298" i="1"/>
  <c r="AB1456" i="1"/>
  <c r="AB1448" i="1"/>
  <c r="AB1451" i="1"/>
  <c r="AB1444" i="1"/>
  <c r="AB1445" i="1"/>
  <c r="AB1438" i="1"/>
  <c r="AB1441" i="1"/>
  <c r="AB1437" i="1"/>
  <c r="AB1426" i="1"/>
  <c r="AB1399" i="1"/>
  <c r="AB1393" i="1"/>
  <c r="AB1387" i="1"/>
  <c r="AB1677" i="1"/>
  <c r="AB41" i="1"/>
  <c r="AB1113" i="1"/>
  <c r="AB257" i="1"/>
  <c r="AB707" i="1"/>
  <c r="AB23" i="1"/>
  <c r="AB1742" i="1"/>
  <c r="AI1233" i="1"/>
  <c r="AJ1233" i="1"/>
  <c r="AI367" i="1"/>
  <c r="AJ367" i="1"/>
  <c r="AI129" i="1"/>
  <c r="AJ129" i="1"/>
  <c r="AI128" i="1"/>
  <c r="AJ128" i="1"/>
  <c r="AI1158" i="1"/>
  <c r="AJ1158" i="1"/>
  <c r="AI601" i="1"/>
  <c r="AJ601" i="1"/>
  <c r="AI1363" i="1"/>
  <c r="AJ1363" i="1"/>
  <c r="AI970" i="1"/>
  <c r="AJ970" i="1"/>
  <c r="AI1134" i="1"/>
  <c r="AJ1134" i="1"/>
  <c r="AI1634" i="1"/>
  <c r="AJ1634" i="1"/>
  <c r="AI1676" i="1"/>
  <c r="AJ1676" i="1"/>
  <c r="AI1653" i="1"/>
  <c r="AJ1653" i="1"/>
  <c r="AI1310" i="1"/>
  <c r="AJ1310" i="1"/>
  <c r="AL1763" i="1"/>
  <c r="AI1763" i="1"/>
  <c r="AJ1763" i="1"/>
  <c r="AJ973" i="1"/>
  <c r="AI706" i="1"/>
  <c r="AJ706" i="1"/>
  <c r="AI489" i="1"/>
  <c r="AJ489" i="1"/>
  <c r="AI171" i="1"/>
  <c r="AJ171" i="1"/>
  <c r="AI331" i="1"/>
  <c r="AJ331" i="1"/>
  <c r="AI1689" i="1"/>
  <c r="AJ1689" i="1"/>
  <c r="AI784" i="1"/>
  <c r="AJ784" i="1"/>
  <c r="AI1321" i="1"/>
  <c r="AJ1321" i="1"/>
  <c r="AI1322" i="1"/>
  <c r="AJ1322" i="1"/>
  <c r="AI1221" i="1"/>
  <c r="AJ1221" i="1"/>
  <c r="AI1335" i="1"/>
  <c r="AJ1335" i="1"/>
  <c r="AI1121" i="1"/>
  <c r="AJ1121" i="1"/>
  <c r="AI1137" i="1"/>
  <c r="AJ1137" i="1"/>
  <c r="AI1640" i="1"/>
  <c r="AJ1640" i="1"/>
  <c r="AI1563" i="1"/>
  <c r="AJ1563" i="1"/>
  <c r="AI1150" i="1"/>
  <c r="AJ1150" i="1"/>
  <c r="AI1296" i="1"/>
  <c r="AJ1296" i="1"/>
  <c r="AI1317" i="1"/>
  <c r="AJ1317" i="1"/>
  <c r="AI1252" i="1"/>
  <c r="AJ1252" i="1"/>
  <c r="AI1546" i="1"/>
  <c r="AJ1546" i="1"/>
  <c r="AI1253" i="1"/>
  <c r="AJ1253" i="1"/>
  <c r="AI788" i="1"/>
  <c r="AJ788" i="1"/>
  <c r="AI914" i="1"/>
  <c r="AJ914" i="1"/>
  <c r="AI1025" i="1"/>
  <c r="AJ1025" i="1"/>
  <c r="AI658" i="1"/>
  <c r="AJ658" i="1"/>
  <c r="AI1284" i="1"/>
  <c r="AJ1284" i="1"/>
  <c r="AJ981" i="1"/>
  <c r="AI1305" i="1"/>
  <c r="AJ1305" i="1"/>
  <c r="AI1229" i="1"/>
  <c r="AJ1229" i="1"/>
  <c r="AI1012" i="1"/>
  <c r="AJ1012" i="1"/>
  <c r="AI1680" i="1"/>
  <c r="AJ1680" i="1"/>
  <c r="AI637" i="1"/>
  <c r="AJ637" i="1"/>
  <c r="AI1508" i="1"/>
  <c r="AJ1508" i="1"/>
  <c r="AI796" i="1"/>
  <c r="AJ796" i="1"/>
  <c r="AI127" i="1"/>
  <c r="AJ127" i="1"/>
  <c r="AI954" i="1"/>
  <c r="AJ954" i="1"/>
  <c r="AI625" i="1"/>
  <c r="AJ625" i="1"/>
  <c r="AI118" i="1"/>
  <c r="AJ118" i="1"/>
  <c r="AI1643" i="1"/>
  <c r="AJ1643" i="1"/>
  <c r="AI421" i="1"/>
  <c r="AJ421" i="1"/>
  <c r="AI96" i="1"/>
  <c r="AJ96" i="1"/>
  <c r="AI732" i="1"/>
  <c r="AJ732" i="1"/>
  <c r="AI318" i="1"/>
  <c r="AJ318" i="1"/>
  <c r="AI517" i="1"/>
  <c r="AJ517" i="1"/>
  <c r="AI862" i="1"/>
  <c r="AJ862" i="1"/>
  <c r="AI781" i="1"/>
  <c r="AJ781" i="1"/>
  <c r="AI177" i="1"/>
  <c r="AJ177" i="1"/>
  <c r="AI248" i="1"/>
  <c r="AJ248" i="1"/>
  <c r="AI158" i="1"/>
  <c r="AJ158" i="1"/>
  <c r="AI1127" i="1"/>
  <c r="AJ1127" i="1"/>
  <c r="AI906" i="1"/>
  <c r="AJ906" i="1"/>
  <c r="AI850" i="1"/>
  <c r="AJ850" i="1"/>
  <c r="AI234" i="1"/>
  <c r="AJ234" i="1"/>
  <c r="AI133" i="1"/>
  <c r="AJ133" i="1"/>
  <c r="AI888" i="1"/>
  <c r="AJ888" i="1"/>
  <c r="AI849" i="1"/>
  <c r="AJ849" i="1"/>
  <c r="AI516" i="1"/>
  <c r="AJ516" i="1"/>
  <c r="AI1040" i="1"/>
  <c r="AJ1040" i="1"/>
  <c r="AI724" i="1"/>
  <c r="AJ724" i="1"/>
  <c r="AI231" i="1"/>
  <c r="AJ231" i="1"/>
  <c r="AI721" i="1"/>
  <c r="AJ721" i="1"/>
  <c r="AI613" i="1"/>
  <c r="AJ613" i="1"/>
  <c r="AI206" i="1"/>
  <c r="AJ206" i="1"/>
  <c r="AI430" i="1"/>
  <c r="AJ430" i="1"/>
  <c r="AI493" i="1"/>
  <c r="AJ493" i="1"/>
  <c r="AI26" i="1"/>
  <c r="AJ26" i="1"/>
  <c r="AI496" i="1"/>
  <c r="AJ496" i="1"/>
  <c r="AI495" i="1"/>
  <c r="AJ495" i="1"/>
  <c r="AI429" i="1"/>
  <c r="AJ429" i="1"/>
  <c r="AI57" i="1"/>
  <c r="AJ57" i="1"/>
  <c r="AI1625" i="1"/>
  <c r="AJ1625" i="1"/>
  <c r="AI287" i="1"/>
  <c r="AJ287" i="1"/>
  <c r="AI1635" i="1"/>
  <c r="AJ1635" i="1"/>
  <c r="AI1650" i="1"/>
  <c r="AJ1650" i="1"/>
  <c r="AI1739" i="1"/>
  <c r="AJ1739" i="1"/>
  <c r="AI1181" i="1"/>
  <c r="AJ1181" i="1"/>
  <c r="AI1504" i="1"/>
  <c r="AJ1504" i="1"/>
  <c r="AI1493" i="1"/>
  <c r="AJ1493" i="1"/>
  <c r="AI1560" i="1"/>
  <c r="AJ1560" i="1"/>
  <c r="AI1603" i="1"/>
  <c r="AJ1603" i="1"/>
  <c r="AI1602" i="1"/>
  <c r="AJ1602" i="1"/>
  <c r="AI1601" i="1"/>
  <c r="AJ1601" i="1"/>
  <c r="AI1549" i="1"/>
  <c r="AJ1549" i="1"/>
  <c r="AI189" i="1"/>
  <c r="AJ189" i="1"/>
  <c r="AI1291" i="1"/>
  <c r="AJ1291" i="1"/>
  <c r="AI766" i="1"/>
  <c r="AJ766" i="1"/>
  <c r="AI1131" i="1"/>
  <c r="AJ1131" i="1"/>
  <c r="AI808" i="1"/>
  <c r="AJ808" i="1"/>
  <c r="AI181" i="1"/>
  <c r="AJ181" i="1"/>
  <c r="AI1130" i="1"/>
  <c r="AJ1130" i="1"/>
  <c r="AI1225" i="1"/>
  <c r="AJ1225" i="1"/>
  <c r="AI1423" i="1"/>
  <c r="AJ1423" i="1"/>
  <c r="AI951" i="1"/>
  <c r="AJ951" i="1"/>
  <c r="AI1556" i="1"/>
  <c r="AJ1556" i="1"/>
  <c r="AI745" i="1"/>
  <c r="AJ745" i="1"/>
  <c r="AI201" i="1"/>
  <c r="AJ201" i="1"/>
  <c r="AI1519" i="1"/>
  <c r="AJ1519" i="1"/>
  <c r="AI199" i="1"/>
  <c r="AJ199" i="1"/>
  <c r="AI1065" i="1"/>
  <c r="AJ1065" i="1"/>
  <c r="AI1052" i="1"/>
  <c r="AJ1052" i="1"/>
  <c r="AI817" i="1"/>
  <c r="AJ817" i="1"/>
  <c r="AI198" i="1"/>
  <c r="AJ198" i="1"/>
  <c r="AI623" i="1"/>
  <c r="AJ623" i="1"/>
  <c r="AI352" i="1"/>
  <c r="AJ352" i="1"/>
  <c r="AI1688" i="1"/>
  <c r="AJ1688" i="1"/>
  <c r="AI995" i="1"/>
  <c r="AJ995" i="1"/>
  <c r="AI1376" i="1"/>
  <c r="AJ1376" i="1"/>
  <c r="AI1331" i="1"/>
  <c r="AJ1331" i="1"/>
  <c r="AI642" i="1"/>
  <c r="AJ642" i="1"/>
  <c r="AI816" i="1"/>
  <c r="AJ816" i="1"/>
  <c r="AI1036" i="1"/>
  <c r="AJ1036" i="1"/>
  <c r="AI330" i="1"/>
  <c r="AJ330" i="1"/>
  <c r="AI1288" i="1"/>
  <c r="AJ1288" i="1"/>
  <c r="AI537" i="1"/>
  <c r="AJ537" i="1"/>
  <c r="AI182" i="1"/>
  <c r="AJ182" i="1"/>
  <c r="AI1610" i="1"/>
  <c r="AJ1610" i="1"/>
  <c r="AI453" i="1"/>
  <c r="AJ453" i="1"/>
  <c r="AI469" i="1"/>
  <c r="AJ469" i="1"/>
  <c r="AI547" i="1"/>
  <c r="AJ547" i="1"/>
  <c r="AI252" i="1"/>
  <c r="AJ252" i="1"/>
  <c r="AI1198" i="1"/>
  <c r="AJ1198" i="1"/>
  <c r="AI1577" i="1"/>
  <c r="AJ1577" i="1"/>
  <c r="AI454" i="1"/>
  <c r="AJ454" i="1"/>
  <c r="AI871" i="1"/>
  <c r="AJ871" i="1"/>
  <c r="AI1478" i="1"/>
  <c r="AJ1478" i="1"/>
  <c r="AI1005" i="1"/>
  <c r="AJ1005" i="1"/>
  <c r="AI1203" i="1"/>
  <c r="AJ1203" i="1"/>
  <c r="AJ980" i="1"/>
  <c r="AI546" i="1"/>
  <c r="AJ546" i="1"/>
  <c r="AI640" i="1"/>
  <c r="AJ640" i="1"/>
  <c r="AI194" i="1"/>
  <c r="AJ194" i="1"/>
  <c r="AI1378" i="1"/>
  <c r="AJ1378" i="1"/>
  <c r="AI205" i="1"/>
  <c r="AJ205" i="1"/>
  <c r="AI996" i="1"/>
  <c r="AJ996" i="1"/>
  <c r="AI749" i="1"/>
  <c r="AJ749" i="1"/>
  <c r="AI720" i="1"/>
  <c r="AJ720" i="1"/>
  <c r="AI878" i="1"/>
  <c r="AJ878" i="1"/>
  <c r="AI782" i="1"/>
  <c r="AJ782" i="1"/>
  <c r="AI85" i="1"/>
  <c r="AJ85" i="1"/>
  <c r="AI281" i="1"/>
  <c r="AJ281" i="1"/>
  <c r="AI832" i="1"/>
  <c r="AJ832" i="1"/>
  <c r="AI178" i="1"/>
  <c r="AJ178" i="1"/>
  <c r="AI134" i="1"/>
  <c r="AJ134" i="1"/>
  <c r="AI305" i="1"/>
  <c r="AJ305" i="1"/>
  <c r="AI267" i="1"/>
  <c r="AJ267" i="1"/>
  <c r="AI1373" i="1"/>
  <c r="AJ1373" i="1"/>
  <c r="AI142" i="1"/>
  <c r="AJ142" i="1"/>
  <c r="AI940" i="1"/>
  <c r="AJ940" i="1"/>
  <c r="AI211" i="1"/>
  <c r="AJ211" i="1"/>
  <c r="AI36" i="1"/>
  <c r="AJ36" i="1"/>
  <c r="AI240" i="1"/>
  <c r="AJ240" i="1"/>
  <c r="AI866" i="1"/>
  <c r="AJ866" i="1"/>
  <c r="AI139" i="1"/>
  <c r="AJ139" i="1"/>
  <c r="AI239" i="1"/>
  <c r="AJ239" i="1"/>
  <c r="AI529" i="1"/>
  <c r="AJ529" i="1"/>
  <c r="AI865" i="1"/>
  <c r="AJ865" i="1"/>
  <c r="AI186" i="1"/>
  <c r="AJ186" i="1"/>
  <c r="AI140" i="1"/>
  <c r="AJ140" i="1"/>
  <c r="AI804" i="1"/>
  <c r="AJ804" i="1"/>
  <c r="AI841" i="1"/>
  <c r="AJ841" i="1"/>
  <c r="AI472" i="1"/>
  <c r="AJ472" i="1"/>
  <c r="AI1659" i="1"/>
  <c r="AJ1659" i="1"/>
  <c r="AI460" i="1"/>
  <c r="AJ460" i="1"/>
  <c r="AI774" i="1"/>
  <c r="AJ774" i="1"/>
  <c r="AI1594" i="1"/>
  <c r="AJ1594" i="1"/>
  <c r="AI1484" i="1"/>
  <c r="AJ1484" i="1"/>
  <c r="AI1359" i="1"/>
  <c r="AJ1359" i="1"/>
  <c r="AI1347" i="1"/>
  <c r="AJ1347" i="1"/>
  <c r="AI823" i="1"/>
  <c r="AJ823" i="1"/>
  <c r="AI604" i="1"/>
  <c r="AJ604" i="1"/>
  <c r="AI1711" i="1"/>
  <c r="AJ1711" i="1"/>
  <c r="AI1332" i="1"/>
  <c r="AJ1332" i="1"/>
  <c r="AI49" i="1"/>
  <c r="AJ49" i="1"/>
  <c r="AI1568" i="1"/>
  <c r="AJ1568" i="1"/>
  <c r="AI263" i="1"/>
  <c r="AJ263" i="1"/>
  <c r="AI1459" i="1"/>
  <c r="AJ1459" i="1"/>
  <c r="AJ1405" i="1"/>
  <c r="AI1552" i="1"/>
  <c r="AJ1552" i="1"/>
  <c r="AI717" i="1"/>
  <c r="AJ717" i="1"/>
  <c r="AI1263" i="1"/>
  <c r="AJ1263" i="1"/>
  <c r="AI1597" i="1"/>
  <c r="AJ1597" i="1"/>
  <c r="AI586" i="1"/>
  <c r="AJ586" i="1"/>
  <c r="AI1110" i="1"/>
  <c r="AJ1110" i="1"/>
  <c r="AJ979" i="1"/>
  <c r="AI1344" i="1"/>
  <c r="AJ1344" i="1"/>
  <c r="AI757" i="1"/>
  <c r="AJ757" i="1"/>
  <c r="AI1182" i="1"/>
  <c r="AJ1182" i="1"/>
  <c r="AI351" i="1"/>
  <c r="AJ351" i="1"/>
  <c r="AI37" i="1"/>
  <c r="AJ37" i="1"/>
  <c r="AI355" i="1"/>
  <c r="AJ355" i="1"/>
  <c r="AI110" i="1"/>
  <c r="AJ110" i="1"/>
  <c r="AI962" i="1"/>
  <c r="AJ962" i="1"/>
  <c r="AI863" i="1"/>
  <c r="AJ863" i="1"/>
  <c r="AI1139" i="1"/>
  <c r="AJ1139" i="1"/>
  <c r="AI835" i="1"/>
  <c r="AJ835" i="1"/>
  <c r="AI1061" i="1"/>
  <c r="AJ1061" i="1"/>
  <c r="AI1009" i="1"/>
  <c r="AJ1009" i="1"/>
  <c r="AI1246" i="1"/>
  <c r="AJ1246" i="1"/>
  <c r="AI1269" i="1"/>
  <c r="AJ1269" i="1"/>
  <c r="AI253" i="1"/>
  <c r="AJ253" i="1"/>
  <c r="AI84" i="1"/>
  <c r="AJ84" i="1"/>
  <c r="AI116" i="1"/>
  <c r="AJ116" i="1"/>
  <c r="AI990" i="1"/>
  <c r="AJ990" i="1"/>
  <c r="AI515" i="1"/>
  <c r="AJ515" i="1"/>
  <c r="AI176" i="1"/>
  <c r="AJ176" i="1"/>
  <c r="AI1522" i="1"/>
  <c r="AJ1522" i="1"/>
  <c r="AI1402" i="1"/>
  <c r="AJ1402" i="1"/>
  <c r="AI1721" i="1"/>
  <c r="AJ1721" i="1"/>
  <c r="AI976" i="1"/>
  <c r="AJ976" i="1"/>
  <c r="AI758" i="1"/>
  <c r="AJ758" i="1"/>
  <c r="AI1646" i="1"/>
  <c r="AJ1646" i="1"/>
  <c r="AI1516" i="1"/>
  <c r="AJ1516" i="1"/>
  <c r="AI70" i="1"/>
  <c r="AJ70" i="1"/>
  <c r="AI1481" i="1"/>
  <c r="AJ1481" i="1"/>
  <c r="AI268" i="1"/>
  <c r="AJ268" i="1"/>
  <c r="AI1703" i="1"/>
  <c r="AJ1703" i="1"/>
  <c r="AI1684" i="1"/>
  <c r="AJ1684" i="1"/>
  <c r="AI1174" i="1"/>
  <c r="AJ1174" i="1"/>
  <c r="AI1306" i="1"/>
  <c r="AJ1306" i="1"/>
  <c r="AI1276" i="1"/>
  <c r="AJ1276" i="1"/>
  <c r="AI1314" i="1"/>
  <c r="AJ1314" i="1"/>
  <c r="AI1621" i="1"/>
  <c r="AJ1621" i="1"/>
  <c r="AI1487" i="1"/>
  <c r="AJ1487" i="1"/>
  <c r="AI1292" i="1"/>
  <c r="AJ1292" i="1"/>
  <c r="AI1609" i="1"/>
  <c r="AJ1609" i="1"/>
  <c r="AI1178" i="1"/>
  <c r="AJ1178" i="1"/>
  <c r="AI965" i="1"/>
  <c r="AJ965" i="1"/>
  <c r="AI966" i="1"/>
  <c r="AJ966" i="1"/>
  <c r="AI861" i="1"/>
  <c r="AJ861" i="1"/>
  <c r="AI967" i="1"/>
  <c r="AJ967" i="1"/>
  <c r="AI1511" i="1"/>
  <c r="AJ1511" i="1"/>
  <c r="AI851" i="1"/>
  <c r="AJ851" i="1"/>
  <c r="AI777" i="1"/>
  <c r="AJ777" i="1"/>
  <c r="AI1704" i="1"/>
  <c r="AJ1704" i="1"/>
  <c r="AI1714" i="1"/>
  <c r="AJ1714" i="1"/>
  <c r="AI1715" i="1"/>
  <c r="AJ1715" i="1"/>
  <c r="AI1029" i="1"/>
  <c r="AJ1029" i="1"/>
  <c r="AI1048" i="1"/>
  <c r="AJ1048" i="1"/>
  <c r="AI1195" i="1"/>
  <c r="AJ1195" i="1"/>
  <c r="AI939" i="1"/>
  <c r="AJ939" i="1"/>
  <c r="AI985" i="1"/>
  <c r="AJ985" i="1"/>
  <c r="AI1527" i="1"/>
  <c r="AJ1527" i="1"/>
  <c r="AI1297" i="1"/>
  <c r="AJ1297" i="1"/>
  <c r="AI1094" i="1"/>
  <c r="AJ1094" i="1"/>
  <c r="AI497" i="1"/>
  <c r="AJ497" i="1"/>
  <c r="AI1490" i="1"/>
  <c r="AJ1490" i="1"/>
  <c r="AI1584" i="1"/>
  <c r="AJ1584" i="1"/>
  <c r="AI1700" i="1"/>
  <c r="AJ1700" i="1"/>
  <c r="AI1379" i="1"/>
  <c r="AJ1379" i="1"/>
  <c r="AI938" i="1"/>
  <c r="AJ938" i="1"/>
  <c r="AI941" i="1"/>
  <c r="AJ941" i="1"/>
  <c r="AI506" i="1"/>
  <c r="AJ506" i="1"/>
  <c r="AI1353" i="1"/>
  <c r="AJ1353" i="1"/>
  <c r="AI1697" i="1"/>
  <c r="AJ1697" i="1"/>
  <c r="AI1214" i="1"/>
  <c r="AJ1214" i="1"/>
  <c r="AI556" i="1"/>
  <c r="AJ556" i="1"/>
  <c r="AI993" i="1"/>
  <c r="AJ993" i="1"/>
  <c r="AI1239" i="1"/>
  <c r="AJ1239" i="1"/>
  <c r="AI1243" i="1"/>
  <c r="AJ1243" i="1"/>
  <c r="AI525" i="1"/>
  <c r="AJ525" i="1"/>
  <c r="AI846" i="1"/>
  <c r="AJ846" i="1"/>
  <c r="AI1055" i="1"/>
  <c r="AJ1055" i="1"/>
  <c r="AI1199" i="1"/>
  <c r="AJ1199" i="1"/>
  <c r="AI1280" i="1"/>
  <c r="AJ1280" i="1"/>
  <c r="AI859" i="1"/>
  <c r="AJ859" i="1"/>
  <c r="AI889" i="1"/>
  <c r="AJ889" i="1"/>
  <c r="AI1236" i="1"/>
  <c r="AJ1236" i="1"/>
  <c r="AI769" i="1"/>
  <c r="AJ769" i="1"/>
  <c r="AI1685" i="1"/>
  <c r="AJ1685" i="1"/>
  <c r="AI1311" i="1"/>
  <c r="AJ1311" i="1"/>
  <c r="AI1585" i="1"/>
  <c r="AJ1585" i="1"/>
  <c r="AI1049" i="1"/>
  <c r="AJ1049" i="1"/>
  <c r="AI927" i="1"/>
  <c r="AJ927" i="1"/>
  <c r="AI1015" i="1"/>
  <c r="AJ1015" i="1"/>
  <c r="AI1578" i="1"/>
  <c r="AJ1578" i="1"/>
  <c r="AI1369" i="1"/>
  <c r="AJ1369" i="1"/>
  <c r="AI1210" i="1"/>
  <c r="AJ1210" i="1"/>
  <c r="AI1283" i="1"/>
  <c r="AJ1283" i="1"/>
  <c r="AI1023" i="1"/>
  <c r="AJ1023" i="1"/>
  <c r="AI1523" i="1"/>
  <c r="AJ1523" i="1"/>
  <c r="AI829" i="1"/>
  <c r="AJ829" i="1"/>
  <c r="AI1295" i="1"/>
  <c r="AJ1295" i="1"/>
  <c r="AI778" i="1"/>
  <c r="AJ778" i="1"/>
  <c r="AI1368" i="1"/>
  <c r="AJ1368" i="1"/>
  <c r="AI522" i="1"/>
  <c r="AJ522" i="1"/>
  <c r="AI1001" i="1"/>
  <c r="AJ1001" i="1"/>
  <c r="AI1082" i="1"/>
  <c r="AJ1082" i="1"/>
  <c r="AI1033" i="1"/>
  <c r="AJ1033" i="1"/>
  <c r="AI1591" i="1"/>
  <c r="AJ1591" i="1"/>
  <c r="AI1218" i="1"/>
  <c r="AJ1218" i="1"/>
  <c r="AI1200" i="1"/>
  <c r="AJ1200" i="1"/>
  <c r="AI475" i="1"/>
  <c r="AJ475" i="1"/>
  <c r="AI1309" i="1"/>
  <c r="AJ1309" i="1"/>
  <c r="AI764" i="1"/>
  <c r="AJ764" i="1"/>
  <c r="AI765" i="1"/>
  <c r="AJ765" i="1"/>
  <c r="AI874" i="1"/>
  <c r="AJ874" i="1"/>
  <c r="AI1266" i="1"/>
  <c r="AJ1266" i="1"/>
  <c r="AI903" i="1"/>
  <c r="AJ903" i="1"/>
  <c r="AI1066" i="1"/>
  <c r="AJ1066" i="1"/>
  <c r="AI1217" i="1"/>
  <c r="AJ1217" i="1"/>
  <c r="AI1377" i="1"/>
  <c r="AJ1377" i="1"/>
  <c r="AI885" i="1"/>
  <c r="AJ885" i="1"/>
  <c r="AI783" i="1"/>
  <c r="AJ783" i="1"/>
  <c r="AI1673" i="1"/>
  <c r="AJ1673" i="1"/>
  <c r="AI1536" i="1"/>
  <c r="AJ1536" i="1"/>
  <c r="AI797" i="1"/>
  <c r="AJ797" i="1"/>
  <c r="AI989" i="1"/>
  <c r="AJ989" i="1"/>
  <c r="AI813" i="1"/>
  <c r="AJ813" i="1"/>
  <c r="AI1341" i="1"/>
  <c r="AJ1341" i="1"/>
  <c r="AI1058" i="1"/>
  <c r="AJ1058" i="1"/>
  <c r="AI1636" i="1"/>
  <c r="AJ1636" i="1"/>
  <c r="AI1497" i="1"/>
  <c r="AJ1497" i="1"/>
  <c r="AI1240" i="1"/>
  <c r="AJ1240" i="1"/>
  <c r="AI1069" i="1"/>
  <c r="AJ1069" i="1"/>
  <c r="AI795" i="1"/>
  <c r="AJ795" i="1"/>
  <c r="AI1541" i="1"/>
  <c r="AJ1541" i="1"/>
  <c r="AI509" i="1"/>
  <c r="AJ509" i="1"/>
  <c r="AI852" i="1"/>
  <c r="AJ852" i="1"/>
  <c r="AI830" i="1"/>
  <c r="AJ830" i="1"/>
  <c r="AI1318" i="1"/>
  <c r="AJ1318" i="1"/>
  <c r="AI1672" i="1"/>
  <c r="AJ1672" i="1"/>
  <c r="AI1043" i="1"/>
  <c r="AJ1043" i="1"/>
  <c r="AI1192" i="1"/>
  <c r="AJ1192" i="1"/>
  <c r="AI1565" i="1"/>
  <c r="AJ1565" i="1"/>
  <c r="AI1512" i="1"/>
  <c r="AJ1512" i="1"/>
  <c r="AI1681" i="1"/>
  <c r="AJ1681" i="1"/>
  <c r="AI1249" i="1"/>
  <c r="AJ1249" i="1"/>
  <c r="AI1298" i="1"/>
  <c r="AJ1298" i="1"/>
  <c r="AI858" i="1"/>
  <c r="AJ858" i="1"/>
  <c r="AI476" i="1"/>
  <c r="AJ476" i="1"/>
  <c r="AI1323" i="1"/>
  <c r="AJ1323" i="1"/>
  <c r="AI477" i="1"/>
  <c r="AJ477" i="1"/>
  <c r="AI844" i="1"/>
  <c r="AJ844" i="1"/>
  <c r="AI480" i="1"/>
  <c r="AJ480" i="1"/>
  <c r="AI1272" i="1"/>
  <c r="AJ1272" i="1"/>
  <c r="AI1186" i="1"/>
  <c r="AJ1186" i="1"/>
  <c r="AI937" i="1"/>
  <c r="AJ937" i="1"/>
  <c r="AI1209" i="1"/>
  <c r="AJ1209" i="1"/>
  <c r="AI1694" i="1"/>
  <c r="AJ1694" i="1"/>
  <c r="AI1564" i="1"/>
  <c r="AJ1564" i="1"/>
  <c r="AI481" i="1"/>
  <c r="AJ481" i="1"/>
  <c r="AI826" i="1"/>
  <c r="AJ826" i="1"/>
  <c r="AI988" i="1"/>
  <c r="AJ988" i="1"/>
  <c r="AI1189" i="1"/>
  <c r="AJ1189" i="1"/>
  <c r="AI805" i="1"/>
  <c r="AJ805" i="1"/>
  <c r="AI1535" i="1"/>
  <c r="AJ1535" i="1"/>
  <c r="AI1013" i="1"/>
  <c r="AJ1013" i="1"/>
  <c r="AI1528" i="1"/>
  <c r="AJ1528" i="1"/>
  <c r="AI1260" i="1"/>
  <c r="AJ1260" i="1"/>
  <c r="AI845" i="1"/>
  <c r="AJ845" i="1"/>
  <c r="AI879" i="1"/>
  <c r="AJ879" i="1"/>
  <c r="AI1574" i="1"/>
  <c r="AJ1574" i="1"/>
  <c r="AI880" i="1"/>
  <c r="AJ880" i="1"/>
  <c r="AI1326" i="1"/>
  <c r="AJ1326" i="1"/>
  <c r="AI1544" i="1"/>
  <c r="AJ1544" i="1"/>
  <c r="AI1175" i="1"/>
  <c r="AJ1175" i="1"/>
  <c r="AI800" i="1"/>
  <c r="AJ800" i="1"/>
  <c r="AI1501" i="1"/>
  <c r="AJ1501" i="1"/>
  <c r="AI501" i="1"/>
  <c r="AJ501" i="1"/>
  <c r="AI864" i="1"/>
  <c r="AJ864" i="1"/>
  <c r="AI998" i="1"/>
  <c r="AJ998" i="1"/>
  <c r="AI1526" i="1"/>
  <c r="AJ1526" i="1"/>
  <c r="AI994" i="1"/>
  <c r="AJ994" i="1"/>
  <c r="AI1690" i="1"/>
  <c r="AJ1690" i="1"/>
  <c r="AI1211" i="1"/>
  <c r="AJ1211" i="1"/>
  <c r="AI1206" i="1"/>
  <c r="AJ1206" i="1"/>
  <c r="AI761" i="1"/>
  <c r="AJ761" i="1"/>
  <c r="AI1500" i="1"/>
  <c r="AJ1500" i="1"/>
  <c r="AI1273" i="1"/>
  <c r="AJ1273" i="1"/>
  <c r="AI1639" i="1"/>
  <c r="AJ1639" i="1"/>
  <c r="AI1365" i="1"/>
  <c r="AJ1365" i="1"/>
  <c r="AI1257" i="1"/>
  <c r="AJ1257" i="1"/>
  <c r="AI787" i="1"/>
  <c r="AJ787" i="1"/>
  <c r="AI1532" i="1"/>
  <c r="AJ1532" i="1"/>
  <c r="AI1669" i="1"/>
  <c r="AJ1669" i="1"/>
  <c r="AI533" i="1"/>
  <c r="AJ533" i="1"/>
  <c r="AI1370" i="1"/>
  <c r="AJ1370" i="1"/>
  <c r="AI836" i="1"/>
  <c r="AJ836" i="1"/>
  <c r="AI1304" i="1"/>
  <c r="AJ1304" i="1"/>
  <c r="AI1588" i="1"/>
  <c r="AJ1588" i="1"/>
  <c r="AI1622" i="1"/>
  <c r="AJ1622" i="1"/>
  <c r="AI693" i="1"/>
  <c r="AJ693" i="1"/>
  <c r="AI697" i="1"/>
  <c r="AJ697" i="1"/>
  <c r="AJ575" i="1"/>
  <c r="AI571" i="1"/>
  <c r="AJ571" i="1"/>
  <c r="AI567" i="1"/>
  <c r="AJ567" i="1"/>
  <c r="AI566" i="1"/>
  <c r="AJ566" i="1"/>
  <c r="AI563" i="1"/>
  <c r="AJ563" i="1"/>
  <c r="AI560" i="1"/>
  <c r="AJ560" i="1"/>
  <c r="AI299" i="1"/>
  <c r="AJ299" i="1"/>
  <c r="AI297" i="1"/>
  <c r="AJ297" i="1"/>
  <c r="AI1456" i="1"/>
  <c r="AJ1456" i="1"/>
  <c r="AI1451" i="1"/>
  <c r="AJ1451" i="1"/>
  <c r="AI1448" i="1"/>
  <c r="AJ1448" i="1"/>
  <c r="AI1445" i="1"/>
  <c r="AJ1445" i="1"/>
  <c r="AI1444" i="1"/>
  <c r="AJ1444" i="1"/>
  <c r="AI1441" i="1"/>
  <c r="AJ1441" i="1"/>
  <c r="AI1438" i="1"/>
  <c r="AJ1438" i="1"/>
  <c r="AI1437" i="1"/>
  <c r="AJ1437" i="1"/>
  <c r="AI1426" i="1"/>
  <c r="AJ1426" i="1"/>
  <c r="AI1399" i="1"/>
  <c r="AJ1399" i="1"/>
  <c r="AI1393" i="1"/>
  <c r="AJ1393" i="1"/>
  <c r="AI1387" i="1"/>
  <c r="AJ1387" i="1"/>
  <c r="AI41" i="1"/>
  <c r="AJ41" i="1"/>
  <c r="AI1677" i="1"/>
  <c r="AJ1677" i="1"/>
  <c r="AI1113" i="1"/>
  <c r="AJ1113" i="1"/>
  <c r="AI257" i="1"/>
  <c r="AJ257" i="1"/>
  <c r="AI1707" i="1"/>
  <c r="AJ1707" i="1"/>
  <c r="AI1657" i="1"/>
  <c r="AJ1657" i="1"/>
  <c r="AI1338" i="1"/>
  <c r="AJ1338" i="1"/>
  <c r="AI930" i="1"/>
  <c r="AJ930" i="1"/>
  <c r="AI1736" i="1"/>
  <c r="AJ1736" i="1"/>
  <c r="AI1733" i="1"/>
  <c r="AJ1733" i="1"/>
  <c r="AI1730" i="1"/>
  <c r="AJ1730" i="1"/>
  <c r="AI1756" i="1"/>
  <c r="AI1753" i="1"/>
  <c r="AI1746" i="1"/>
  <c r="AI1743" i="1"/>
  <c r="AI1742" i="1"/>
  <c r="AJ1742" i="1"/>
  <c r="AI1725" i="1"/>
  <c r="AI1719" i="1"/>
  <c r="AI1724" i="1"/>
  <c r="AJ1724" i="1"/>
  <c r="AI1165" i="1"/>
  <c r="AJ1165" i="1"/>
  <c r="AI1172" i="1"/>
  <c r="AI1171" i="1"/>
  <c r="AJ1171" i="1"/>
  <c r="AI1168" i="1"/>
  <c r="AJ1168" i="1"/>
  <c r="AJ1166" i="1"/>
  <c r="AI1163" i="1"/>
  <c r="AI1155" i="1"/>
  <c r="AI1154" i="1"/>
  <c r="AJ1154" i="1"/>
  <c r="AI1152" i="1"/>
  <c r="AI1149" i="1"/>
  <c r="AJ1149" i="1"/>
  <c r="AI1147" i="1"/>
  <c r="AI1146" i="1"/>
  <c r="AJ1146" i="1"/>
  <c r="AI1143" i="1"/>
  <c r="AJ1143" i="1"/>
  <c r="AI1144" i="1"/>
  <c r="AJ1144" i="1"/>
  <c r="AI1140" i="1"/>
  <c r="AI1136" i="1"/>
  <c r="AJ1136" i="1"/>
  <c r="AI1135" i="1"/>
  <c r="AJ1135" i="1"/>
  <c r="AI1128" i="1"/>
  <c r="AI1126" i="1"/>
  <c r="AJ1126" i="1"/>
  <c r="AI1125" i="1"/>
  <c r="AJ1125" i="1"/>
  <c r="AI1123" i="1"/>
  <c r="AI1122" i="1"/>
  <c r="AJ1122" i="1"/>
  <c r="AI1120" i="1"/>
  <c r="AJ1120" i="1"/>
  <c r="AI1118" i="1"/>
  <c r="AI1117" i="1"/>
  <c r="AJ1117" i="1"/>
  <c r="AI963" i="1"/>
  <c r="AI856" i="1"/>
  <c r="AI855" i="1"/>
  <c r="AJ855" i="1"/>
  <c r="AI934" i="1"/>
  <c r="AJ934" i="1"/>
  <c r="AI956" i="1"/>
  <c r="AI955" i="1"/>
  <c r="AJ955" i="1"/>
  <c r="AI948" i="1"/>
  <c r="AJ948" i="1"/>
  <c r="AI946" i="1"/>
  <c r="AI945" i="1"/>
  <c r="AJ945" i="1"/>
  <c r="AI750" i="1"/>
  <c r="AI747" i="1"/>
  <c r="AJ747" i="1"/>
  <c r="AI746" i="1"/>
  <c r="AJ746" i="1"/>
  <c r="AI743" i="1"/>
  <c r="AI742" i="1"/>
  <c r="AJ742" i="1"/>
  <c r="AI738" i="1"/>
  <c r="AJ738" i="1"/>
  <c r="AI739" i="1"/>
  <c r="AJ739" i="1"/>
  <c r="AI736" i="1"/>
  <c r="AI735" i="1"/>
  <c r="AJ735" i="1"/>
  <c r="AI733" i="1"/>
  <c r="AJ733" i="1"/>
  <c r="AI731" i="1"/>
  <c r="AJ731" i="1"/>
  <c r="AI729" i="1"/>
  <c r="AI728" i="1"/>
  <c r="AJ728" i="1"/>
  <c r="AI727" i="1"/>
  <c r="AJ727" i="1"/>
  <c r="AI723" i="1"/>
  <c r="AJ723" i="1"/>
  <c r="AI714" i="1"/>
  <c r="AI711" i="1"/>
  <c r="AI710" i="1"/>
  <c r="AJ710" i="1"/>
  <c r="AI708" i="1"/>
  <c r="AI707" i="1"/>
  <c r="AJ707" i="1"/>
  <c r="AI704" i="1"/>
  <c r="AI702" i="1"/>
  <c r="AJ702" i="1"/>
  <c r="AI700" i="1"/>
  <c r="AJ700" i="1"/>
  <c r="AI674" i="1"/>
  <c r="AJ674" i="1"/>
  <c r="AI673" i="1"/>
  <c r="AJ673" i="1"/>
  <c r="AI681" i="1"/>
  <c r="AJ681" i="1"/>
  <c r="AI678" i="1"/>
  <c r="AJ678" i="1"/>
  <c r="AI660" i="1"/>
  <c r="AI684" i="1"/>
  <c r="AJ684" i="1"/>
  <c r="AI664" i="1"/>
  <c r="AI671" i="1"/>
  <c r="AI668" i="1"/>
  <c r="AJ668" i="1"/>
  <c r="AI690" i="1"/>
  <c r="AJ690" i="1"/>
  <c r="AI689" i="1"/>
  <c r="AJ689" i="1"/>
  <c r="AI670" i="1"/>
  <c r="AJ670" i="1"/>
  <c r="AI675" i="1"/>
  <c r="AJ675" i="1"/>
  <c r="AI663" i="1"/>
  <c r="AJ663" i="1"/>
  <c r="AI676" i="1"/>
  <c r="AJ676" i="1"/>
  <c r="AI683" i="1"/>
  <c r="AJ683" i="1"/>
  <c r="AI680" i="1"/>
  <c r="AJ680" i="1"/>
  <c r="AI667" i="1"/>
  <c r="AJ667" i="1"/>
  <c r="AI677" i="1"/>
  <c r="AJ677" i="1"/>
  <c r="AI659" i="1"/>
  <c r="AJ659" i="1"/>
  <c r="AI650" i="1"/>
  <c r="AI649" i="1"/>
  <c r="AJ649" i="1"/>
  <c r="AI638" i="1"/>
  <c r="AI635" i="1"/>
  <c r="AI647" i="1"/>
  <c r="AI646" i="1"/>
  <c r="AJ646" i="1"/>
  <c r="AI634" i="1"/>
  <c r="AJ634" i="1"/>
  <c r="AI632" i="1"/>
  <c r="AI631" i="1"/>
  <c r="AJ631" i="1"/>
  <c r="AI628" i="1"/>
  <c r="AI627" i="1"/>
  <c r="AJ627" i="1"/>
  <c r="AI622" i="1"/>
  <c r="AJ622" i="1"/>
  <c r="AI621" i="1"/>
  <c r="AJ621" i="1"/>
  <c r="AI624" i="1"/>
  <c r="AJ624" i="1"/>
  <c r="AI619" i="1"/>
  <c r="AI615" i="1"/>
  <c r="AI614" i="1"/>
  <c r="AJ614" i="1"/>
  <c r="AI609" i="1"/>
  <c r="AI607" i="1"/>
  <c r="AJ607" i="1"/>
  <c r="AI599" i="1"/>
  <c r="AI598" i="1"/>
  <c r="AJ598" i="1"/>
  <c r="AI596" i="1"/>
  <c r="AI592" i="1"/>
  <c r="AJ592" i="1"/>
  <c r="AI590" i="1"/>
  <c r="AI589" i="1"/>
  <c r="AJ589" i="1"/>
  <c r="AI584" i="1"/>
  <c r="AI583" i="1"/>
  <c r="AJ583" i="1"/>
  <c r="AI581" i="1"/>
  <c r="AI578" i="1"/>
  <c r="AI577" i="1"/>
  <c r="AJ577" i="1"/>
  <c r="AI572" i="1"/>
  <c r="AJ572" i="1"/>
  <c r="AI569" i="1"/>
  <c r="AJ569" i="1"/>
  <c r="AI559" i="1"/>
  <c r="AJ559" i="1"/>
  <c r="AI467" i="1"/>
  <c r="AJ467" i="1"/>
  <c r="AI465" i="1"/>
  <c r="AI464" i="1"/>
  <c r="AJ464" i="1"/>
  <c r="AI455" i="1"/>
  <c r="AI452" i="1"/>
  <c r="AJ452" i="1"/>
  <c r="AI450" i="1"/>
  <c r="AI449" i="1"/>
  <c r="AJ449" i="1"/>
  <c r="AI445" i="1"/>
  <c r="AI443" i="1"/>
  <c r="AJ443" i="1"/>
  <c r="AI442" i="1"/>
  <c r="AJ442" i="1"/>
  <c r="AI441" i="1"/>
  <c r="AJ441" i="1"/>
  <c r="AI440" i="1"/>
  <c r="AJ440" i="1"/>
  <c r="AI433" i="1"/>
  <c r="AI432" i="1"/>
  <c r="AJ432" i="1"/>
  <c r="AI427" i="1"/>
  <c r="AI426" i="1"/>
  <c r="AJ426" i="1"/>
  <c r="AI423" i="1"/>
  <c r="AI422" i="1"/>
  <c r="AJ422" i="1"/>
  <c r="AI419" i="1"/>
  <c r="AI418" i="1"/>
  <c r="AJ418" i="1"/>
  <c r="AI413" i="1"/>
  <c r="AI412" i="1"/>
  <c r="AJ412" i="1"/>
  <c r="AI438" i="1"/>
  <c r="AI437" i="1"/>
  <c r="AJ437" i="1"/>
  <c r="AI435" i="1"/>
  <c r="AJ435" i="1"/>
  <c r="AI410" i="1"/>
  <c r="AI409" i="1"/>
  <c r="AJ409" i="1"/>
  <c r="AI408" i="1"/>
  <c r="AJ408" i="1"/>
  <c r="AI406" i="1"/>
  <c r="AI400" i="1"/>
  <c r="AI399" i="1"/>
  <c r="AJ399" i="1"/>
  <c r="AI397" i="1"/>
  <c r="AJ397" i="1"/>
  <c r="AI396" i="1"/>
  <c r="AJ396" i="1"/>
  <c r="AI394" i="1"/>
  <c r="AJ394" i="1"/>
  <c r="AI391" i="1"/>
  <c r="AI390" i="1"/>
  <c r="AJ390" i="1"/>
  <c r="AI387" i="1"/>
  <c r="AI386" i="1"/>
  <c r="AJ386" i="1"/>
  <c r="AI384" i="1"/>
  <c r="AJ384" i="1"/>
  <c r="AI382" i="1"/>
  <c r="AI379" i="1"/>
  <c r="AJ379" i="1"/>
  <c r="AI381" i="1"/>
  <c r="AJ381" i="1"/>
  <c r="AI378" i="1"/>
  <c r="AJ378" i="1"/>
  <c r="AI376" i="1"/>
  <c r="AI375" i="1"/>
  <c r="AJ375" i="1"/>
  <c r="AI361" i="1"/>
  <c r="AI365" i="1"/>
  <c r="AI370" i="1"/>
  <c r="AJ370" i="1"/>
  <c r="AI372" i="1"/>
  <c r="AJ372" i="1"/>
  <c r="AI364" i="1"/>
  <c r="AJ364" i="1"/>
  <c r="AI358" i="1"/>
  <c r="AI357" i="1"/>
  <c r="AJ357" i="1"/>
  <c r="AI349" i="1"/>
  <c r="AI348" i="1"/>
  <c r="AJ348" i="1"/>
  <c r="AI347" i="1"/>
  <c r="AJ347" i="1"/>
  <c r="AI337" i="1"/>
  <c r="AI341" i="1"/>
  <c r="AI345" i="1"/>
  <c r="AI339" i="1"/>
  <c r="AJ339" i="1"/>
  <c r="AI344" i="1"/>
  <c r="AJ344" i="1"/>
  <c r="AI343" i="1"/>
  <c r="AJ343" i="1"/>
  <c r="AI336" i="1"/>
  <c r="AJ336" i="1"/>
  <c r="AI335" i="1"/>
  <c r="AJ335" i="1"/>
  <c r="AI334" i="1"/>
  <c r="AJ334" i="1"/>
  <c r="AI332" i="1"/>
  <c r="AI329" i="1"/>
  <c r="AJ329" i="1"/>
  <c r="AI324" i="1"/>
  <c r="AI319" i="1"/>
  <c r="AI309" i="1"/>
  <c r="AI306" i="1"/>
  <c r="AI308" i="1"/>
  <c r="AJ308" i="1"/>
  <c r="AI316" i="1"/>
  <c r="AJ316" i="1"/>
  <c r="AI302" i="1"/>
  <c r="AI304" i="1"/>
  <c r="AJ304" i="1"/>
  <c r="AI301" i="1"/>
  <c r="AJ301" i="1"/>
  <c r="AI298" i="1"/>
  <c r="AJ298" i="1"/>
  <c r="AI289" i="1"/>
  <c r="AI295" i="1"/>
  <c r="AJ295" i="1"/>
  <c r="AI288" i="1"/>
  <c r="AJ288" i="1"/>
  <c r="AI285" i="1"/>
  <c r="AI284" i="1"/>
  <c r="AJ284" i="1"/>
  <c r="AI282" i="1"/>
  <c r="AJ282" i="1"/>
  <c r="AI277" i="1"/>
  <c r="AJ277" i="1"/>
  <c r="AI279" i="1"/>
  <c r="AI283" i="1"/>
  <c r="AJ283" i="1"/>
  <c r="AI278" i="1"/>
  <c r="AJ278" i="1"/>
  <c r="AI273" i="1"/>
  <c r="AI272" i="1"/>
  <c r="AJ272" i="1"/>
  <c r="AI261" i="1"/>
  <c r="AI259" i="1"/>
  <c r="AJ259" i="1"/>
  <c r="AI258" i="1"/>
  <c r="AJ258" i="1"/>
  <c r="AI255" i="1"/>
  <c r="AI254" i="1"/>
  <c r="AJ254" i="1"/>
  <c r="AI246" i="1"/>
  <c r="AI242" i="1"/>
  <c r="AI241" i="1"/>
  <c r="AJ241" i="1"/>
  <c r="AI236" i="1"/>
  <c r="AI235" i="1"/>
  <c r="AJ235" i="1"/>
  <c r="AI232" i="1"/>
  <c r="AJ232" i="1"/>
  <c r="AI230" i="1"/>
  <c r="AJ230" i="1"/>
  <c r="AI224" i="1"/>
  <c r="AJ224" i="1"/>
  <c r="AI222" i="1"/>
  <c r="AJ222" i="1"/>
  <c r="AI220" i="1"/>
  <c r="AI219" i="1"/>
  <c r="AJ219" i="1"/>
  <c r="AI217" i="1"/>
  <c r="AI213" i="1"/>
  <c r="AI210" i="1"/>
  <c r="AJ210" i="1"/>
  <c r="AI212" i="1"/>
  <c r="AJ212" i="1"/>
  <c r="AI203" i="1"/>
  <c r="AI202" i="1"/>
  <c r="AJ202" i="1"/>
  <c r="AI193" i="1"/>
  <c r="AJ193" i="1"/>
  <c r="AI190" i="1"/>
  <c r="AI183" i="1"/>
  <c r="AJ183" i="1"/>
  <c r="AI184" i="1"/>
  <c r="AI179" i="1"/>
  <c r="AI175" i="1"/>
  <c r="AJ175" i="1"/>
  <c r="AI173" i="1"/>
  <c r="AI172" i="1"/>
  <c r="AJ172" i="1"/>
  <c r="AI169" i="1"/>
  <c r="AI168" i="1"/>
  <c r="AJ168" i="1"/>
  <c r="AI163" i="1"/>
  <c r="AI162" i="1"/>
  <c r="AJ162" i="1"/>
  <c r="AI161" i="1"/>
  <c r="AJ161" i="1"/>
  <c r="AI156" i="1"/>
  <c r="AJ156" i="1"/>
  <c r="AI154" i="1"/>
  <c r="AJ154" i="1"/>
  <c r="AI153" i="1"/>
  <c r="AJ153" i="1"/>
  <c r="AI152" i="1"/>
  <c r="AJ152" i="1"/>
  <c r="AI151" i="1"/>
  <c r="AJ151" i="1"/>
  <c r="AI135" i="1"/>
  <c r="AJ135" i="1"/>
  <c r="AI132" i="1"/>
  <c r="AJ132" i="1"/>
  <c r="AI124" i="1"/>
  <c r="AJ124" i="1"/>
  <c r="AI117" i="1"/>
  <c r="AJ117" i="1"/>
  <c r="AI115" i="1"/>
  <c r="AJ115" i="1"/>
  <c r="AI106" i="1"/>
  <c r="AJ106" i="1"/>
  <c r="AI103" i="1"/>
  <c r="AJ103" i="1"/>
  <c r="AI102" i="1"/>
  <c r="AJ102" i="1"/>
  <c r="AI98" i="1"/>
  <c r="AJ98" i="1"/>
  <c r="AI90" i="1"/>
  <c r="AJ90" i="1"/>
  <c r="AI76" i="1"/>
  <c r="AJ76" i="1"/>
  <c r="AI74" i="1"/>
  <c r="AJ74" i="1"/>
  <c r="AI73" i="1"/>
  <c r="AJ73" i="1"/>
  <c r="AI23" i="1"/>
  <c r="AJ23" i="1"/>
  <c r="J1789" i="1"/>
  <c r="Z1755" i="1"/>
  <c r="X494" i="1" l="1"/>
  <c r="L1800" i="1"/>
  <c r="I1" i="1"/>
  <c r="X1751" i="1"/>
  <c r="Z1751" i="1"/>
  <c r="X38" i="1"/>
  <c r="X395" i="1"/>
  <c r="X1411" i="1"/>
  <c r="X31" i="1"/>
  <c r="X32" i="1"/>
  <c r="X686" i="1"/>
  <c r="Z686" i="1"/>
  <c r="X1382" i="1"/>
  <c r="AH402" i="1"/>
  <c r="X402" i="1"/>
  <c r="Z402" i="1"/>
  <c r="W12" i="1"/>
  <c r="X229" i="1"/>
  <c r="X227" i="1"/>
  <c r="AL815" i="1"/>
  <c r="AL1269" i="1"/>
  <c r="AL671" i="1"/>
  <c r="J315" i="1"/>
  <c r="K315" i="1" s="1"/>
  <c r="AL497" i="1"/>
  <c r="AL420" i="1"/>
  <c r="AL172" i="1"/>
  <c r="AL433" i="1"/>
  <c r="AL462" i="1"/>
  <c r="AL539" i="1"/>
  <c r="AL103" i="1"/>
  <c r="AL123" i="1"/>
  <c r="AL567" i="1"/>
  <c r="Z121" i="1"/>
  <c r="X121" i="1"/>
  <c r="J1736" i="1"/>
  <c r="K1736" i="1" s="1"/>
  <c r="J1594" i="1"/>
  <c r="K1594" i="1" s="1"/>
  <c r="J402" i="1"/>
  <c r="K402" i="1" s="1"/>
  <c r="AL674" i="1"/>
  <c r="AL743" i="1"/>
  <c r="AL758" i="1"/>
  <c r="AL554" i="1"/>
  <c r="J1405" i="1"/>
  <c r="K1405" i="1" s="1"/>
  <c r="J1730" i="1"/>
  <c r="K1730" i="1" s="1"/>
  <c r="J1571" i="1"/>
  <c r="K1571" i="1" s="1"/>
  <c r="J121" i="1"/>
  <c r="K121" i="1" s="1"/>
  <c r="J1727" i="1"/>
  <c r="K1727" i="1" s="1"/>
  <c r="J598" i="1"/>
  <c r="K598" i="1" s="1"/>
  <c r="J1110" i="1"/>
  <c r="K1110" i="1" s="1"/>
  <c r="J1082" i="1"/>
  <c r="K1082" i="1" s="1"/>
  <c r="AL1043" i="1"/>
  <c r="J1751" i="1"/>
  <c r="K1751" i="1" s="1"/>
  <c r="J1402" i="1"/>
  <c r="K1402" i="1" s="1"/>
  <c r="J1493" i="1"/>
  <c r="K1493" i="1" s="1"/>
  <c r="J580" i="1"/>
  <c r="K580" i="1" s="1"/>
  <c r="J686" i="1"/>
  <c r="K686" i="1" s="1"/>
  <c r="J1019" i="1"/>
  <c r="K1019" i="1" s="1"/>
  <c r="J990" i="1"/>
  <c r="K990" i="1" s="1"/>
  <c r="J938" i="1"/>
  <c r="K938" i="1" s="1"/>
  <c r="J914" i="1"/>
  <c r="K914" i="1" s="1"/>
  <c r="J841" i="1"/>
  <c r="K841" i="1" s="1"/>
  <c r="J817" i="1"/>
  <c r="K817" i="1" s="1"/>
  <c r="J747" i="1"/>
  <c r="K747" i="1" s="1"/>
  <c r="J723" i="1"/>
  <c r="K723" i="1" s="1"/>
  <c r="J700" i="1"/>
  <c r="K700" i="1" s="1"/>
  <c r="J658" i="1"/>
  <c r="K658" i="1" s="1"/>
  <c r="J637" i="1"/>
  <c r="K637" i="1" s="1"/>
  <c r="J614" i="1"/>
  <c r="K614" i="1" s="1"/>
  <c r="J589" i="1"/>
  <c r="K589" i="1" s="1"/>
  <c r="J571" i="1"/>
  <c r="K571" i="1" s="1"/>
  <c r="J542" i="1"/>
  <c r="K542" i="1" s="1"/>
  <c r="J522" i="1"/>
  <c r="K522" i="1" s="1"/>
  <c r="J475" i="1"/>
  <c r="K475" i="1" s="1"/>
  <c r="J430" i="1"/>
  <c r="K430" i="1" s="1"/>
  <c r="J399" i="1"/>
  <c r="K399" i="1" s="1"/>
  <c r="J378" i="1"/>
  <c r="K378" i="1" s="1"/>
  <c r="J355" i="1"/>
  <c r="K355" i="1" s="1"/>
  <c r="J330" i="1"/>
  <c r="K330" i="1" s="1"/>
  <c r="J301" i="1"/>
  <c r="K301" i="1" s="1"/>
  <c r="J272" i="1"/>
  <c r="K272" i="1" s="1"/>
  <c r="J224" i="1"/>
  <c r="K224" i="1" s="1"/>
  <c r="J196" i="1"/>
  <c r="K196" i="1" s="1"/>
  <c r="J175" i="1"/>
  <c r="K175" i="1" s="1"/>
  <c r="J116" i="1"/>
  <c r="K116" i="1" s="1"/>
  <c r="J57" i="1"/>
  <c r="K57" i="1" s="1"/>
  <c r="J1707" i="1"/>
  <c r="K1707" i="1" s="1"/>
  <c r="J1673" i="1"/>
  <c r="K1673" i="1" s="1"/>
  <c r="J1640" i="1"/>
  <c r="K1640" i="1" s="1"/>
  <c r="J1606" i="1"/>
  <c r="K1606" i="1" s="1"/>
  <c r="J1565" i="1"/>
  <c r="K1565" i="1" s="1"/>
  <c r="J1529" i="1"/>
  <c r="K1529" i="1" s="1"/>
  <c r="J1497" i="1"/>
  <c r="K1497" i="1" s="1"/>
  <c r="J1456" i="1"/>
  <c r="K1456" i="1" s="1"/>
  <c r="J1421" i="1"/>
  <c r="K1421" i="1" s="1"/>
  <c r="J1387" i="1"/>
  <c r="K1387" i="1" s="1"/>
  <c r="J1338" i="1"/>
  <c r="K1338" i="1" s="1"/>
  <c r="J1310" i="1"/>
  <c r="K1310" i="1" s="1"/>
  <c r="J1280" i="1"/>
  <c r="K1280" i="1" s="1"/>
  <c r="J1249" i="1"/>
  <c r="K1249" i="1" s="1"/>
  <c r="J1214" i="1"/>
  <c r="K1214" i="1" s="1"/>
  <c r="J1185" i="1"/>
  <c r="K1185" i="1" s="1"/>
  <c r="J1161" i="1"/>
  <c r="K1161" i="1" s="1"/>
  <c r="J1135" i="1"/>
  <c r="K1135" i="1" s="1"/>
  <c r="J1106" i="1"/>
  <c r="K1106" i="1" s="1"/>
  <c r="J1043" i="1"/>
  <c r="K1043" i="1" s="1"/>
  <c r="J1014" i="1"/>
  <c r="K1014" i="1" s="1"/>
  <c r="J988" i="1"/>
  <c r="K988" i="1" s="1"/>
  <c r="J961" i="1"/>
  <c r="K961" i="1" s="1"/>
  <c r="J934" i="1"/>
  <c r="K934" i="1" s="1"/>
  <c r="J910" i="1"/>
  <c r="K910" i="1" s="1"/>
  <c r="J877" i="1"/>
  <c r="K877" i="1" s="1"/>
  <c r="J858" i="1"/>
  <c r="K858" i="1" s="1"/>
  <c r="J837" i="1"/>
  <c r="K837" i="1" s="1"/>
  <c r="J813" i="1"/>
  <c r="K813" i="1" s="1"/>
  <c r="J770" i="1"/>
  <c r="K770" i="1" s="1"/>
  <c r="J745" i="1"/>
  <c r="K745" i="1" s="1"/>
  <c r="J721" i="1"/>
  <c r="K721" i="1" s="1"/>
  <c r="J634" i="1"/>
  <c r="K634" i="1" s="1"/>
  <c r="J611" i="1"/>
  <c r="K611" i="1" s="1"/>
  <c r="J569" i="1"/>
  <c r="K569" i="1" s="1"/>
  <c r="J537" i="1"/>
  <c r="K537" i="1" s="1"/>
  <c r="J520" i="1"/>
  <c r="K520" i="1" s="1"/>
  <c r="J496" i="1"/>
  <c r="K496" i="1" s="1"/>
  <c r="J426" i="1"/>
  <c r="K426" i="1" s="1"/>
  <c r="J397" i="1"/>
  <c r="K397" i="1" s="1"/>
  <c r="J351" i="1"/>
  <c r="K351" i="1" s="1"/>
  <c r="J326" i="1"/>
  <c r="K326" i="1" s="1"/>
  <c r="J299" i="1"/>
  <c r="K299" i="1" s="1"/>
  <c r="J267" i="1"/>
  <c r="K267" i="1" s="1"/>
  <c r="J240" i="1"/>
  <c r="K240" i="1" s="1"/>
  <c r="J219" i="1"/>
  <c r="K219" i="1" s="1"/>
  <c r="J194" i="1"/>
  <c r="K194" i="1" s="1"/>
  <c r="J171" i="1"/>
  <c r="K171" i="1" s="1"/>
  <c r="J141" i="1"/>
  <c r="K141" i="1" s="1"/>
  <c r="J113" i="1"/>
  <c r="K113" i="1" s="1"/>
  <c r="J81" i="1"/>
  <c r="K81" i="1" s="1"/>
  <c r="J55" i="1"/>
  <c r="K55" i="1" s="1"/>
  <c r="J1754" i="1"/>
  <c r="K1754" i="1" s="1"/>
  <c r="J1703" i="1"/>
  <c r="K1703" i="1" s="1"/>
  <c r="J1669" i="1"/>
  <c r="K1669" i="1" s="1"/>
  <c r="J1639" i="1"/>
  <c r="K1639" i="1" s="1"/>
  <c r="J1603" i="1"/>
  <c r="K1603" i="1" s="1"/>
  <c r="J1563" i="1"/>
  <c r="K1563" i="1" s="1"/>
  <c r="J1527" i="1"/>
  <c r="K1527" i="1" s="1"/>
  <c r="J1454" i="1"/>
  <c r="K1454" i="1" s="1"/>
  <c r="J1382" i="1"/>
  <c r="K1382" i="1" s="1"/>
  <c r="J1363" i="1"/>
  <c r="K1363" i="1" s="1"/>
  <c r="J1306" i="1"/>
  <c r="K1306" i="1" s="1"/>
  <c r="J1276" i="1"/>
  <c r="K1276" i="1" s="1"/>
  <c r="J1243" i="1"/>
  <c r="K1243" i="1" s="1"/>
  <c r="J1210" i="1"/>
  <c r="K1210" i="1" s="1"/>
  <c r="J1181" i="1"/>
  <c r="K1181" i="1" s="1"/>
  <c r="J1157" i="1"/>
  <c r="K1157" i="1" s="1"/>
  <c r="J1012" i="1"/>
  <c r="K1012" i="1" s="1"/>
  <c r="J959" i="1"/>
  <c r="K959" i="1" s="1"/>
  <c r="J930" i="1"/>
  <c r="K930" i="1" s="1"/>
  <c r="J906" i="1"/>
  <c r="K906" i="1" s="1"/>
  <c r="J852" i="1"/>
  <c r="K852" i="1" s="1"/>
  <c r="J811" i="1"/>
  <c r="K811" i="1" s="1"/>
  <c r="J788" i="1"/>
  <c r="K788" i="1" s="1"/>
  <c r="J766" i="1"/>
  <c r="K766" i="1" s="1"/>
  <c r="J742" i="1"/>
  <c r="K742" i="1" s="1"/>
  <c r="J683" i="1"/>
  <c r="K683" i="1" s="1"/>
  <c r="J630" i="1"/>
  <c r="K630" i="1" s="1"/>
  <c r="J604" i="1"/>
  <c r="K604" i="1" s="1"/>
  <c r="J533" i="1"/>
  <c r="K533" i="1" s="1"/>
  <c r="J494" i="1"/>
  <c r="K494" i="1" s="1"/>
  <c r="J449" i="1"/>
  <c r="K449" i="1" s="1"/>
  <c r="J425" i="1"/>
  <c r="K425" i="1" s="1"/>
  <c r="J395" i="1"/>
  <c r="K395" i="1" s="1"/>
  <c r="J375" i="1"/>
  <c r="K375" i="1" s="1"/>
  <c r="J348" i="1"/>
  <c r="K348" i="1" s="1"/>
  <c r="J323" i="1"/>
  <c r="K323" i="1" s="1"/>
  <c r="J297" i="1"/>
  <c r="K297" i="1" s="1"/>
  <c r="J263" i="1"/>
  <c r="K263" i="1" s="1"/>
  <c r="J215" i="1"/>
  <c r="K215" i="1" s="1"/>
  <c r="J192" i="1"/>
  <c r="K192" i="1" s="1"/>
  <c r="J167" i="1"/>
  <c r="K167" i="1" s="1"/>
  <c r="J139" i="1"/>
  <c r="K139" i="1" s="1"/>
  <c r="J77" i="1"/>
  <c r="K77" i="1" s="1"/>
  <c r="J1742" i="1"/>
  <c r="K1742" i="1" s="1"/>
  <c r="J1697" i="1"/>
  <c r="K1697" i="1" s="1"/>
  <c r="J1635" i="1"/>
  <c r="K1635" i="1" s="1"/>
  <c r="J1601" i="1"/>
  <c r="K1601" i="1" s="1"/>
  <c r="J1559" i="1"/>
  <c r="K1559" i="1" s="1"/>
  <c r="J1523" i="1"/>
  <c r="K1523" i="1" s="1"/>
  <c r="J1481" i="1"/>
  <c r="K1481" i="1" s="1"/>
  <c r="J1378" i="1"/>
  <c r="K1378" i="1" s="1"/>
  <c r="J1359" i="1"/>
  <c r="K1359" i="1" s="1"/>
  <c r="J1331" i="1"/>
  <c r="K1331" i="1" s="1"/>
  <c r="J1304" i="1"/>
  <c r="K1304" i="1" s="1"/>
  <c r="J1273" i="1"/>
  <c r="K1273" i="1" s="1"/>
  <c r="J1239" i="1"/>
  <c r="K1239" i="1" s="1"/>
  <c r="J1206" i="1"/>
  <c r="K1206" i="1" s="1"/>
  <c r="J1131" i="1"/>
  <c r="K1131" i="1" s="1"/>
  <c r="J1076" i="1"/>
  <c r="K1076" i="1" s="1"/>
  <c r="W830" i="1"/>
  <c r="W803" i="1"/>
  <c r="J1704" i="1"/>
  <c r="K1704" i="1" s="1"/>
  <c r="J1672" i="1"/>
  <c r="K1672" i="1" s="1"/>
  <c r="J1564" i="1"/>
  <c r="K1564" i="1" s="1"/>
  <c r="J1528" i="1"/>
  <c r="K1528" i="1" s="1"/>
  <c r="J1496" i="1"/>
  <c r="K1496" i="1" s="1"/>
  <c r="J1455" i="1"/>
  <c r="K1455" i="1" s="1"/>
  <c r="J1365" i="1"/>
  <c r="K1365" i="1" s="1"/>
  <c r="J1335" i="1"/>
  <c r="K1335" i="1" s="1"/>
  <c r="J1309" i="1"/>
  <c r="K1309" i="1" s="1"/>
  <c r="J1279" i="1"/>
  <c r="K1279" i="1" s="1"/>
  <c r="J1246" i="1"/>
  <c r="K1246" i="1" s="1"/>
  <c r="J1211" i="1"/>
  <c r="K1211" i="1" s="1"/>
  <c r="J1182" i="1"/>
  <c r="K1182" i="1" s="1"/>
  <c r="J1158" i="1"/>
  <c r="K1158" i="1" s="1"/>
  <c r="J1134" i="1"/>
  <c r="K1134" i="1" s="1"/>
  <c r="J1040" i="1"/>
  <c r="K1040" i="1" s="1"/>
  <c r="J1015" i="1"/>
  <c r="K1015" i="1" s="1"/>
  <c r="J989" i="1"/>
  <c r="K989" i="1" s="1"/>
  <c r="J962" i="1"/>
  <c r="K962" i="1" s="1"/>
  <c r="J937" i="1"/>
  <c r="K937" i="1" s="1"/>
  <c r="J911" i="1"/>
  <c r="K911" i="1" s="1"/>
  <c r="J878" i="1"/>
  <c r="K878" i="1" s="1"/>
  <c r="J859" i="1"/>
  <c r="K859" i="1" s="1"/>
  <c r="J840" i="1"/>
  <c r="K840" i="1" s="1"/>
  <c r="J816" i="1"/>
  <c r="K816" i="1" s="1"/>
  <c r="J792" i="1"/>
  <c r="K792" i="1" s="1"/>
  <c r="J771" i="1"/>
  <c r="K771" i="1" s="1"/>
  <c r="J746" i="1"/>
  <c r="K746" i="1" s="1"/>
  <c r="J722" i="1"/>
  <c r="K722" i="1" s="1"/>
  <c r="J613" i="1"/>
  <c r="K613" i="1" s="1"/>
  <c r="J570" i="1"/>
  <c r="K570" i="1" s="1"/>
  <c r="J541" i="1"/>
  <c r="K541" i="1" s="1"/>
  <c r="J521" i="1"/>
  <c r="K521" i="1" s="1"/>
  <c r="J497" i="1"/>
  <c r="K497" i="1" s="1"/>
  <c r="J429" i="1"/>
  <c r="K429" i="1" s="1"/>
  <c r="J398" i="1"/>
  <c r="K398" i="1" s="1"/>
  <c r="J352" i="1"/>
  <c r="K352" i="1" s="1"/>
  <c r="J329" i="1"/>
  <c r="K329" i="1" s="1"/>
  <c r="J268" i="1"/>
  <c r="K268" i="1" s="1"/>
  <c r="J241" i="1"/>
  <c r="K241" i="1" s="1"/>
  <c r="J222" i="1"/>
  <c r="K222" i="1" s="1"/>
  <c r="J172" i="1"/>
  <c r="K172" i="1" s="1"/>
  <c r="J142" i="1"/>
  <c r="K142" i="1" s="1"/>
  <c r="J115" i="1"/>
  <c r="K115" i="1" s="1"/>
  <c r="J56" i="1"/>
  <c r="K56" i="1" s="1"/>
  <c r="W863" i="1"/>
  <c r="W249" i="1"/>
  <c r="J898" i="1"/>
  <c r="K898" i="1" s="1"/>
  <c r="J1711" i="1"/>
  <c r="K1711" i="1" s="1"/>
  <c r="W1221" i="1"/>
  <c r="W918" i="1"/>
  <c r="J1700" i="1"/>
  <c r="K1700" i="1" s="1"/>
  <c r="J1636" i="1"/>
  <c r="K1636" i="1" s="1"/>
  <c r="J1602" i="1"/>
  <c r="K1602" i="1" s="1"/>
  <c r="J1560" i="1"/>
  <c r="K1560" i="1" s="1"/>
  <c r="J1526" i="1"/>
  <c r="K1526" i="1" s="1"/>
  <c r="J1490" i="1"/>
  <c r="K1490" i="1" s="1"/>
  <c r="J1451" i="1"/>
  <c r="K1451" i="1" s="1"/>
  <c r="J1411" i="1"/>
  <c r="K1411" i="1" s="1"/>
  <c r="J1379" i="1"/>
  <c r="K1379" i="1" s="1"/>
  <c r="J1332" i="1"/>
  <c r="K1332" i="1" s="1"/>
  <c r="J1305" i="1"/>
  <c r="K1305" i="1" s="1"/>
  <c r="J1240" i="1"/>
  <c r="K1240" i="1" s="1"/>
  <c r="J1209" i="1"/>
  <c r="K1209" i="1" s="1"/>
  <c r="J1154" i="1"/>
  <c r="K1154" i="1" s="1"/>
  <c r="J1130" i="1"/>
  <c r="K1130" i="1" s="1"/>
  <c r="J1079" i="1"/>
  <c r="K1079" i="1" s="1"/>
  <c r="J1039" i="1"/>
  <c r="K1039" i="1" s="1"/>
  <c r="J1013" i="1"/>
  <c r="K1013" i="1" s="1"/>
  <c r="J985" i="1"/>
  <c r="K985" i="1" s="1"/>
  <c r="J960" i="1"/>
  <c r="K960" i="1" s="1"/>
  <c r="J933" i="1"/>
  <c r="K933" i="1" s="1"/>
  <c r="J874" i="1"/>
  <c r="K874" i="1" s="1"/>
  <c r="J855" i="1"/>
  <c r="K855" i="1" s="1"/>
  <c r="J812" i="1"/>
  <c r="K812" i="1" s="1"/>
  <c r="J791" i="1"/>
  <c r="K791" i="1" s="1"/>
  <c r="J769" i="1"/>
  <c r="K769" i="1" s="1"/>
  <c r="J720" i="1"/>
  <c r="K720" i="1" s="1"/>
  <c r="J689" i="1"/>
  <c r="K689" i="1" s="1"/>
  <c r="J631" i="1"/>
  <c r="K631" i="1" s="1"/>
  <c r="J607" i="1"/>
  <c r="K607" i="1" s="1"/>
  <c r="J566" i="1"/>
  <c r="K566" i="1" s="1"/>
  <c r="J536" i="1"/>
  <c r="K536" i="1" s="1"/>
  <c r="J495" i="1"/>
  <c r="K495" i="1" s="1"/>
  <c r="J396" i="1"/>
  <c r="K396" i="1" s="1"/>
  <c r="J298" i="1"/>
  <c r="K298" i="1" s="1"/>
  <c r="J266" i="1"/>
  <c r="K266" i="1" s="1"/>
  <c r="J239" i="1"/>
  <c r="K239" i="1" s="1"/>
  <c r="J216" i="1"/>
  <c r="K216" i="1" s="1"/>
  <c r="J193" i="1"/>
  <c r="K193" i="1" s="1"/>
  <c r="J168" i="1"/>
  <c r="K168" i="1" s="1"/>
  <c r="J140" i="1"/>
  <c r="K140" i="1" s="1"/>
  <c r="J110" i="1"/>
  <c r="K110" i="1" s="1"/>
  <c r="J78" i="1"/>
  <c r="K78" i="1" s="1"/>
  <c r="W861" i="1"/>
  <c r="W226" i="1"/>
  <c r="J226" i="1"/>
  <c r="K226" i="1" s="1"/>
  <c r="W844" i="1"/>
  <c r="J1694" i="1"/>
  <c r="K1694" i="1" s="1"/>
  <c r="J1634" i="1"/>
  <c r="K1634" i="1" s="1"/>
  <c r="J1600" i="1"/>
  <c r="K1600" i="1" s="1"/>
  <c r="J1556" i="1"/>
  <c r="K1556" i="1" s="1"/>
  <c r="J1522" i="1"/>
  <c r="K1522" i="1" s="1"/>
  <c r="J1487" i="1"/>
  <c r="K1487" i="1" s="1"/>
  <c r="J1448" i="1"/>
  <c r="K1448" i="1" s="1"/>
  <c r="J1399" i="1"/>
  <c r="K1399" i="1" s="1"/>
  <c r="J1377" i="1"/>
  <c r="K1377" i="1" s="1"/>
  <c r="J1301" i="1"/>
  <c r="K1301" i="1" s="1"/>
  <c r="J1272" i="1"/>
  <c r="K1272" i="1" s="1"/>
  <c r="J1236" i="1"/>
  <c r="K1236" i="1" s="1"/>
  <c r="J1203" i="1"/>
  <c r="K1203" i="1" s="1"/>
  <c r="J1150" i="1"/>
  <c r="K1150" i="1" s="1"/>
  <c r="J1066" i="1"/>
  <c r="K1066" i="1" s="1"/>
  <c r="J1073" i="1"/>
  <c r="K1073" i="1" s="1"/>
  <c r="J1009" i="1"/>
  <c r="K1009" i="1" s="1"/>
  <c r="J981" i="1"/>
  <c r="K981" i="1" s="1"/>
  <c r="J955" i="1"/>
  <c r="K955" i="1" s="1"/>
  <c r="J903" i="1"/>
  <c r="K903" i="1" s="1"/>
  <c r="J871" i="1"/>
  <c r="K871" i="1" s="1"/>
  <c r="J836" i="1"/>
  <c r="K836" i="1" s="1"/>
  <c r="J808" i="1"/>
  <c r="K808" i="1" s="1"/>
  <c r="J765" i="1"/>
  <c r="K765" i="1" s="1"/>
  <c r="J738" i="1"/>
  <c r="K738" i="1" s="1"/>
  <c r="J717" i="1"/>
  <c r="K717" i="1" s="1"/>
  <c r="J627" i="1"/>
  <c r="K627" i="1" s="1"/>
  <c r="J586" i="1"/>
  <c r="K586" i="1" s="1"/>
  <c r="J532" i="1"/>
  <c r="K532" i="1" s="1"/>
  <c r="J517" i="1"/>
  <c r="K517" i="1" s="1"/>
  <c r="J493" i="1"/>
  <c r="K493" i="1" s="1"/>
  <c r="J447" i="1"/>
  <c r="K447" i="1" s="1"/>
  <c r="J394" i="1"/>
  <c r="K394" i="1" s="1"/>
  <c r="J372" i="1"/>
  <c r="K372" i="1" s="1"/>
  <c r="J347" i="1"/>
  <c r="K347" i="1" s="1"/>
  <c r="J260" i="1"/>
  <c r="K260" i="1" s="1"/>
  <c r="J212" i="1"/>
  <c r="K212" i="1" s="1"/>
  <c r="J135" i="1"/>
  <c r="K135" i="1" s="1"/>
  <c r="J106" i="1"/>
  <c r="K106" i="1" s="1"/>
  <c r="J76" i="1"/>
  <c r="K76" i="1" s="1"/>
  <c r="W1185" i="1"/>
  <c r="W1136" i="1"/>
  <c r="W224" i="1"/>
  <c r="J1724" i="1"/>
  <c r="K1724" i="1" s="1"/>
  <c r="J1659" i="1"/>
  <c r="K1659" i="1" s="1"/>
  <c r="J1625" i="1"/>
  <c r="K1625" i="1" s="1"/>
  <c r="J1597" i="1"/>
  <c r="K1597" i="1" s="1"/>
  <c r="J1555" i="1"/>
  <c r="K1555" i="1" s="1"/>
  <c r="J1519" i="1"/>
  <c r="K1519" i="1" s="1"/>
  <c r="J1484" i="1"/>
  <c r="K1484" i="1" s="1"/>
  <c r="J1445" i="1"/>
  <c r="K1445" i="1" s="1"/>
  <c r="J1376" i="1"/>
  <c r="K1376" i="1" s="1"/>
  <c r="J1326" i="1"/>
  <c r="K1326" i="1" s="1"/>
  <c r="J1298" i="1"/>
  <c r="K1298" i="1" s="1"/>
  <c r="J1233" i="1"/>
  <c r="K1233" i="1" s="1"/>
  <c r="J1201" i="1"/>
  <c r="K1201" i="1" s="1"/>
  <c r="J1178" i="1"/>
  <c r="K1178" i="1" s="1"/>
  <c r="J1149" i="1"/>
  <c r="K1149" i="1" s="1"/>
  <c r="J1127" i="1"/>
  <c r="K1127" i="1" s="1"/>
  <c r="J1065" i="1"/>
  <c r="K1065" i="1" s="1"/>
  <c r="J1005" i="1"/>
  <c r="K1005" i="1" s="1"/>
  <c r="J980" i="1"/>
  <c r="K980" i="1" s="1"/>
  <c r="J954" i="1"/>
  <c r="K954" i="1" s="1"/>
  <c r="J902" i="1"/>
  <c r="K902" i="1" s="1"/>
  <c r="J869" i="1"/>
  <c r="K869" i="1" s="1"/>
  <c r="J851" i="1"/>
  <c r="K851" i="1" s="1"/>
  <c r="J835" i="1"/>
  <c r="K835" i="1" s="1"/>
  <c r="J807" i="1"/>
  <c r="K807" i="1" s="1"/>
  <c r="J787" i="1"/>
  <c r="K787" i="1" s="1"/>
  <c r="J764" i="1"/>
  <c r="K764" i="1" s="1"/>
  <c r="J735" i="1"/>
  <c r="K735" i="1" s="1"/>
  <c r="J716" i="1"/>
  <c r="K716" i="1" s="1"/>
  <c r="J680" i="1"/>
  <c r="K680" i="1" s="1"/>
  <c r="J652" i="1"/>
  <c r="K652" i="1" s="1"/>
  <c r="J626" i="1"/>
  <c r="K626" i="1" s="1"/>
  <c r="J583" i="1"/>
  <c r="K583" i="1" s="1"/>
  <c r="J516" i="1"/>
  <c r="K516" i="1" s="1"/>
  <c r="J492" i="1"/>
  <c r="K492" i="1" s="1"/>
  <c r="J469" i="1"/>
  <c r="K469" i="1" s="1"/>
  <c r="J444" i="1"/>
  <c r="K444" i="1" s="1"/>
  <c r="J422" i="1"/>
  <c r="K422" i="1" s="1"/>
  <c r="J393" i="1"/>
  <c r="K393" i="1" s="1"/>
  <c r="J371" i="1"/>
  <c r="K371" i="1" s="1"/>
  <c r="J344" i="1"/>
  <c r="K344" i="1" s="1"/>
  <c r="J292" i="1"/>
  <c r="K292" i="1" s="1"/>
  <c r="J259" i="1"/>
  <c r="K259" i="1" s="1"/>
  <c r="J211" i="1"/>
  <c r="K211" i="1" s="1"/>
  <c r="J189" i="1"/>
  <c r="K189" i="1" s="1"/>
  <c r="J162" i="1"/>
  <c r="K162" i="1" s="1"/>
  <c r="J134" i="1"/>
  <c r="K134" i="1" s="1"/>
  <c r="J103" i="1"/>
  <c r="K103" i="1" s="1"/>
  <c r="J75" i="1"/>
  <c r="K75" i="1" s="1"/>
  <c r="J49" i="1"/>
  <c r="K49" i="1" s="1"/>
  <c r="J1549" i="1"/>
  <c r="K1549" i="1" s="1"/>
  <c r="W937" i="1"/>
  <c r="W878" i="1"/>
  <c r="W222" i="1"/>
  <c r="J1721" i="1"/>
  <c r="K1721" i="1" s="1"/>
  <c r="J1690" i="1"/>
  <c r="K1690" i="1" s="1"/>
  <c r="J1658" i="1"/>
  <c r="K1658" i="1" s="1"/>
  <c r="J1622" i="1"/>
  <c r="K1622" i="1" s="1"/>
  <c r="J1588" i="1"/>
  <c r="K1588" i="1" s="1"/>
  <c r="J1552" i="1"/>
  <c r="K1552" i="1" s="1"/>
  <c r="J1516" i="1"/>
  <c r="K1516" i="1" s="1"/>
  <c r="J1478" i="1"/>
  <c r="K1478" i="1" s="1"/>
  <c r="J1444" i="1"/>
  <c r="K1444" i="1" s="1"/>
  <c r="J1375" i="1"/>
  <c r="K1375" i="1" s="1"/>
  <c r="J1356" i="1"/>
  <c r="K1356" i="1" s="1"/>
  <c r="J1323" i="1"/>
  <c r="K1323" i="1" s="1"/>
  <c r="J1297" i="1"/>
  <c r="K1297" i="1" s="1"/>
  <c r="J1269" i="1"/>
  <c r="K1269" i="1" s="1"/>
  <c r="J1230" i="1"/>
  <c r="K1230" i="1" s="1"/>
  <c r="J1200" i="1"/>
  <c r="K1200" i="1" s="1"/>
  <c r="J1175" i="1"/>
  <c r="K1175" i="1" s="1"/>
  <c r="J1146" i="1"/>
  <c r="K1146" i="1" s="1"/>
  <c r="J1126" i="1"/>
  <c r="K1126" i="1" s="1"/>
  <c r="J1064" i="1"/>
  <c r="K1064" i="1" s="1"/>
  <c r="J1069" i="1"/>
  <c r="K1069" i="1" s="1"/>
  <c r="J1036" i="1"/>
  <c r="K1036" i="1" s="1"/>
  <c r="J979" i="1"/>
  <c r="K979" i="1" s="1"/>
  <c r="J953" i="1"/>
  <c r="K953" i="1" s="1"/>
  <c r="J927" i="1"/>
  <c r="K927" i="1" s="1"/>
  <c r="J901" i="1"/>
  <c r="K901" i="1" s="1"/>
  <c r="J850" i="1"/>
  <c r="K850" i="1" s="1"/>
  <c r="J832" i="1"/>
  <c r="K832" i="1" s="1"/>
  <c r="J806" i="1"/>
  <c r="K806" i="1" s="1"/>
  <c r="J734" i="1"/>
  <c r="K734" i="1" s="1"/>
  <c r="J677" i="1"/>
  <c r="K677" i="1" s="1"/>
  <c r="J625" i="1"/>
  <c r="K625" i="1" s="1"/>
  <c r="J559" i="1"/>
  <c r="K559" i="1" s="1"/>
  <c r="J515" i="1"/>
  <c r="K515" i="1" s="1"/>
  <c r="J489" i="1"/>
  <c r="K489" i="1" s="1"/>
  <c r="J443" i="1"/>
  <c r="K443" i="1" s="1"/>
  <c r="J390" i="1"/>
  <c r="K390" i="1" s="1"/>
  <c r="J370" i="1"/>
  <c r="K370" i="1" s="1"/>
  <c r="J343" i="1"/>
  <c r="K343" i="1" s="1"/>
  <c r="J288" i="1"/>
  <c r="K288" i="1" s="1"/>
  <c r="J258" i="1"/>
  <c r="K258" i="1" s="1"/>
  <c r="J235" i="1"/>
  <c r="K235" i="1" s="1"/>
  <c r="J210" i="1"/>
  <c r="K210" i="1" s="1"/>
  <c r="J161" i="1"/>
  <c r="K161" i="1" s="1"/>
  <c r="J133" i="1"/>
  <c r="K133" i="1" s="1"/>
  <c r="J102" i="1"/>
  <c r="K102" i="1" s="1"/>
  <c r="J74" i="1"/>
  <c r="K74" i="1" s="1"/>
  <c r="J46" i="1"/>
  <c r="K46" i="1" s="1"/>
  <c r="J472" i="1"/>
  <c r="K472" i="1" s="1"/>
  <c r="J1591" i="1"/>
  <c r="K1591" i="1" s="1"/>
  <c r="W1210" i="1"/>
  <c r="W1157" i="1"/>
  <c r="W858" i="1"/>
  <c r="W721" i="1"/>
  <c r="J1718" i="1"/>
  <c r="K1718" i="1" s="1"/>
  <c r="J1689" i="1"/>
  <c r="K1689" i="1" s="1"/>
  <c r="J1657" i="1"/>
  <c r="K1657" i="1" s="1"/>
  <c r="J1621" i="1"/>
  <c r="K1621" i="1" s="1"/>
  <c r="J1585" i="1"/>
  <c r="K1585" i="1" s="1"/>
  <c r="J1546" i="1"/>
  <c r="K1546" i="1" s="1"/>
  <c r="J1512" i="1"/>
  <c r="K1512" i="1" s="1"/>
  <c r="J1475" i="1"/>
  <c r="K1475" i="1" s="1"/>
  <c r="J1441" i="1"/>
  <c r="K1441" i="1" s="1"/>
  <c r="J1374" i="1"/>
  <c r="K1374" i="1" s="1"/>
  <c r="J1353" i="1"/>
  <c r="K1353" i="1" s="1"/>
  <c r="J1322" i="1"/>
  <c r="K1322" i="1" s="1"/>
  <c r="J1296" i="1"/>
  <c r="K1296" i="1" s="1"/>
  <c r="J1229" i="1"/>
  <c r="K1229" i="1" s="1"/>
  <c r="J1174" i="1"/>
  <c r="K1174" i="1" s="1"/>
  <c r="J1145" i="1"/>
  <c r="K1145" i="1" s="1"/>
  <c r="J1125" i="1"/>
  <c r="K1125" i="1" s="1"/>
  <c r="J1097" i="1"/>
  <c r="K1097" i="1" s="1"/>
  <c r="J1061" i="1"/>
  <c r="K1061" i="1" s="1"/>
  <c r="J1033" i="1"/>
  <c r="K1033" i="1" s="1"/>
  <c r="J1001" i="1"/>
  <c r="K1001" i="1" s="1"/>
  <c r="J951" i="1"/>
  <c r="K951" i="1" s="1"/>
  <c r="J926" i="1"/>
  <c r="K926" i="1" s="1"/>
  <c r="J866" i="1"/>
  <c r="K866" i="1" s="1"/>
  <c r="J831" i="1"/>
  <c r="K831" i="1" s="1"/>
  <c r="J805" i="1"/>
  <c r="K805" i="1" s="1"/>
  <c r="J784" i="1"/>
  <c r="K784" i="1" s="1"/>
  <c r="J761" i="1"/>
  <c r="K761" i="1" s="1"/>
  <c r="J733" i="1"/>
  <c r="K733" i="1" s="1"/>
  <c r="J713" i="1"/>
  <c r="K713" i="1" s="1"/>
  <c r="J676" i="1"/>
  <c r="K676" i="1" s="1"/>
  <c r="J624" i="1"/>
  <c r="K624" i="1" s="1"/>
  <c r="J601" i="1"/>
  <c r="K601" i="1" s="1"/>
  <c r="J577" i="1"/>
  <c r="K577" i="1" s="1"/>
  <c r="J529" i="1"/>
  <c r="K529" i="1" s="1"/>
  <c r="J467" i="1"/>
  <c r="K467" i="1" s="1"/>
  <c r="J442" i="1"/>
  <c r="K442" i="1" s="1"/>
  <c r="J421" i="1"/>
  <c r="K421" i="1" s="1"/>
  <c r="J389" i="1"/>
  <c r="K389" i="1" s="1"/>
  <c r="J340" i="1"/>
  <c r="K340" i="1" s="1"/>
  <c r="J287" i="1"/>
  <c r="K287" i="1" s="1"/>
  <c r="J257" i="1"/>
  <c r="K257" i="1" s="1"/>
  <c r="J234" i="1"/>
  <c r="K234" i="1" s="1"/>
  <c r="J207" i="1"/>
  <c r="K207" i="1" s="1"/>
  <c r="J186" i="1"/>
  <c r="K186" i="1" s="1"/>
  <c r="J158" i="1"/>
  <c r="K158" i="1" s="1"/>
  <c r="J132" i="1"/>
  <c r="K132" i="1" s="1"/>
  <c r="J99" i="1"/>
  <c r="K99" i="1" s="1"/>
  <c r="J73" i="1"/>
  <c r="K73" i="1" s="1"/>
  <c r="J45" i="1"/>
  <c r="K45" i="1" s="1"/>
  <c r="W1606" i="1"/>
  <c r="W791" i="1"/>
  <c r="J1688" i="1"/>
  <c r="K1688" i="1" s="1"/>
  <c r="J1584" i="1"/>
  <c r="K1584" i="1" s="1"/>
  <c r="J1544" i="1"/>
  <c r="K1544" i="1" s="1"/>
  <c r="J1511" i="1"/>
  <c r="K1511" i="1" s="1"/>
  <c r="J1474" i="1"/>
  <c r="K1474" i="1" s="1"/>
  <c r="J1438" i="1"/>
  <c r="K1438" i="1" s="1"/>
  <c r="J1396" i="1"/>
  <c r="K1396" i="1" s="1"/>
  <c r="J1373" i="1"/>
  <c r="K1373" i="1" s="1"/>
  <c r="J1321" i="1"/>
  <c r="K1321" i="1" s="1"/>
  <c r="J1295" i="1"/>
  <c r="K1295" i="1" s="1"/>
  <c r="J1266" i="1"/>
  <c r="K1266" i="1" s="1"/>
  <c r="J1228" i="1"/>
  <c r="K1228" i="1" s="1"/>
  <c r="J1199" i="1"/>
  <c r="K1199" i="1" s="1"/>
  <c r="J1171" i="1"/>
  <c r="K1171" i="1" s="1"/>
  <c r="J1144" i="1"/>
  <c r="K1144" i="1" s="1"/>
  <c r="J1122" i="1"/>
  <c r="K1122" i="1" s="1"/>
  <c r="J1094" i="1"/>
  <c r="K1094" i="1" s="1"/>
  <c r="J1058" i="1"/>
  <c r="K1058" i="1" s="1"/>
  <c r="J998" i="1"/>
  <c r="K998" i="1" s="1"/>
  <c r="J976" i="1"/>
  <c r="K976" i="1" s="1"/>
  <c r="J889" i="1"/>
  <c r="K889" i="1" s="1"/>
  <c r="J865" i="1"/>
  <c r="K865" i="1" s="1"/>
  <c r="J849" i="1"/>
  <c r="K849" i="1" s="1"/>
  <c r="J804" i="1"/>
  <c r="K804" i="1" s="1"/>
  <c r="J783" i="1"/>
  <c r="K783" i="1" s="1"/>
  <c r="J758" i="1"/>
  <c r="K758" i="1" s="1"/>
  <c r="J732" i="1"/>
  <c r="K732" i="1" s="1"/>
  <c r="J710" i="1"/>
  <c r="K710" i="1" s="1"/>
  <c r="J675" i="1"/>
  <c r="K675" i="1" s="1"/>
  <c r="J623" i="1"/>
  <c r="K623" i="1" s="1"/>
  <c r="J556" i="1"/>
  <c r="K556" i="1" s="1"/>
  <c r="J509" i="1"/>
  <c r="K509" i="1" s="1"/>
  <c r="J483" i="1"/>
  <c r="K483" i="1" s="1"/>
  <c r="J464" i="1"/>
  <c r="K464" i="1" s="1"/>
  <c r="J441" i="1"/>
  <c r="K441" i="1" s="1"/>
  <c r="J418" i="1"/>
  <c r="K418" i="1" s="1"/>
  <c r="J386" i="1"/>
  <c r="K386" i="1" s="1"/>
  <c r="J339" i="1"/>
  <c r="K339" i="1" s="1"/>
  <c r="J284" i="1"/>
  <c r="K284" i="1" s="1"/>
  <c r="J254" i="1"/>
  <c r="K254" i="1" s="1"/>
  <c r="J233" i="1"/>
  <c r="K233" i="1" s="1"/>
  <c r="J206" i="1"/>
  <c r="K206" i="1" s="1"/>
  <c r="J183" i="1"/>
  <c r="K183" i="1" s="1"/>
  <c r="J157" i="1"/>
  <c r="K157" i="1" s="1"/>
  <c r="J129" i="1"/>
  <c r="K129" i="1" s="1"/>
  <c r="J98" i="1"/>
  <c r="K98" i="1" s="1"/>
  <c r="W192" i="1"/>
  <c r="J1685" i="1"/>
  <c r="K1685" i="1" s="1"/>
  <c r="J1654" i="1"/>
  <c r="K1654" i="1" s="1"/>
  <c r="J1541" i="1"/>
  <c r="K1541" i="1" s="1"/>
  <c r="J1437" i="1"/>
  <c r="K1437" i="1" s="1"/>
  <c r="J1393" i="1"/>
  <c r="K1393" i="1" s="1"/>
  <c r="J1347" i="1"/>
  <c r="K1347" i="1" s="1"/>
  <c r="J1292" i="1"/>
  <c r="K1292" i="1" s="1"/>
  <c r="J1263" i="1"/>
  <c r="K1263" i="1" s="1"/>
  <c r="J1225" i="1"/>
  <c r="K1225" i="1" s="1"/>
  <c r="J1198" i="1"/>
  <c r="K1198" i="1" s="1"/>
  <c r="J1170" i="1"/>
  <c r="K1170" i="1" s="1"/>
  <c r="J1143" i="1"/>
  <c r="K1143" i="1" s="1"/>
  <c r="J1121" i="1"/>
  <c r="K1121" i="1" s="1"/>
  <c r="J1055" i="1"/>
  <c r="K1055" i="1" s="1"/>
  <c r="J1029" i="1"/>
  <c r="K1029" i="1" s="1"/>
  <c r="J997" i="1"/>
  <c r="K997" i="1" s="1"/>
  <c r="J948" i="1"/>
  <c r="K948" i="1" s="1"/>
  <c r="J923" i="1"/>
  <c r="K923" i="1" s="1"/>
  <c r="J888" i="1"/>
  <c r="K888" i="1" s="1"/>
  <c r="J864" i="1"/>
  <c r="K864" i="1" s="1"/>
  <c r="J782" i="1"/>
  <c r="K782" i="1" s="1"/>
  <c r="J731" i="1"/>
  <c r="K731" i="1" s="1"/>
  <c r="J707" i="1"/>
  <c r="K707" i="1" s="1"/>
  <c r="J674" i="1"/>
  <c r="K674" i="1" s="1"/>
  <c r="J649" i="1"/>
  <c r="K649" i="1" s="1"/>
  <c r="J622" i="1"/>
  <c r="K622" i="1" s="1"/>
  <c r="J595" i="1"/>
  <c r="K595" i="1" s="1"/>
  <c r="J551" i="1"/>
  <c r="K551" i="1" s="1"/>
  <c r="J482" i="1"/>
  <c r="K482" i="1" s="1"/>
  <c r="J460" i="1"/>
  <c r="K460" i="1" s="1"/>
  <c r="J440" i="1"/>
  <c r="K440" i="1" s="1"/>
  <c r="J415" i="1"/>
  <c r="K415" i="1" s="1"/>
  <c r="J385" i="1"/>
  <c r="K385" i="1" s="1"/>
  <c r="J367" i="1"/>
  <c r="K367" i="1" s="1"/>
  <c r="J336" i="1"/>
  <c r="K336" i="1" s="1"/>
  <c r="J316" i="1"/>
  <c r="K316" i="1" s="1"/>
  <c r="J283" i="1"/>
  <c r="K283" i="1" s="1"/>
  <c r="J253" i="1"/>
  <c r="K253" i="1" s="1"/>
  <c r="J232" i="1"/>
  <c r="K232" i="1" s="1"/>
  <c r="J205" i="1"/>
  <c r="K205" i="1" s="1"/>
  <c r="J182" i="1"/>
  <c r="K182" i="1" s="1"/>
  <c r="J156" i="1"/>
  <c r="K156" i="1" s="1"/>
  <c r="J128" i="1"/>
  <c r="K128" i="1" s="1"/>
  <c r="J96" i="1"/>
  <c r="K96" i="1" s="1"/>
  <c r="J70" i="1"/>
  <c r="K70" i="1" s="1"/>
  <c r="J1684" i="1"/>
  <c r="K1684" i="1" s="1"/>
  <c r="J1653" i="1"/>
  <c r="K1653" i="1" s="1"/>
  <c r="J1540" i="1"/>
  <c r="K1540" i="1" s="1"/>
  <c r="J1508" i="1"/>
  <c r="K1508" i="1" s="1"/>
  <c r="J1436" i="1"/>
  <c r="K1436" i="1" s="1"/>
  <c r="J1291" i="1"/>
  <c r="K1291" i="1" s="1"/>
  <c r="J1260" i="1"/>
  <c r="K1260" i="1" s="1"/>
  <c r="J1224" i="1"/>
  <c r="K1224" i="1" s="1"/>
  <c r="J1169" i="1"/>
  <c r="K1169" i="1" s="1"/>
  <c r="J1139" i="1"/>
  <c r="K1139" i="1" s="1"/>
  <c r="J1120" i="1"/>
  <c r="K1120" i="1" s="1"/>
  <c r="J1052" i="1"/>
  <c r="K1052" i="1" s="1"/>
  <c r="J1025" i="1"/>
  <c r="K1025" i="1" s="1"/>
  <c r="J996" i="1"/>
  <c r="K996" i="1" s="1"/>
  <c r="J973" i="1"/>
  <c r="K973" i="1" s="1"/>
  <c r="J922" i="1"/>
  <c r="K922" i="1" s="1"/>
  <c r="J885" i="1"/>
  <c r="K885" i="1" s="1"/>
  <c r="J846" i="1"/>
  <c r="K846" i="1" s="1"/>
  <c r="J830" i="1"/>
  <c r="K830" i="1" s="1"/>
  <c r="J803" i="1"/>
  <c r="K803" i="1" s="1"/>
  <c r="J781" i="1"/>
  <c r="K781" i="1" s="1"/>
  <c r="J757" i="1"/>
  <c r="K757" i="1" s="1"/>
  <c r="J728" i="1"/>
  <c r="K728" i="1" s="1"/>
  <c r="J706" i="1"/>
  <c r="K706" i="1" s="1"/>
  <c r="J673" i="1"/>
  <c r="K673" i="1" s="1"/>
  <c r="J646" i="1"/>
  <c r="K646" i="1" s="1"/>
  <c r="J621" i="1"/>
  <c r="K621" i="1" s="1"/>
  <c r="J594" i="1"/>
  <c r="K594" i="1" s="1"/>
  <c r="J574" i="1"/>
  <c r="K574" i="1" s="1"/>
  <c r="J548" i="1"/>
  <c r="K548" i="1" s="1"/>
  <c r="J506" i="1"/>
  <c r="K506" i="1" s="1"/>
  <c r="J481" i="1"/>
  <c r="K481" i="1" s="1"/>
  <c r="J457" i="1"/>
  <c r="K457" i="1" s="1"/>
  <c r="J437" i="1"/>
  <c r="K437" i="1" s="1"/>
  <c r="J412" i="1"/>
  <c r="K412" i="1" s="1"/>
  <c r="J364" i="1"/>
  <c r="K364" i="1" s="1"/>
  <c r="J335" i="1"/>
  <c r="K335" i="1" s="1"/>
  <c r="J318" i="1"/>
  <c r="K318" i="1" s="1"/>
  <c r="J282" i="1"/>
  <c r="K282" i="1" s="1"/>
  <c r="J252" i="1"/>
  <c r="K252" i="1" s="1"/>
  <c r="J231" i="1"/>
  <c r="K231" i="1" s="1"/>
  <c r="J202" i="1"/>
  <c r="K202" i="1" s="1"/>
  <c r="J181" i="1"/>
  <c r="K181" i="1" s="1"/>
  <c r="J155" i="1"/>
  <c r="K155" i="1" s="1"/>
  <c r="J127" i="1"/>
  <c r="K127" i="1" s="1"/>
  <c r="J93" i="1"/>
  <c r="K93" i="1" s="1"/>
  <c r="J67" i="1"/>
  <c r="K67" i="1" s="1"/>
  <c r="W1745" i="1"/>
  <c r="J1745" i="1"/>
  <c r="K1745" i="1" s="1"/>
  <c r="J1681" i="1"/>
  <c r="K1681" i="1" s="1"/>
  <c r="J1650" i="1"/>
  <c r="K1650" i="1" s="1"/>
  <c r="J1578" i="1"/>
  <c r="K1578" i="1" s="1"/>
  <c r="J1537" i="1"/>
  <c r="K1537" i="1" s="1"/>
  <c r="J1504" i="1"/>
  <c r="K1504" i="1" s="1"/>
  <c r="J1433" i="1"/>
  <c r="K1433" i="1" s="1"/>
  <c r="J1370" i="1"/>
  <c r="K1370" i="1" s="1"/>
  <c r="J1318" i="1"/>
  <c r="K1318" i="1" s="1"/>
  <c r="J1288" i="1"/>
  <c r="K1288" i="1" s="1"/>
  <c r="J1257" i="1"/>
  <c r="K1257" i="1" s="1"/>
  <c r="J1195" i="1"/>
  <c r="K1195" i="1" s="1"/>
  <c r="J1168" i="1"/>
  <c r="K1168" i="1" s="1"/>
  <c r="J1138" i="1"/>
  <c r="K1138" i="1" s="1"/>
  <c r="J1090" i="1"/>
  <c r="K1090" i="1" s="1"/>
  <c r="J1049" i="1"/>
  <c r="K1049" i="1" s="1"/>
  <c r="J1024" i="1"/>
  <c r="K1024" i="1" s="1"/>
  <c r="J995" i="1"/>
  <c r="K995" i="1" s="1"/>
  <c r="J970" i="1"/>
  <c r="K970" i="1" s="1"/>
  <c r="J945" i="1"/>
  <c r="K945" i="1" s="1"/>
  <c r="J919" i="1"/>
  <c r="K919" i="1" s="1"/>
  <c r="J863" i="1"/>
  <c r="K863" i="1" s="1"/>
  <c r="J845" i="1"/>
  <c r="K845" i="1" s="1"/>
  <c r="J829" i="1"/>
  <c r="K829" i="1" s="1"/>
  <c r="J800" i="1"/>
  <c r="K800" i="1" s="1"/>
  <c r="J727" i="1"/>
  <c r="K727" i="1" s="1"/>
  <c r="J670" i="1"/>
  <c r="K670" i="1" s="1"/>
  <c r="J645" i="1"/>
  <c r="K645" i="1" s="1"/>
  <c r="J593" i="1"/>
  <c r="K593" i="1" s="1"/>
  <c r="J547" i="1"/>
  <c r="K547" i="1" s="1"/>
  <c r="J526" i="1"/>
  <c r="K526" i="1" s="1"/>
  <c r="J504" i="1"/>
  <c r="K504" i="1" s="1"/>
  <c r="J480" i="1"/>
  <c r="K480" i="1" s="1"/>
  <c r="J436" i="1"/>
  <c r="K436" i="1" s="1"/>
  <c r="J409" i="1"/>
  <c r="K409" i="1" s="1"/>
  <c r="J384" i="1"/>
  <c r="K384" i="1" s="1"/>
  <c r="J363" i="1"/>
  <c r="K363" i="1" s="1"/>
  <c r="J334" i="1"/>
  <c r="K334" i="1" s="1"/>
  <c r="J311" i="1"/>
  <c r="K311" i="1" s="1"/>
  <c r="J281" i="1"/>
  <c r="K281" i="1" s="1"/>
  <c r="J250" i="1"/>
  <c r="K250" i="1" s="1"/>
  <c r="J230" i="1"/>
  <c r="K230" i="1" s="1"/>
  <c r="J201" i="1"/>
  <c r="K201" i="1" s="1"/>
  <c r="J178" i="1"/>
  <c r="K178" i="1" s="1"/>
  <c r="J154" i="1"/>
  <c r="K154" i="1" s="1"/>
  <c r="J124" i="1"/>
  <c r="K124" i="1" s="1"/>
  <c r="J90" i="1"/>
  <c r="K90" i="1" s="1"/>
  <c r="J1715" i="1"/>
  <c r="K1715" i="1" s="1"/>
  <c r="J1680" i="1"/>
  <c r="K1680" i="1" s="1"/>
  <c r="J1649" i="1"/>
  <c r="K1649" i="1" s="1"/>
  <c r="J1610" i="1"/>
  <c r="K1610" i="1" s="1"/>
  <c r="J1577" i="1"/>
  <c r="K1577" i="1" s="1"/>
  <c r="J1536" i="1"/>
  <c r="K1536" i="1" s="1"/>
  <c r="J1463" i="1"/>
  <c r="K1463" i="1" s="1"/>
  <c r="J1429" i="1"/>
  <c r="K1429" i="1" s="1"/>
  <c r="J1369" i="1"/>
  <c r="K1369" i="1" s="1"/>
  <c r="J1317" i="1"/>
  <c r="K1317" i="1" s="1"/>
  <c r="J1287" i="1"/>
  <c r="K1287" i="1" s="1"/>
  <c r="J1256" i="1"/>
  <c r="K1256" i="1" s="1"/>
  <c r="J1221" i="1"/>
  <c r="K1221" i="1" s="1"/>
  <c r="J1192" i="1"/>
  <c r="K1192" i="1" s="1"/>
  <c r="J1165" i="1"/>
  <c r="K1165" i="1" s="1"/>
  <c r="J1117" i="1"/>
  <c r="K1117" i="1" s="1"/>
  <c r="J1089" i="1"/>
  <c r="K1089" i="1" s="1"/>
  <c r="J1048" i="1"/>
  <c r="K1048" i="1" s="1"/>
  <c r="J967" i="1"/>
  <c r="K967" i="1" s="1"/>
  <c r="J941" i="1"/>
  <c r="K941" i="1" s="1"/>
  <c r="J918" i="1"/>
  <c r="K918" i="1" s="1"/>
  <c r="J880" i="1"/>
  <c r="K880" i="1" s="1"/>
  <c r="J862" i="1"/>
  <c r="K862" i="1" s="1"/>
  <c r="J826" i="1"/>
  <c r="K826" i="1" s="1"/>
  <c r="J797" i="1"/>
  <c r="K797" i="1" s="1"/>
  <c r="J778" i="1"/>
  <c r="K778" i="1" s="1"/>
  <c r="J726" i="1"/>
  <c r="K726" i="1" s="1"/>
  <c r="J667" i="1"/>
  <c r="K667" i="1" s="1"/>
  <c r="J642" i="1"/>
  <c r="K642" i="1" s="1"/>
  <c r="J618" i="1"/>
  <c r="K618" i="1" s="1"/>
  <c r="J592" i="1"/>
  <c r="K592" i="1" s="1"/>
  <c r="J546" i="1"/>
  <c r="K546" i="1" s="1"/>
  <c r="J525" i="1"/>
  <c r="K525" i="1" s="1"/>
  <c r="J454" i="1"/>
  <c r="K454" i="1" s="1"/>
  <c r="J435" i="1"/>
  <c r="K435" i="1" s="1"/>
  <c r="J408" i="1"/>
  <c r="K408" i="1" s="1"/>
  <c r="J380" i="1"/>
  <c r="K380" i="1" s="1"/>
  <c r="J360" i="1"/>
  <c r="K360" i="1" s="1"/>
  <c r="J308" i="1"/>
  <c r="K308" i="1" s="1"/>
  <c r="J278" i="1"/>
  <c r="K278" i="1" s="1"/>
  <c r="J249" i="1"/>
  <c r="K249" i="1" s="1"/>
  <c r="J229" i="1"/>
  <c r="K229" i="1" s="1"/>
  <c r="J199" i="1"/>
  <c r="K199" i="1" s="1"/>
  <c r="J177" i="1"/>
  <c r="K177" i="1" s="1"/>
  <c r="J153" i="1"/>
  <c r="K153" i="1" s="1"/>
  <c r="J85" i="1"/>
  <c r="K85" i="1" s="1"/>
  <c r="J1739" i="1"/>
  <c r="K1739" i="1" s="1"/>
  <c r="W1375" i="1"/>
  <c r="W1322" i="1"/>
  <c r="W831" i="1"/>
  <c r="W675" i="1"/>
  <c r="J1714" i="1"/>
  <c r="K1714" i="1" s="1"/>
  <c r="J1677" i="1"/>
  <c r="K1677" i="1" s="1"/>
  <c r="J1646" i="1"/>
  <c r="K1646" i="1" s="1"/>
  <c r="J1609" i="1"/>
  <c r="K1609" i="1" s="1"/>
  <c r="J1574" i="1"/>
  <c r="K1574" i="1" s="1"/>
  <c r="J1535" i="1"/>
  <c r="K1535" i="1" s="1"/>
  <c r="J1501" i="1"/>
  <c r="K1501" i="1" s="1"/>
  <c r="J1462" i="1"/>
  <c r="K1462" i="1" s="1"/>
  <c r="J1426" i="1"/>
  <c r="K1426" i="1" s="1"/>
  <c r="J1390" i="1"/>
  <c r="K1390" i="1" s="1"/>
  <c r="J1368" i="1"/>
  <c r="K1368" i="1" s="1"/>
  <c r="J1344" i="1"/>
  <c r="K1344" i="1" s="1"/>
  <c r="J1314" i="1"/>
  <c r="K1314" i="1" s="1"/>
  <c r="J1284" i="1"/>
  <c r="K1284" i="1" s="1"/>
  <c r="J1253" i="1"/>
  <c r="K1253" i="1" s="1"/>
  <c r="J1218" i="1"/>
  <c r="K1218" i="1" s="1"/>
  <c r="J1189" i="1"/>
  <c r="K1189" i="1" s="1"/>
  <c r="J1137" i="1"/>
  <c r="K1137" i="1" s="1"/>
  <c r="J1113" i="1"/>
  <c r="K1113" i="1" s="1"/>
  <c r="J1047" i="1"/>
  <c r="K1047" i="1" s="1"/>
  <c r="J1023" i="1"/>
  <c r="K1023" i="1" s="1"/>
  <c r="J994" i="1"/>
  <c r="K994" i="1" s="1"/>
  <c r="J966" i="1"/>
  <c r="K966" i="1" s="1"/>
  <c r="J940" i="1"/>
  <c r="K940" i="1" s="1"/>
  <c r="J917" i="1"/>
  <c r="K917" i="1" s="1"/>
  <c r="J861" i="1"/>
  <c r="K861" i="1" s="1"/>
  <c r="J823" i="1"/>
  <c r="K823" i="1" s="1"/>
  <c r="J796" i="1"/>
  <c r="K796" i="1" s="1"/>
  <c r="J777" i="1"/>
  <c r="K777" i="1" s="1"/>
  <c r="J749" i="1"/>
  <c r="K749" i="1" s="1"/>
  <c r="J725" i="1"/>
  <c r="K725" i="1" s="1"/>
  <c r="J702" i="1"/>
  <c r="K702" i="1" s="1"/>
  <c r="J663" i="1"/>
  <c r="K663" i="1" s="1"/>
  <c r="J641" i="1"/>
  <c r="K641" i="1" s="1"/>
  <c r="J617" i="1"/>
  <c r="K617" i="1" s="1"/>
  <c r="J545" i="1"/>
  <c r="K545" i="1" s="1"/>
  <c r="J501" i="1"/>
  <c r="K501" i="1" s="1"/>
  <c r="J477" i="1"/>
  <c r="K477" i="1" s="1"/>
  <c r="J453" i="1"/>
  <c r="K453" i="1" s="1"/>
  <c r="J432" i="1"/>
  <c r="K432" i="1" s="1"/>
  <c r="J379" i="1"/>
  <c r="K379" i="1" s="1"/>
  <c r="J357" i="1"/>
  <c r="K357" i="1" s="1"/>
  <c r="J305" i="1"/>
  <c r="K305" i="1" s="1"/>
  <c r="J277" i="1"/>
  <c r="K277" i="1" s="1"/>
  <c r="J248" i="1"/>
  <c r="K248" i="1" s="1"/>
  <c r="J227" i="1"/>
  <c r="K227" i="1" s="1"/>
  <c r="J198" i="1"/>
  <c r="K198" i="1" s="1"/>
  <c r="J152" i="1"/>
  <c r="K152" i="1" s="1"/>
  <c r="J118" i="1"/>
  <c r="K118" i="1" s="1"/>
  <c r="J84" i="1"/>
  <c r="K84" i="1" s="1"/>
  <c r="J63" i="1"/>
  <c r="K63" i="1" s="1"/>
  <c r="J1733" i="1"/>
  <c r="K1733" i="1" s="1"/>
  <c r="W1199" i="1"/>
  <c r="J1708" i="1"/>
  <c r="K1708" i="1" s="1"/>
  <c r="J1676" i="1"/>
  <c r="K1676" i="1" s="1"/>
  <c r="J1643" i="1"/>
  <c r="K1643" i="1" s="1"/>
  <c r="J1608" i="1"/>
  <c r="K1608" i="1" s="1"/>
  <c r="J1568" i="1"/>
  <c r="K1568" i="1" s="1"/>
  <c r="J1532" i="1"/>
  <c r="K1532" i="1" s="1"/>
  <c r="J1500" i="1"/>
  <c r="K1500" i="1" s="1"/>
  <c r="J1459" i="1"/>
  <c r="K1459" i="1" s="1"/>
  <c r="J1423" i="1"/>
  <c r="K1423" i="1" s="1"/>
  <c r="J1341" i="1"/>
  <c r="K1341" i="1" s="1"/>
  <c r="J1311" i="1"/>
  <c r="K1311" i="1" s="1"/>
  <c r="J1283" i="1"/>
  <c r="K1283" i="1" s="1"/>
  <c r="J1252" i="1"/>
  <c r="K1252" i="1" s="1"/>
  <c r="J1217" i="1"/>
  <c r="K1217" i="1" s="1"/>
  <c r="J1186" i="1"/>
  <c r="K1186" i="1" s="1"/>
  <c r="J1162" i="1"/>
  <c r="K1162" i="1" s="1"/>
  <c r="J1136" i="1"/>
  <c r="K1136" i="1" s="1"/>
  <c r="J1107" i="1"/>
  <c r="K1107" i="1" s="1"/>
  <c r="J1086" i="1"/>
  <c r="K1086" i="1" s="1"/>
  <c r="J1046" i="1"/>
  <c r="K1046" i="1" s="1"/>
  <c r="J1020" i="1"/>
  <c r="K1020" i="1" s="1"/>
  <c r="J993" i="1"/>
  <c r="K993" i="1" s="1"/>
  <c r="J965" i="1"/>
  <c r="K965" i="1" s="1"/>
  <c r="J939" i="1"/>
  <c r="K939" i="1" s="1"/>
  <c r="J879" i="1"/>
  <c r="K879" i="1" s="1"/>
  <c r="J860" i="1"/>
  <c r="K860" i="1" s="1"/>
  <c r="J844" i="1"/>
  <c r="K844" i="1" s="1"/>
  <c r="J820" i="1"/>
  <c r="K820" i="1" s="1"/>
  <c r="J795" i="1"/>
  <c r="K795" i="1" s="1"/>
  <c r="J774" i="1"/>
  <c r="K774" i="1" s="1"/>
  <c r="J748" i="1"/>
  <c r="K748" i="1" s="1"/>
  <c r="J724" i="1"/>
  <c r="K724" i="1" s="1"/>
  <c r="J701" i="1"/>
  <c r="K701" i="1" s="1"/>
  <c r="J659" i="1"/>
  <c r="K659" i="1" s="1"/>
  <c r="J640" i="1"/>
  <c r="K640" i="1" s="1"/>
  <c r="J655" i="1"/>
  <c r="K655" i="1" s="1"/>
  <c r="J500" i="1"/>
  <c r="K500" i="1" s="1"/>
  <c r="J476" i="1"/>
  <c r="K476" i="1" s="1"/>
  <c r="J452" i="1"/>
  <c r="K452" i="1" s="1"/>
  <c r="J431" i="1"/>
  <c r="K431" i="1" s="1"/>
  <c r="J405" i="1"/>
  <c r="K405" i="1" s="1"/>
  <c r="J381" i="1"/>
  <c r="K381" i="1" s="1"/>
  <c r="J356" i="1"/>
  <c r="K356" i="1" s="1"/>
  <c r="J331" i="1"/>
  <c r="K331" i="1" s="1"/>
  <c r="J304" i="1"/>
  <c r="K304" i="1" s="1"/>
  <c r="J275" i="1"/>
  <c r="K275" i="1" s="1"/>
  <c r="J176" i="1"/>
  <c r="K176" i="1" s="1"/>
  <c r="J151" i="1"/>
  <c r="K151" i="1" s="1"/>
  <c r="J117" i="1"/>
  <c r="K117" i="1" s="1"/>
  <c r="J60" i="1"/>
  <c r="K60" i="1" s="1"/>
  <c r="C1" i="1"/>
  <c r="AL1059" i="1"/>
  <c r="AL1640" i="1"/>
  <c r="AL559" i="1"/>
  <c r="J225" i="1"/>
  <c r="K225" i="1" s="1"/>
  <c r="X35" i="1"/>
  <c r="Z1615" i="1"/>
  <c r="J1615" i="1"/>
  <c r="K1615" i="1" s="1"/>
  <c r="X1615" i="1"/>
  <c r="X703" i="1"/>
  <c r="J703" i="1"/>
  <c r="K703" i="1" s="1"/>
  <c r="J1151" i="1"/>
  <c r="K1151" i="1" s="1"/>
  <c r="X1151" i="1"/>
  <c r="J692" i="1"/>
  <c r="K692" i="1" s="1"/>
  <c r="X692" i="1"/>
  <c r="AH148" i="1"/>
  <c r="Z148" i="1"/>
  <c r="J148" i="1"/>
  <c r="K148" i="1" s="1"/>
  <c r="X148" i="1"/>
  <c r="X45" i="1"/>
  <c r="X33" i="1"/>
  <c r="X17" i="1"/>
  <c r="J36" i="1"/>
  <c r="K36" i="1" s="1"/>
  <c r="J12" i="1"/>
  <c r="K12" i="1" s="1"/>
  <c r="J17" i="1"/>
  <c r="K17" i="1" s="1"/>
  <c r="J35" i="1"/>
  <c r="K35" i="1" s="1"/>
  <c r="J34" i="1"/>
  <c r="K34" i="1" s="1"/>
  <c r="AL947" i="1"/>
  <c r="AL930" i="1"/>
  <c r="J33" i="1"/>
  <c r="K33" i="1" s="1"/>
  <c r="AL627" i="1"/>
  <c r="J32" i="1"/>
  <c r="K32" i="1" s="1"/>
  <c r="AL990" i="1"/>
  <c r="J31" i="1"/>
  <c r="K31" i="1" s="1"/>
  <c r="J27" i="1"/>
  <c r="K27" i="1" s="1"/>
  <c r="J26" i="1"/>
  <c r="K26" i="1" s="1"/>
  <c r="J41" i="1"/>
  <c r="K41" i="1" s="1"/>
  <c r="J23" i="1"/>
  <c r="K23" i="1" s="1"/>
  <c r="AL975" i="1"/>
  <c r="AL963" i="1"/>
  <c r="AL800" i="1"/>
  <c r="J38" i="1"/>
  <c r="K38" i="1" s="1"/>
  <c r="J37" i="1"/>
  <c r="K37" i="1" s="1"/>
  <c r="X42" i="1"/>
  <c r="J42" i="1"/>
  <c r="K42" i="1" s="1"/>
  <c r="W1755" i="1"/>
  <c r="W13" i="1"/>
  <c r="K13" i="1"/>
  <c r="AD12" i="1"/>
  <c r="X75" i="1"/>
  <c r="AD371" i="1"/>
  <c r="X1019" i="1"/>
  <c r="X933" i="1"/>
  <c r="X360" i="1"/>
  <c r="X340" i="1"/>
  <c r="X326" i="1"/>
  <c r="X371" i="1"/>
  <c r="X363" i="1"/>
  <c r="AL601" i="1"/>
  <c r="AL727" i="1"/>
  <c r="AL713" i="1"/>
  <c r="AL675" i="1"/>
  <c r="AL698" i="1"/>
  <c r="AL689" i="1"/>
  <c r="AL1341" i="1"/>
  <c r="AL723" i="1"/>
  <c r="AL709" i="1"/>
  <c r="AL1322" i="1"/>
  <c r="Z226" i="1"/>
  <c r="X226" i="1"/>
  <c r="X225" i="1"/>
  <c r="AL624" i="1"/>
  <c r="AL61" i="1"/>
  <c r="AL639" i="1"/>
  <c r="AL73" i="1"/>
  <c r="AL85" i="1"/>
  <c r="AL613" i="1"/>
  <c r="AL246" i="1"/>
  <c r="AL1026" i="1"/>
  <c r="AL202" i="1"/>
  <c r="AL218" i="1"/>
  <c r="AL185" i="1"/>
  <c r="AL236" i="1"/>
  <c r="AL263" i="1"/>
  <c r="AL130" i="1"/>
  <c r="AL144" i="1"/>
  <c r="AL1284" i="1"/>
  <c r="AL809" i="1"/>
  <c r="AL794" i="1"/>
  <c r="AL385" i="1"/>
  <c r="AL348" i="1"/>
  <c r="AL1257" i="1"/>
  <c r="AL404" i="1"/>
  <c r="AL827" i="1"/>
  <c r="AL1225" i="1"/>
  <c r="AL784" i="1"/>
  <c r="AL1152" i="1"/>
  <c r="AL1210" i="1"/>
  <c r="AL1099" i="1"/>
  <c r="AL1271" i="1"/>
  <c r="AL1095" i="1"/>
  <c r="AL1124" i="1"/>
  <c r="AL1168" i="1"/>
  <c r="AL1241" i="1"/>
  <c r="AL1316" i="1"/>
  <c r="AL1195" i="1"/>
  <c r="AL877" i="1"/>
  <c r="AL1311" i="1"/>
  <c r="AL1682" i="1"/>
  <c r="AL966" i="1"/>
  <c r="AL1452" i="1"/>
  <c r="AL1437" i="1"/>
  <c r="AL1489" i="1"/>
  <c r="AL1419" i="1"/>
  <c r="AL606" i="1"/>
  <c r="AL738" i="1"/>
  <c r="AL1119" i="1"/>
  <c r="AL925" i="1"/>
  <c r="AL591" i="1"/>
  <c r="AL1120" i="1"/>
  <c r="AL1504" i="1"/>
  <c r="AL511" i="1"/>
  <c r="AL1190" i="1"/>
  <c r="AL1295" i="1"/>
  <c r="AL1147" i="1"/>
  <c r="AL951" i="1"/>
  <c r="AL769" i="1"/>
  <c r="AL1162" i="1"/>
  <c r="AL871" i="1"/>
  <c r="AL1521" i="1"/>
  <c r="AL1077" i="1"/>
  <c r="AL1236" i="1"/>
  <c r="AL1549" i="1"/>
  <c r="AL480" i="1"/>
  <c r="AD1727" i="1"/>
  <c r="Z1745" i="1"/>
  <c r="X1755" i="1"/>
  <c r="X1475" i="1"/>
  <c r="AL426" i="1"/>
  <c r="AL1216" i="1"/>
  <c r="AL1231" i="1"/>
  <c r="AL182" i="1"/>
  <c r="AL198" i="1"/>
  <c r="AL442" i="1"/>
  <c r="AL411" i="1"/>
  <c r="AL233" i="1"/>
  <c r="AL453" i="1"/>
  <c r="AL1459" i="1"/>
  <c r="AL1443" i="1"/>
  <c r="AL1426" i="1"/>
  <c r="AL1510" i="1"/>
  <c r="AL1655" i="1"/>
  <c r="AL1527" i="1"/>
  <c r="AL1477" i="1"/>
  <c r="AL304" i="1"/>
  <c r="AL1351" i="1"/>
  <c r="AL621" i="1"/>
  <c r="X1745" i="1"/>
  <c r="X1718" i="1"/>
  <c r="I4" i="1"/>
  <c r="AL140" i="1"/>
  <c r="AL156" i="1"/>
  <c r="AL105" i="1"/>
  <c r="AL48" i="1"/>
  <c r="AL1130" i="1"/>
  <c r="AL1009" i="1"/>
  <c r="AL1235" i="1"/>
  <c r="AL1220" i="1"/>
  <c r="AL1204" i="1"/>
  <c r="AL1178" i="1"/>
  <c r="AL1189" i="1"/>
  <c r="AL1161" i="1"/>
  <c r="AL1146" i="1"/>
  <c r="AL1118" i="1"/>
  <c r="AL1251" i="1"/>
  <c r="AL1055" i="1"/>
  <c r="AL1090" i="1"/>
  <c r="AL1336" i="1"/>
  <c r="AL1363" i="1"/>
  <c r="AL1114" i="1"/>
  <c r="AL776" i="1"/>
  <c r="AL370" i="1"/>
  <c r="AL329" i="1"/>
  <c r="AL341" i="1"/>
  <c r="AL732" i="1"/>
  <c r="AL381" i="1"/>
  <c r="AL746" i="1"/>
  <c r="AL763" i="1"/>
  <c r="AL394" i="1"/>
  <c r="AL279" i="1"/>
  <c r="AL297" i="1"/>
  <c r="AL137" i="1"/>
  <c r="AL154" i="1"/>
  <c r="AL119" i="1"/>
  <c r="AL701" i="1"/>
  <c r="AL653" i="1"/>
  <c r="AL715" i="1"/>
  <c r="AL642" i="1"/>
  <c r="AL313" i="1"/>
  <c r="AL116" i="1"/>
  <c r="AL625" i="1"/>
  <c r="AL439" i="1"/>
  <c r="AL900" i="1"/>
  <c r="X93" i="1"/>
  <c r="AL353" i="1"/>
  <c r="AL1541" i="1"/>
  <c r="AL338" i="1"/>
  <c r="AL1561" i="1"/>
  <c r="X323" i="1"/>
  <c r="AL551" i="1"/>
  <c r="AL132" i="1"/>
  <c r="AL1016" i="1"/>
  <c r="AL864" i="1"/>
  <c r="AL658" i="1"/>
  <c r="AL760" i="1"/>
  <c r="AL851" i="1"/>
  <c r="AL1033" i="1"/>
  <c r="AL829" i="1"/>
  <c r="AL527" i="1"/>
  <c r="AL841" i="1"/>
  <c r="AL535" i="1"/>
  <c r="AL614" i="1"/>
  <c r="AL478" i="1"/>
  <c r="AL518" i="1"/>
  <c r="AL811" i="1"/>
  <c r="AL915" i="1"/>
  <c r="AL270" i="1"/>
  <c r="AL239" i="1"/>
  <c r="AL50" i="1"/>
  <c r="AI50" i="1"/>
  <c r="AL368" i="1"/>
  <c r="AL761" i="1"/>
  <c r="AL797" i="1"/>
  <c r="AL729" i="1"/>
  <c r="AL1721" i="1"/>
  <c r="AL1394" i="1"/>
  <c r="AL339" i="1"/>
  <c r="AL243" i="1"/>
  <c r="AL277" i="1"/>
  <c r="AL409" i="1"/>
  <c r="AL773" i="1"/>
  <c r="AL440" i="1"/>
  <c r="AL1017" i="1"/>
  <c r="AL1034" i="1"/>
  <c r="AL842" i="1"/>
  <c r="AL183" i="1"/>
  <c r="AL318" i="1"/>
  <c r="AL506" i="1"/>
  <c r="AL1002" i="1"/>
  <c r="AL479" i="1"/>
  <c r="AL830" i="1"/>
  <c r="AL136" i="1"/>
  <c r="AL261" i="1"/>
  <c r="AL469" i="1"/>
  <c r="AL495" i="1"/>
  <c r="AL987" i="1"/>
  <c r="AL170" i="1"/>
  <c r="AL451" i="1"/>
  <c r="AL234" i="1"/>
  <c r="AL943" i="1"/>
  <c r="AL392" i="1"/>
  <c r="AL354" i="1"/>
  <c r="AL199" i="1"/>
  <c r="AL295" i="1"/>
  <c r="AL388" i="1"/>
  <c r="AL366" i="1"/>
  <c r="AL273" i="1"/>
  <c r="AL133" i="1"/>
  <c r="AL422" i="1"/>
  <c r="AL592" i="1"/>
  <c r="AL335" i="1"/>
  <c r="AL179" i="1"/>
  <c r="AL516" i="1"/>
  <c r="AL350" i="1"/>
  <c r="AL983" i="1"/>
  <c r="AL525" i="1"/>
  <c r="AL475" i="1"/>
  <c r="AL610" i="1"/>
  <c r="AL586" i="1"/>
  <c r="AL808" i="1"/>
  <c r="AL1680" i="1"/>
  <c r="AL289" i="1"/>
  <c r="AL150" i="1"/>
  <c r="AL406" i="1"/>
  <c r="AL230" i="1"/>
  <c r="K1769" i="1"/>
  <c r="AL212" i="1"/>
  <c r="AL307" i="1"/>
  <c r="AL491" i="1"/>
  <c r="AL619" i="1"/>
  <c r="AL804" i="1"/>
  <c r="AL779" i="1"/>
  <c r="AL683" i="1"/>
  <c r="AL822" i="1"/>
  <c r="AL649" i="1"/>
  <c r="AL836" i="1"/>
  <c r="AL1025" i="1"/>
  <c r="AL669" i="1"/>
  <c r="AL791" i="1"/>
  <c r="AL979" i="1"/>
  <c r="AL634" i="1"/>
  <c r="AL1516" i="1"/>
  <c r="AL1706" i="1"/>
  <c r="AL1532" i="1"/>
  <c r="AL681" i="1"/>
  <c r="AL220" i="1"/>
  <c r="AL718" i="1"/>
  <c r="AL704" i="1"/>
  <c r="AL712" i="1"/>
  <c r="AL742" i="1"/>
  <c r="AL849" i="1"/>
  <c r="AL838" i="1"/>
  <c r="AL862" i="1"/>
  <c r="AL70" i="1"/>
  <c r="AL1121" i="1"/>
  <c r="AL969" i="1"/>
  <c r="AL927" i="1"/>
  <c r="AL783" i="1"/>
  <c r="AL772" i="1"/>
  <c r="AL939" i="1"/>
  <c r="AL955" i="1"/>
  <c r="AL826" i="1"/>
  <c r="AL913" i="1"/>
  <c r="AL1078" i="1"/>
  <c r="AL998" i="1"/>
  <c r="AL697" i="1"/>
  <c r="AI983" i="1"/>
  <c r="AL1065" i="1"/>
  <c r="AL1487" i="1"/>
  <c r="AL1265" i="1"/>
  <c r="AL857" i="1"/>
  <c r="AL1332" i="1"/>
  <c r="AL1306" i="1"/>
  <c r="AL510" i="1"/>
  <c r="AL706" i="1"/>
  <c r="AL1676" i="1"/>
  <c r="AL1502" i="1"/>
  <c r="AL720" i="1"/>
  <c r="AL1464" i="1"/>
  <c r="AL1174" i="1"/>
  <c r="AL268" i="1"/>
  <c r="AL846" i="1"/>
  <c r="AL1185" i="1"/>
  <c r="AL1157" i="1"/>
  <c r="AL1081" i="1"/>
  <c r="AL598" i="1"/>
  <c r="AL54" i="1"/>
  <c r="AL190" i="1"/>
  <c r="AL222" i="1"/>
  <c r="AL1371" i="1"/>
  <c r="AL588" i="1"/>
  <c r="AL571" i="1"/>
  <c r="AL76" i="1"/>
  <c r="AL646" i="1"/>
  <c r="AL90" i="1"/>
  <c r="AL206" i="1"/>
  <c r="AL127" i="1"/>
  <c r="AL267" i="1"/>
  <c r="AL40" i="1"/>
  <c r="AL320" i="1"/>
  <c r="AL1357" i="1"/>
  <c r="AL176" i="1"/>
  <c r="AL631" i="1"/>
  <c r="AL250" i="1"/>
  <c r="AL283" i="1"/>
  <c r="AL30" i="1"/>
  <c r="AL237" i="1"/>
  <c r="AL471" i="1"/>
  <c r="AH1737" i="1"/>
  <c r="AL160" i="1"/>
  <c r="AL345" i="1"/>
  <c r="AL577" i="1"/>
  <c r="AL617" i="1"/>
  <c r="AL301" i="1"/>
  <c r="AL1070" i="1"/>
  <c r="AL530" i="1"/>
  <c r="AL522" i="1"/>
  <c r="AL509" i="1"/>
  <c r="AL1672" i="1"/>
  <c r="AL1756" i="1"/>
  <c r="AL412" i="1"/>
  <c r="AL18" i="1"/>
  <c r="AL1772" i="1"/>
  <c r="AL1723" i="1"/>
  <c r="AL1508" i="1"/>
  <c r="AL124" i="1"/>
  <c r="AL744" i="1"/>
  <c r="AL1667" i="1"/>
  <c r="AL1698" i="1"/>
  <c r="AL929" i="1"/>
  <c r="AD13" i="1"/>
  <c r="AL122" i="1"/>
  <c r="AL898" i="1"/>
  <c r="AH1752" i="1"/>
  <c r="AI1752" i="1"/>
  <c r="AL1361" i="1"/>
  <c r="AL1515" i="1"/>
  <c r="AL1486" i="1"/>
  <c r="AL1373" i="1"/>
  <c r="AL1531" i="1"/>
  <c r="AH597" i="1"/>
  <c r="AH1736" i="1"/>
  <c r="AL1431" i="1"/>
  <c r="AL1310" i="1"/>
  <c r="AL1501" i="1"/>
  <c r="AL264" i="1"/>
  <c r="AL1260" i="1"/>
  <c r="AL141" i="1"/>
  <c r="AL679" i="1"/>
  <c r="AL644" i="1"/>
  <c r="AL1182" i="1"/>
  <c r="AL413" i="1"/>
  <c r="AL902" i="1"/>
  <c r="AL428" i="1"/>
  <c r="AL1354" i="1"/>
  <c r="AL372" i="1"/>
  <c r="AL528" i="1"/>
  <c r="AL1524" i="1"/>
  <c r="AL716" i="1"/>
  <c r="AL63" i="1"/>
  <c r="AL661" i="1"/>
  <c r="AL1652" i="1"/>
  <c r="AL1138" i="1"/>
  <c r="AL1329" i="1"/>
  <c r="AL866" i="1"/>
  <c r="AL1694" i="1"/>
  <c r="AL203" i="1"/>
  <c r="AL556" i="1"/>
  <c r="AL443" i="1"/>
  <c r="AL520" i="1"/>
  <c r="AL204" i="1"/>
  <c r="AL988" i="1"/>
  <c r="AL342" i="1"/>
  <c r="AL125" i="1"/>
  <c r="AL663" i="1"/>
  <c r="AL540" i="1"/>
  <c r="AL519" i="1"/>
  <c r="AL481" i="1"/>
  <c r="AL74" i="1"/>
  <c r="AL1344" i="1"/>
  <c r="AL961" i="1"/>
  <c r="AL27" i="1"/>
  <c r="AL219" i="1"/>
  <c r="AL265" i="1"/>
  <c r="AL357" i="1"/>
  <c r="AL281" i="1"/>
  <c r="AH1590" i="1"/>
  <c r="AL1768" i="1"/>
  <c r="AL1244" i="1"/>
  <c r="AL157" i="1"/>
  <c r="AL1197" i="1"/>
  <c r="AL62" i="1"/>
  <c r="AL1550" i="1"/>
  <c r="AL358" i="1"/>
  <c r="AL656" i="1"/>
  <c r="AL852" i="1"/>
  <c r="AL427" i="1"/>
  <c r="AL568" i="1"/>
  <c r="AL142" i="1"/>
  <c r="AL379" i="1"/>
  <c r="AL454" i="1"/>
  <c r="AL299" i="1"/>
  <c r="AL945" i="1"/>
  <c r="AL174" i="1"/>
  <c r="AL330" i="1"/>
  <c r="AL1440" i="1"/>
  <c r="AL917" i="1"/>
  <c r="AL1213" i="1"/>
  <c r="AL702" i="1"/>
  <c r="AL1559" i="1"/>
  <c r="AL455" i="1"/>
  <c r="AL106" i="1"/>
  <c r="AL280" i="1"/>
  <c r="AL298" i="1"/>
  <c r="AL1719" i="1"/>
  <c r="AL730" i="1"/>
  <c r="AL1612" i="1"/>
  <c r="AL173" i="1"/>
  <c r="AL186" i="1"/>
  <c r="AL1368" i="1"/>
  <c r="AL1637" i="1"/>
  <c r="AL629" i="1"/>
  <c r="AL1154" i="1"/>
  <c r="AL396" i="1"/>
  <c r="AL248" i="1"/>
  <c r="AL1127" i="1"/>
  <c r="AL1491" i="1"/>
  <c r="AL1171" i="1"/>
  <c r="AL1601" i="1"/>
  <c r="AL158" i="1"/>
  <c r="AL86" i="1"/>
  <c r="AL107" i="1"/>
  <c r="AL1633" i="1"/>
  <c r="AL327" i="1"/>
  <c r="AL425" i="1"/>
  <c r="AL1648" i="1"/>
  <c r="AL1597" i="1"/>
  <c r="AL1366" i="1"/>
  <c r="AL1451" i="1"/>
  <c r="AL1492" i="1"/>
  <c r="AL328" i="1"/>
  <c r="AL1209" i="1"/>
  <c r="AL1520" i="1"/>
  <c r="AL1283" i="1"/>
  <c r="AH1572" i="1"/>
  <c r="AL1436" i="1"/>
  <c r="AL579" i="1"/>
  <c r="AL1042" i="1"/>
  <c r="AL1536" i="1"/>
  <c r="AL215" i="1"/>
  <c r="AL1315" i="1"/>
  <c r="AL1135" i="1"/>
  <c r="AH1406" i="1"/>
  <c r="AL1712" i="1"/>
  <c r="AL1482" i="1"/>
  <c r="AI1406" i="1"/>
  <c r="AL1240" i="1"/>
  <c r="AL1378" i="1"/>
  <c r="AL1503" i="1"/>
  <c r="AL1224" i="1"/>
  <c r="AL1340" i="1"/>
  <c r="AL217" i="1"/>
  <c r="AL1060" i="1"/>
  <c r="X1086" i="1"/>
  <c r="X1076" i="1"/>
  <c r="X1073" i="1"/>
  <c r="X1079" i="1"/>
  <c r="AL833" i="1"/>
  <c r="AL1287" i="1"/>
  <c r="AL483" i="1"/>
  <c r="AL1542" i="1"/>
  <c r="AL802" i="1"/>
  <c r="AL788" i="1"/>
  <c r="AL1113" i="1"/>
  <c r="AL817" i="1"/>
  <c r="AL1020" i="1"/>
  <c r="AL775" i="1"/>
  <c r="AL1068" i="1"/>
  <c r="AL918" i="1"/>
  <c r="AL1651" i="1"/>
  <c r="AL1600" i="1"/>
  <c r="AL814" i="1"/>
  <c r="AL812" i="1"/>
  <c r="AL29" i="1"/>
  <c r="AL903" i="1"/>
  <c r="AL482" i="1"/>
  <c r="AL786" i="1"/>
  <c r="AL1579" i="1"/>
  <c r="AL1693" i="1"/>
  <c r="AL867" i="1"/>
  <c r="AL1767" i="1"/>
  <c r="AL799" i="1"/>
  <c r="AL880" i="1"/>
  <c r="AL382" i="1"/>
  <c r="AL1679" i="1"/>
  <c r="AL1538" i="1"/>
  <c r="AL844" i="1"/>
  <c r="AL1675" i="1"/>
  <c r="AL1554" i="1"/>
  <c r="AL1744" i="1"/>
  <c r="AL1647" i="1"/>
  <c r="AL1692" i="1"/>
  <c r="AL1575" i="1"/>
  <c r="AL1611" i="1"/>
  <c r="AL1626" i="1"/>
  <c r="AL1705" i="1"/>
  <c r="AL1658" i="1"/>
  <c r="AL1701" i="1"/>
  <c r="AL1566" i="1"/>
  <c r="AL726" i="1"/>
  <c r="AL1643" i="1"/>
  <c r="AL1687" i="1"/>
  <c r="AL1725" i="1"/>
  <c r="AL1547" i="1"/>
  <c r="AL1608" i="1"/>
  <c r="AL1622" i="1"/>
  <c r="X1390" i="1"/>
  <c r="AL1585" i="1"/>
  <c r="AL1187" i="1"/>
  <c r="AL1233" i="1"/>
  <c r="AL1117" i="1"/>
  <c r="AL1159" i="1"/>
  <c r="AL1129" i="1"/>
  <c r="AL1621" i="1"/>
  <c r="AL1308" i="1"/>
  <c r="AL1565" i="1"/>
  <c r="AL1686" i="1"/>
  <c r="AL1218" i="1"/>
  <c r="AL997" i="1"/>
  <c r="AL1334" i="1"/>
  <c r="AL1012" i="1"/>
  <c r="AL1029" i="1"/>
  <c r="AL1249" i="1"/>
  <c r="AL1387" i="1"/>
  <c r="AL1546" i="1"/>
  <c r="AL1276" i="1"/>
  <c r="AL1201" i="1"/>
  <c r="AL968" i="1"/>
  <c r="AL938" i="1"/>
  <c r="AL1075" i="1"/>
  <c r="AL1700" i="1"/>
  <c r="AL1176" i="1"/>
  <c r="AL1144" i="1"/>
  <c r="AL1307" i="1"/>
  <c r="AI1164" i="1"/>
  <c r="AL1200" i="1"/>
  <c r="AH1734" i="1"/>
  <c r="AL896" i="1"/>
  <c r="AL1248" i="1"/>
  <c r="AL1427" i="1"/>
  <c r="AH1401" i="1"/>
  <c r="AH686" i="1"/>
  <c r="AL1143" i="1"/>
  <c r="AI981" i="1"/>
  <c r="AH121" i="1"/>
  <c r="AL1186" i="1"/>
  <c r="AL889" i="1"/>
  <c r="AL1110" i="1"/>
  <c r="AL1444" i="1"/>
  <c r="AL117" i="1"/>
  <c r="AH1728" i="1"/>
  <c r="AL1166" i="1"/>
  <c r="AL1740" i="1"/>
  <c r="AI1728" i="1"/>
  <c r="AL1528" i="1"/>
  <c r="AL1291" i="1"/>
  <c r="AL100" i="1"/>
  <c r="AL1175" i="1"/>
  <c r="AL1158" i="1"/>
  <c r="AL1011" i="1"/>
  <c r="AL1498" i="1"/>
  <c r="AL911" i="1"/>
  <c r="AH1402" i="1"/>
  <c r="AL1385" i="1"/>
  <c r="AL1232" i="1"/>
  <c r="AL1478" i="1"/>
  <c r="AL57" i="1"/>
  <c r="AL1027" i="1"/>
  <c r="AL860" i="1"/>
  <c r="AL1562" i="1"/>
  <c r="AL1511" i="1"/>
  <c r="AL1738" i="1"/>
  <c r="AL1266" i="1"/>
  <c r="AL874" i="1"/>
  <c r="AL1275" i="1"/>
  <c r="AL1771" i="1"/>
  <c r="AL1333" i="1"/>
  <c r="AL1217" i="1"/>
  <c r="AL71" i="1"/>
  <c r="AL1603" i="1"/>
  <c r="AL1604" i="1"/>
  <c r="AL1583" i="1"/>
  <c r="AL1639" i="1"/>
  <c r="AH1571" i="1"/>
  <c r="AL1229" i="1"/>
  <c r="AL1330" i="1"/>
  <c r="AL1424" i="1"/>
  <c r="AL1214" i="1"/>
  <c r="K1766" i="1"/>
  <c r="AL1139" i="1"/>
  <c r="AL1172" i="1"/>
  <c r="AL68" i="1"/>
  <c r="AL1245" i="1"/>
  <c r="AL1345" i="1"/>
  <c r="AL80" i="1"/>
  <c r="AL1052" i="1"/>
  <c r="AL1456" i="1"/>
  <c r="AH1591" i="1"/>
  <c r="AL1441" i="1"/>
  <c r="AL1397" i="1"/>
  <c r="AL1369" i="1"/>
  <c r="AL1198" i="1"/>
  <c r="AL1063" i="1"/>
  <c r="AL1155" i="1"/>
  <c r="AL1071" i="1"/>
  <c r="AL1112" i="1"/>
  <c r="AL1495" i="1"/>
  <c r="AL96" i="1"/>
  <c r="AL1183" i="1"/>
  <c r="AL1355" i="1"/>
  <c r="AL1304" i="1"/>
  <c r="AL1288" i="1"/>
  <c r="AL431" i="1"/>
  <c r="AL224" i="1"/>
  <c r="AL733" i="1"/>
  <c r="AL764" i="1"/>
  <c r="AL484" i="1"/>
  <c r="AL632" i="1"/>
  <c r="AL705" i="1"/>
  <c r="AL161" i="1"/>
  <c r="AL719" i="1"/>
  <c r="AL252" i="1"/>
  <c r="AL284" i="1"/>
  <c r="AL572" i="1"/>
  <c r="AL384" i="1"/>
  <c r="AL855" i="1"/>
  <c r="AL589" i="1"/>
  <c r="AL1048" i="1"/>
  <c r="AL747" i="1"/>
  <c r="AL128" i="1"/>
  <c r="AL682" i="1"/>
  <c r="AL375" i="1"/>
  <c r="AL882" i="1"/>
  <c r="AL647" i="1"/>
  <c r="AL905" i="1"/>
  <c r="AL920" i="1"/>
  <c r="AL302" i="1"/>
  <c r="AL499" i="1"/>
  <c r="AL618" i="1"/>
  <c r="AL110" i="1"/>
  <c r="AL676" i="1"/>
  <c r="AL316" i="1"/>
  <c r="AL1724" i="1"/>
  <c r="AL985" i="1"/>
  <c r="AL615" i="1"/>
  <c r="AL410" i="1"/>
  <c r="AL957" i="1"/>
  <c r="AL84" i="1"/>
  <c r="AL355" i="1"/>
  <c r="AL878" i="1"/>
  <c r="AL296" i="1"/>
  <c r="AL652" i="1"/>
  <c r="AL470" i="1"/>
  <c r="AL971" i="1"/>
  <c r="AL1031" i="1"/>
  <c r="AL795" i="1"/>
  <c r="AL378" i="1"/>
  <c r="AL566" i="1"/>
  <c r="AL1014" i="1"/>
  <c r="AL699" i="1"/>
  <c r="AL171" i="1"/>
  <c r="AL184" i="1"/>
  <c r="AL596" i="1"/>
  <c r="AL60" i="1"/>
  <c r="AL850" i="1"/>
  <c r="AL759" i="1"/>
  <c r="AL72" i="1"/>
  <c r="AL659" i="1"/>
  <c r="AL1446" i="1"/>
  <c r="AL553" i="1"/>
  <c r="AL155" i="1"/>
  <c r="AL235" i="1"/>
  <c r="AL941" i="1"/>
  <c r="AL201" i="1"/>
  <c r="AL278" i="1"/>
  <c r="AL415" i="1"/>
  <c r="AL1670" i="1"/>
  <c r="AL452" i="1"/>
  <c r="AL1514" i="1"/>
  <c r="AL1160" i="1"/>
  <c r="AL49" i="1"/>
  <c r="AL260" i="1"/>
  <c r="AL848" i="1"/>
  <c r="AL807" i="1"/>
  <c r="AL981" i="1"/>
  <c r="AL1140" i="1"/>
  <c r="AL937" i="1"/>
  <c r="AL1383" i="1"/>
  <c r="AL793" i="1"/>
  <c r="AL22" i="1"/>
  <c r="AL953" i="1"/>
  <c r="AL837" i="1"/>
  <c r="AL594" i="1"/>
  <c r="AL875" i="1"/>
  <c r="AL825" i="1"/>
  <c r="AL771" i="1"/>
  <c r="AL1039" i="1"/>
  <c r="AL782" i="1"/>
  <c r="AL996" i="1"/>
  <c r="AL1010" i="1"/>
  <c r="AL967" i="1"/>
  <c r="AL547" i="1"/>
  <c r="AL584" i="1"/>
  <c r="AL908" i="1"/>
  <c r="AL923" i="1"/>
  <c r="AL886" i="1"/>
  <c r="AL1005" i="1"/>
  <c r="AL636" i="1"/>
  <c r="AL365" i="1"/>
  <c r="AL211" i="1"/>
  <c r="AL435" i="1"/>
  <c r="AL977" i="1"/>
  <c r="AL835" i="1"/>
  <c r="AL387" i="1"/>
  <c r="AL241" i="1"/>
  <c r="AL1023" i="1"/>
  <c r="AL847" i="1"/>
  <c r="AL149" i="1"/>
  <c r="AL349" i="1"/>
  <c r="AL490" i="1"/>
  <c r="AL334" i="1"/>
  <c r="AL256" i="1"/>
  <c r="AL858" i="1"/>
  <c r="AL820" i="1"/>
  <c r="AL531" i="1"/>
  <c r="AL993" i="1"/>
  <c r="AL768" i="1"/>
  <c r="AL756" i="1"/>
  <c r="AL194" i="1"/>
  <c r="AL515" i="1"/>
  <c r="AL670" i="1"/>
  <c r="AL306" i="1"/>
  <c r="AL790" i="1"/>
  <c r="AL450" i="1"/>
  <c r="AL347" i="1"/>
  <c r="AL1480" i="1"/>
  <c r="AH473" i="1"/>
  <c r="AL1450" i="1"/>
  <c r="AL1534" i="1"/>
  <c r="AL1573" i="1"/>
  <c r="AL524" i="1"/>
  <c r="AL285" i="1"/>
  <c r="AL432" i="1"/>
  <c r="AL1732" i="1"/>
  <c r="AL41" i="1"/>
  <c r="AL1083" i="1"/>
  <c r="AL400" i="1"/>
  <c r="AL1092" i="1"/>
  <c r="AL92" i="1"/>
  <c r="AL1061" i="1"/>
  <c r="AL65" i="1"/>
  <c r="AL1645" i="1"/>
  <c r="AL1045" i="1"/>
  <c r="AL111" i="1"/>
  <c r="AL19" i="1"/>
  <c r="AL1015" i="1"/>
  <c r="AL942" i="1"/>
  <c r="AL1739" i="1"/>
  <c r="AL774" i="1"/>
  <c r="AL1145" i="1"/>
  <c r="AL1359" i="1"/>
  <c r="AL762" i="1"/>
  <c r="AL1250" i="1"/>
  <c r="AL1500" i="1"/>
  <c r="AL1584" i="1"/>
  <c r="AL1309" i="1"/>
  <c r="AL249" i="1"/>
  <c r="AL159" i="1"/>
  <c r="AL1564" i="1"/>
  <c r="AL986" i="1"/>
  <c r="AL1177" i="1"/>
  <c r="AL319" i="1"/>
  <c r="AL373" i="1"/>
  <c r="AL397" i="1"/>
  <c r="AL879" i="1"/>
  <c r="AL630" i="1"/>
  <c r="AL1641" i="1"/>
  <c r="AL972" i="1"/>
  <c r="AL429" i="1"/>
  <c r="AL1530" i="1"/>
  <c r="AL1131" i="1"/>
  <c r="AH1548" i="1"/>
  <c r="AL1203" i="1"/>
  <c r="AL1267" i="1"/>
  <c r="AL1089" i="1"/>
  <c r="AL359" i="1"/>
  <c r="AL175" i="1"/>
  <c r="AL731" i="1"/>
  <c r="AL813" i="1"/>
  <c r="AL1058" i="1"/>
  <c r="AL1699" i="1"/>
  <c r="AL576" i="1"/>
  <c r="AL616" i="1"/>
  <c r="AL1001" i="1"/>
  <c r="AL717" i="1"/>
  <c r="AL645" i="1"/>
  <c r="AL1656" i="1"/>
  <c r="AL1403" i="1"/>
  <c r="AL745" i="1"/>
  <c r="AL143" i="1"/>
  <c r="AL205" i="1"/>
  <c r="AL282" i="1"/>
  <c r="AL959" i="1"/>
  <c r="AL126" i="1"/>
  <c r="AL916" i="1"/>
  <c r="AL680" i="1"/>
  <c r="AL664" i="1"/>
  <c r="AL189" i="1"/>
  <c r="AL1544" i="1"/>
  <c r="AL1320" i="1"/>
  <c r="AL1620" i="1"/>
  <c r="AL1188" i="1"/>
  <c r="AL1773" i="1"/>
  <c r="AL899" i="1"/>
  <c r="AL1293" i="1"/>
  <c r="AL1484" i="1"/>
  <c r="AL344" i="1"/>
  <c r="AL798" i="1"/>
  <c r="AL1429" i="1"/>
  <c r="AL1067" i="1"/>
  <c r="AL865" i="1"/>
  <c r="AL445" i="1"/>
  <c r="AL332" i="1"/>
  <c r="AL843" i="1"/>
  <c r="AL507" i="1"/>
  <c r="AL1442" i="1"/>
  <c r="AL1455" i="1"/>
  <c r="AL954" i="1"/>
  <c r="AL1653" i="1"/>
  <c r="AL1753" i="1"/>
  <c r="AL1769" i="1"/>
  <c r="AL1490" i="1"/>
  <c r="AL1663" i="1"/>
  <c r="AL1634" i="1"/>
  <c r="AL99" i="1"/>
  <c r="AL1069" i="1"/>
  <c r="AL909" i="1"/>
  <c r="AL1006" i="1"/>
  <c r="AL622" i="1"/>
  <c r="AL549" i="1"/>
  <c r="AL258" i="1"/>
  <c r="AL934" i="1"/>
  <c r="AL274" i="1"/>
  <c r="AL1556" i="1"/>
  <c r="AL1453" i="1"/>
  <c r="AL367" i="1"/>
  <c r="AL407" i="1"/>
  <c r="AL324" i="1"/>
  <c r="AL1226" i="1"/>
  <c r="AL1137" i="1"/>
  <c r="AL101" i="1"/>
  <c r="AL1242" i="1"/>
  <c r="AL308" i="1"/>
  <c r="AL180" i="1"/>
  <c r="AL1258" i="1"/>
  <c r="AL1395" i="1"/>
  <c r="AL1438" i="1"/>
  <c r="AI978" i="1"/>
  <c r="AL1420" i="1"/>
  <c r="AL476" i="1"/>
  <c r="AL118" i="1"/>
  <c r="AL1649" i="1"/>
  <c r="AL58" i="1"/>
  <c r="AL978" i="1"/>
  <c r="AL336" i="1"/>
  <c r="AL1677" i="1"/>
  <c r="AL389" i="1"/>
  <c r="AL637" i="1"/>
  <c r="AL1598" i="1"/>
  <c r="AL1327" i="1"/>
  <c r="AL351" i="1"/>
  <c r="AL994" i="1"/>
  <c r="AL563" i="1"/>
  <c r="AL151" i="1"/>
  <c r="AL15" i="1"/>
  <c r="AL1096" i="1"/>
  <c r="AL964" i="1"/>
  <c r="AL196" i="1"/>
  <c r="AL1125" i="1"/>
  <c r="AL873" i="1"/>
  <c r="AL423" i="1"/>
  <c r="AL1505" i="1"/>
  <c r="AL47" i="1"/>
  <c r="AL39" i="1"/>
  <c r="AL517" i="1"/>
  <c r="AL466" i="1"/>
  <c r="AL1211" i="1"/>
  <c r="AL574" i="1"/>
  <c r="AL1577" i="1"/>
  <c r="AL887" i="1"/>
  <c r="AL780" i="1"/>
  <c r="AL1272" i="1"/>
  <c r="AL1100" i="1"/>
  <c r="AL593" i="1"/>
  <c r="AL23" i="1"/>
  <c r="AL1342" i="1"/>
  <c r="AL1301" i="1"/>
  <c r="AL1707" i="1"/>
  <c r="AL1037" i="1"/>
  <c r="AL1380" i="1"/>
  <c r="AL1285" i="1"/>
  <c r="AL437" i="1"/>
  <c r="AL290" i="1"/>
  <c r="AL1180" i="1"/>
  <c r="K1760" i="1"/>
  <c r="AL1421" i="1"/>
  <c r="AL1106" i="1"/>
  <c r="AL1557" i="1"/>
  <c r="AL1396" i="1"/>
  <c r="AL152" i="1"/>
  <c r="AL1227" i="1"/>
  <c r="AL1717" i="1"/>
  <c r="AI979" i="1"/>
  <c r="AH580" i="1"/>
  <c r="AL1750" i="1"/>
  <c r="AL950" i="1"/>
  <c r="AL1439" i="1"/>
  <c r="AL1181" i="1"/>
  <c r="AL1635" i="1"/>
  <c r="AL1353" i="1"/>
  <c r="AL325" i="1"/>
  <c r="AH1750" i="1"/>
  <c r="AI48" i="1"/>
  <c r="K1763" i="1"/>
  <c r="AL1273" i="1"/>
  <c r="AI575" i="1"/>
  <c r="AL214" i="1"/>
  <c r="AL309" i="1"/>
  <c r="AH1493" i="1"/>
  <c r="AL725" i="1"/>
  <c r="AL1473" i="1"/>
  <c r="AL1454" i="1"/>
  <c r="AL910" i="1"/>
  <c r="AL1243" i="1"/>
  <c r="AL1678" i="1"/>
  <c r="AL408" i="1"/>
  <c r="AL259" i="1"/>
  <c r="AL1259" i="1"/>
  <c r="AL711" i="1"/>
  <c r="AI935" i="1"/>
  <c r="AL673" i="1"/>
  <c r="AL493" i="1"/>
  <c r="AL467" i="1"/>
  <c r="AL1196" i="1"/>
  <c r="AL1126" i="1"/>
  <c r="AL1578" i="1"/>
  <c r="AL477" i="1"/>
  <c r="AL924" i="1"/>
  <c r="AL1318" i="1"/>
  <c r="AL575" i="1"/>
  <c r="AL1286" i="1"/>
  <c r="AL824" i="1"/>
  <c r="AL534" i="1"/>
  <c r="AL935" i="1"/>
  <c r="AL232" i="1"/>
  <c r="AL781" i="1"/>
  <c r="AL1381" i="1"/>
  <c r="AL292" i="1"/>
  <c r="AL1212" i="1"/>
  <c r="AL1708" i="1"/>
  <c r="AL168" i="1"/>
  <c r="AL59" i="1"/>
  <c r="AL102" i="1"/>
  <c r="AL135" i="1"/>
  <c r="AL965" i="1"/>
  <c r="AL1050" i="1"/>
  <c r="AL740" i="1"/>
  <c r="AL1302" i="1"/>
  <c r="AL888" i="1"/>
  <c r="AL792" i="1"/>
  <c r="AL1599" i="1"/>
  <c r="AL564" i="1"/>
  <c r="AL337" i="1"/>
  <c r="AL436" i="1"/>
  <c r="AL548" i="1"/>
  <c r="AL424" i="1"/>
  <c r="AL390" i="1"/>
  <c r="AL757" i="1"/>
  <c r="AL1325" i="1"/>
  <c r="AL1552" i="1"/>
  <c r="AL1036" i="1"/>
  <c r="AL818" i="1"/>
  <c r="AL79" i="1"/>
  <c r="AL650" i="1"/>
  <c r="AL1044" i="1"/>
  <c r="AL1206" i="1"/>
  <c r="AL1270" i="1"/>
  <c r="AL1488" i="1"/>
  <c r="AL1688" i="1"/>
  <c r="AL604" i="1"/>
  <c r="AL403" i="1"/>
  <c r="AL1046" i="1"/>
  <c r="AI11" i="1"/>
  <c r="AL269" i="1"/>
  <c r="AL1148" i="1"/>
  <c r="AH1726" i="1"/>
  <c r="AL1517" i="1"/>
  <c r="AL832" i="1"/>
  <c r="AL1568" i="1"/>
  <c r="AL1587" i="1"/>
  <c r="AL906" i="1"/>
  <c r="AL67" i="1"/>
  <c r="AL582" i="1"/>
  <c r="AL1237" i="1"/>
  <c r="AL1535" i="1"/>
  <c r="AL1702" i="1"/>
  <c r="AL1375" i="1"/>
  <c r="AL449" i="1"/>
  <c r="AL208" i="1"/>
  <c r="AL112" i="1"/>
  <c r="AL129" i="1"/>
  <c r="AL1323" i="1"/>
  <c r="AL904" i="1"/>
  <c r="AL748" i="1"/>
  <c r="AL43" i="1"/>
  <c r="AL362" i="1"/>
  <c r="AL1533" i="1"/>
  <c r="AI573" i="1"/>
  <c r="AL668" i="1"/>
  <c r="AL1733" i="1"/>
  <c r="AL974" i="1"/>
  <c r="AL734" i="1"/>
  <c r="AL868" i="1"/>
  <c r="AL1472" i="1"/>
  <c r="AL544" i="1"/>
  <c r="AL253" i="1"/>
  <c r="AL460" i="1"/>
  <c r="AL1296" i="1"/>
  <c r="AL558" i="1"/>
  <c r="AL1132" i="1"/>
  <c r="AL1741" i="1"/>
  <c r="AL1347" i="1"/>
  <c r="AL419" i="1"/>
  <c r="AL1449" i="1"/>
  <c r="AL1337" i="1"/>
  <c r="AL962" i="1"/>
  <c r="AL854" i="1"/>
  <c r="AL765" i="1"/>
  <c r="AL919" i="1"/>
  <c r="AL573" i="1"/>
  <c r="AL1256" i="1"/>
  <c r="AL1091" i="1"/>
  <c r="AL989" i="1"/>
  <c r="AL1609" i="1"/>
  <c r="AL376" i="1"/>
  <c r="AL1623" i="1"/>
  <c r="AL1191" i="1"/>
  <c r="AL485" i="1"/>
  <c r="AL648" i="1"/>
  <c r="AL635" i="1"/>
  <c r="AL607" i="1"/>
  <c r="AL633" i="1"/>
  <c r="AL1253" i="1"/>
  <c r="AL11" i="1"/>
  <c r="AL777" i="1"/>
  <c r="AL1280" i="1"/>
  <c r="AL590" i="1"/>
  <c r="AL881" i="1"/>
  <c r="AL162" i="1"/>
  <c r="AL1255" i="1"/>
  <c r="AL684" i="1"/>
  <c r="AL1282" i="1"/>
  <c r="AL178" i="1"/>
  <c r="AL255" i="1"/>
  <c r="AL1553" i="1"/>
  <c r="AL81" i="1"/>
  <c r="AL1314" i="1"/>
  <c r="AL1062" i="1"/>
  <c r="AL1589" i="1"/>
  <c r="AL56" i="1"/>
  <c r="AL1704" i="1"/>
  <c r="AL1021" i="1"/>
  <c r="AL1223" i="1"/>
  <c r="AL1279" i="1"/>
  <c r="AL113" i="1"/>
  <c r="AL98" i="1"/>
  <c r="AL364" i="1"/>
  <c r="AH401" i="1"/>
  <c r="AL1690" i="1"/>
  <c r="AL546" i="1"/>
  <c r="AL1519" i="1"/>
  <c r="AL1298" i="1"/>
  <c r="AL560" i="1"/>
  <c r="AL1661" i="1"/>
  <c r="AL1208" i="1"/>
  <c r="AL1374" i="1"/>
  <c r="AL502" i="1"/>
  <c r="AL845" i="1"/>
  <c r="AL489" i="1"/>
  <c r="AL287" i="1"/>
  <c r="AL1134" i="1"/>
  <c r="AL921" i="1"/>
  <c r="AL1435" i="1"/>
  <c r="AL1646" i="1"/>
  <c r="AL120" i="1"/>
  <c r="AL333" i="1"/>
  <c r="AL736" i="1"/>
  <c r="AL1239" i="1"/>
  <c r="AL386" i="1"/>
  <c r="AL464" i="1"/>
  <c r="AL240" i="1"/>
  <c r="AL1165" i="1"/>
  <c r="AL115" i="1"/>
  <c r="AL834" i="1"/>
  <c r="AL545" i="1"/>
  <c r="AL1625" i="1"/>
  <c r="AL767" i="1"/>
  <c r="AL305" i="1"/>
  <c r="AL1481" i="1"/>
  <c r="AL1349" i="1"/>
  <c r="AL421" i="1"/>
  <c r="AL434" i="1"/>
  <c r="AL620" i="1"/>
  <c r="AL193" i="1"/>
  <c r="AL405" i="1"/>
  <c r="AL1392" i="1"/>
  <c r="AL69" i="1"/>
  <c r="AL272" i="1"/>
  <c r="AL36" i="1"/>
  <c r="AL991" i="1"/>
  <c r="AL1122" i="1"/>
  <c r="AL856" i="1"/>
  <c r="AL1339" i="1"/>
  <c r="AL750" i="1"/>
  <c r="AL164" i="1"/>
  <c r="AL976" i="1"/>
  <c r="AL1743" i="1"/>
  <c r="AL583" i="1"/>
  <c r="AL1674" i="1"/>
  <c r="AL21" i="1"/>
  <c r="AL210" i="1"/>
  <c r="AL789" i="1"/>
  <c r="I1781" i="1"/>
  <c r="H2" i="1"/>
  <c r="AL500" i="1"/>
  <c r="AL543" i="1"/>
  <c r="AL1088" i="1"/>
  <c r="AL578" i="1"/>
  <c r="AB7" i="1"/>
  <c r="K4" i="1"/>
  <c r="AL34" i="1"/>
  <c r="AL1654" i="1"/>
  <c r="AL266" i="1"/>
  <c r="AL1616" i="1"/>
  <c r="AL216" i="1"/>
  <c r="AL737" i="1"/>
  <c r="AL526" i="1"/>
  <c r="AL1551" i="1"/>
  <c r="AL532" i="1"/>
  <c r="AL1606" i="1"/>
  <c r="AH77" i="1"/>
  <c r="AL677" i="1"/>
  <c r="AL569" i="1"/>
  <c r="AL361" i="1"/>
  <c r="AL1405" i="1"/>
  <c r="AL891" i="1"/>
  <c r="AL912" i="1"/>
  <c r="AL1133" i="1"/>
  <c r="AL828" i="1"/>
  <c r="AL810" i="1"/>
  <c r="AL418" i="1"/>
  <c r="AL46" i="1"/>
  <c r="AL995" i="1"/>
  <c r="AL1038" i="1"/>
  <c r="AH1711" i="1"/>
  <c r="AL1563" i="1"/>
  <c r="AL1529" i="1"/>
  <c r="AL700" i="1"/>
  <c r="AL557" i="1"/>
  <c r="AL655" i="1"/>
  <c r="AL1205" i="1"/>
  <c r="AL876" i="1"/>
  <c r="AL1049" i="1"/>
  <c r="AL529" i="1"/>
  <c r="AL1770" i="1"/>
  <c r="AL1294" i="1"/>
  <c r="AL1149" i="1"/>
  <c r="AL447" i="1"/>
  <c r="AL980" i="1"/>
  <c r="AL660" i="1"/>
  <c r="AL457" i="1"/>
  <c r="AL399" i="1"/>
  <c r="AL1543" i="1"/>
  <c r="AL541" i="1"/>
  <c r="AL628" i="1"/>
  <c r="AL714" i="1"/>
  <c r="AL863" i="1"/>
  <c r="AL1399" i="1"/>
  <c r="AL1512" i="1"/>
  <c r="AL131" i="1"/>
  <c r="AL785" i="1"/>
  <c r="AL192" i="1"/>
  <c r="AL521" i="1"/>
  <c r="AL1499" i="1"/>
  <c r="AL1007" i="1"/>
  <c r="AL643" i="1"/>
  <c r="AL1278" i="1"/>
  <c r="AL24" i="1"/>
  <c r="AL1722" i="1"/>
  <c r="AL209" i="1"/>
  <c r="AL1445" i="1"/>
  <c r="AL16" i="1"/>
  <c r="AL1221" i="1"/>
  <c r="AL1321" i="1"/>
  <c r="AL1024" i="1"/>
  <c r="AL254" i="1"/>
  <c r="AL1335" i="1"/>
  <c r="AL936" i="1"/>
  <c r="AL508" i="1"/>
  <c r="AL840" i="1"/>
  <c r="AL1428" i="1"/>
  <c r="AI980" i="1"/>
  <c r="AI1405" i="1"/>
  <c r="AL1716" i="1"/>
  <c r="AL533" i="1"/>
  <c r="AL1170" i="1"/>
  <c r="AL393" i="1"/>
  <c r="AL803" i="1"/>
  <c r="AL504" i="1"/>
  <c r="AH1696" i="1"/>
  <c r="AH1461" i="1"/>
  <c r="AH1447" i="1"/>
  <c r="AL1098" i="1"/>
  <c r="AL1328" i="1"/>
  <c r="AL710" i="1"/>
  <c r="AL1432" i="1"/>
  <c r="AL1642" i="1"/>
  <c r="AL213" i="1"/>
  <c r="AL346" i="1"/>
  <c r="AL1746" i="1"/>
  <c r="AL1343" i="1"/>
  <c r="AL430" i="1"/>
  <c r="AL1766" i="1"/>
  <c r="AL1657" i="1"/>
  <c r="AL823" i="1"/>
  <c r="AL1268" i="1"/>
  <c r="AL1136" i="1"/>
  <c r="AL167" i="1"/>
  <c r="AL181" i="1"/>
  <c r="AL446" i="1"/>
  <c r="AL724" i="1"/>
  <c r="AL872" i="1"/>
  <c r="AL1082" i="1"/>
  <c r="AL169" i="1"/>
  <c r="AL1659" i="1"/>
  <c r="AL286" i="1"/>
  <c r="AL1726" i="1"/>
  <c r="AL26" i="1"/>
  <c r="AL139" i="1"/>
  <c r="AL1525" i="1"/>
  <c r="AL1715" i="1"/>
  <c r="AL1252" i="1"/>
  <c r="AL1685" i="1"/>
  <c r="AH599" i="1"/>
  <c r="AL1000" i="1"/>
  <c r="AL1367" i="1"/>
  <c r="AL257" i="1"/>
  <c r="AI973" i="1"/>
  <c r="AL1644" i="1"/>
  <c r="AL885" i="1"/>
  <c r="AL1379" i="1"/>
  <c r="AL1669" i="1"/>
  <c r="AL973" i="1"/>
  <c r="AL1713" i="1"/>
  <c r="AL472" i="1"/>
  <c r="AL1290" i="1"/>
  <c r="AL690" i="1"/>
  <c r="AL44" i="1"/>
  <c r="AL1433" i="1"/>
  <c r="AL960" i="1"/>
  <c r="AL1352" i="1"/>
  <c r="AL1537" i="1"/>
  <c r="AL1523" i="1"/>
  <c r="AL859" i="1"/>
  <c r="AL91" i="1"/>
  <c r="AL231" i="1"/>
  <c r="AL1194" i="1"/>
  <c r="AL722" i="1"/>
  <c r="AL931" i="1"/>
  <c r="AL108" i="1"/>
  <c r="AL1207" i="1"/>
  <c r="AL383" i="1"/>
  <c r="AL805" i="1"/>
  <c r="AL1671" i="1"/>
  <c r="AL1326" i="1"/>
  <c r="AL417" i="1"/>
  <c r="AL595" i="1"/>
  <c r="AL37" i="1"/>
  <c r="AL153" i="1"/>
  <c r="AL1277" i="1"/>
  <c r="AL322" i="1"/>
  <c r="AL380" i="1"/>
  <c r="AL611" i="1"/>
  <c r="AL770" i="1"/>
  <c r="AL536" i="1"/>
  <c r="AL1084" i="1"/>
  <c r="AL1167" i="1"/>
  <c r="AL1377" i="1"/>
  <c r="AL1576" i="1"/>
  <c r="AL1365" i="1"/>
  <c r="AL1393" i="1"/>
  <c r="AL946" i="1"/>
  <c r="AL1097" i="1"/>
  <c r="AL1558" i="1"/>
  <c r="AL498" i="1"/>
  <c r="AL1479" i="1"/>
  <c r="AL1317" i="1"/>
  <c r="AH1730" i="1"/>
  <c r="AL1303" i="1"/>
  <c r="AL1596" i="1"/>
  <c r="AL374" i="1"/>
  <c r="AL78" i="1"/>
  <c r="AL739" i="1"/>
  <c r="AL1448" i="1"/>
  <c r="AL1107" i="1"/>
  <c r="AL869" i="1"/>
  <c r="AL623" i="1"/>
  <c r="AL1539" i="1"/>
  <c r="AL1697" i="1"/>
  <c r="AL242" i="1"/>
  <c r="AL638" i="1"/>
  <c r="AL1292" i="1"/>
  <c r="AL1683" i="1"/>
  <c r="AL444" i="1"/>
  <c r="AL87" i="1"/>
  <c r="AL801" i="1"/>
  <c r="AL377" i="1"/>
  <c r="AL177" i="1"/>
  <c r="AL926" i="1"/>
  <c r="AL1709" i="1"/>
  <c r="AL1684" i="1"/>
  <c r="AL1497" i="1"/>
  <c r="AL303" i="1"/>
  <c r="AL465" i="1"/>
  <c r="AL25" i="1"/>
  <c r="AL735" i="1"/>
  <c r="AL570" i="1"/>
  <c r="AL438" i="1"/>
  <c r="AL749" i="1"/>
  <c r="AL221" i="1"/>
  <c r="AL816" i="1"/>
  <c r="AL654" i="1"/>
  <c r="AL1057" i="1"/>
  <c r="AL1404" i="1"/>
  <c r="AL708" i="1"/>
  <c r="AL523" i="1"/>
  <c r="AH1404" i="1"/>
  <c r="AL1193" i="1"/>
  <c r="AL391" i="1"/>
  <c r="AL64" i="1"/>
  <c r="K1772" i="1"/>
  <c r="AL134" i="1"/>
  <c r="AH1592" i="1"/>
  <c r="AL672" i="1"/>
  <c r="AL1506" i="1"/>
  <c r="AL1605" i="1"/>
  <c r="AL853" i="1"/>
  <c r="AL1570" i="1"/>
  <c r="AH1710" i="1"/>
  <c r="AL766" i="1"/>
  <c r="AL657" i="1"/>
  <c r="AL1594" i="1"/>
  <c r="AL901" i="1"/>
  <c r="AL626" i="1"/>
  <c r="AL1574" i="1"/>
  <c r="AL247" i="1"/>
  <c r="AL1041" i="1"/>
  <c r="AL1384" i="1"/>
  <c r="AL949" i="1"/>
  <c r="AL914" i="1"/>
  <c r="AL331" i="1"/>
  <c r="AL343" i="1"/>
  <c r="AL1423" i="1"/>
  <c r="AL1586" i="1"/>
  <c r="AL1636" i="1"/>
  <c r="AL474" i="1"/>
  <c r="AL1035" i="1"/>
  <c r="AL321" i="1"/>
  <c r="AL640" i="1"/>
  <c r="AL1299" i="1"/>
  <c r="AL104" i="1"/>
  <c r="AL163" i="1"/>
  <c r="AL1614" i="1"/>
  <c r="AL288" i="1"/>
  <c r="AL778" i="1"/>
  <c r="AL1346" i="1"/>
  <c r="AL369" i="1"/>
  <c r="AL1555" i="1"/>
  <c r="AL207" i="1"/>
  <c r="AL1247" i="1"/>
  <c r="AL651" i="1"/>
  <c r="AL688" i="1"/>
  <c r="AL1234" i="1"/>
  <c r="AL1372" i="1"/>
  <c r="AL1274" i="1"/>
  <c r="AL721" i="1"/>
  <c r="AL1128" i="1"/>
  <c r="AL1219" i="1"/>
  <c r="W121" i="1"/>
  <c r="AL356" i="1"/>
  <c r="AL1312" i="1"/>
  <c r="AL831" i="1"/>
  <c r="AL1153" i="1"/>
  <c r="AL1522" i="1"/>
  <c r="AL1650" i="1"/>
  <c r="AL1261" i="1"/>
  <c r="AL262" i="1"/>
  <c r="AL191" i="1"/>
  <c r="AL501" i="1"/>
  <c r="AL1463" i="1"/>
  <c r="AH1169" i="1"/>
  <c r="AH542" i="1"/>
  <c r="AH492" i="1"/>
  <c r="AH275" i="1"/>
  <c r="AL398" i="1"/>
  <c r="AL1300" i="1"/>
  <c r="AL310" i="1"/>
  <c r="AL55" i="1"/>
  <c r="AH315" i="1"/>
  <c r="AL1228" i="1"/>
  <c r="AL1462" i="1"/>
  <c r="AL414" i="1"/>
  <c r="W1736" i="1"/>
  <c r="AH311" i="1"/>
  <c r="AL1494" i="1"/>
  <c r="AH1494" i="1"/>
  <c r="AH581" i="1"/>
  <c r="AL581" i="1"/>
  <c r="AH1751" i="1"/>
  <c r="U1796" i="1"/>
  <c r="B1789" i="1" s="1"/>
  <c r="AH1638" i="1"/>
  <c r="AL1638" i="1"/>
  <c r="AH1496" i="1"/>
  <c r="AL1496" i="1"/>
  <c r="AH1425" i="1"/>
  <c r="AL1425" i="1"/>
  <c r="AH1356" i="1"/>
  <c r="AL1356" i="1"/>
  <c r="AH1305" i="1"/>
  <c r="AL1305" i="1"/>
  <c r="AH1246" i="1"/>
  <c r="AL1246" i="1"/>
  <c r="AH1115" i="1"/>
  <c r="AL1115" i="1"/>
  <c r="AH999" i="1"/>
  <c r="AL999" i="1"/>
  <c r="AH1192" i="1"/>
  <c r="AL1192" i="1"/>
  <c r="AH1080" i="1"/>
  <c r="AL1080" i="1"/>
  <c r="AH678" i="1"/>
  <c r="AL678" i="1"/>
  <c r="AH667" i="1"/>
  <c r="AL667" i="1"/>
  <c r="AH641" i="1"/>
  <c r="AH609" i="1"/>
  <c r="AL609" i="1"/>
  <c r="AH561" i="1"/>
  <c r="AL561" i="1"/>
  <c r="AH550" i="1"/>
  <c r="AL550" i="1"/>
  <c r="AH537" i="1"/>
  <c r="AL537" i="1"/>
  <c r="AH503" i="1"/>
  <c r="AL503" i="1"/>
  <c r="AH496" i="1"/>
  <c r="AL496" i="1"/>
  <c r="AH441" i="1"/>
  <c r="AL441" i="1"/>
  <c r="AH352" i="1"/>
  <c r="AL352" i="1"/>
  <c r="AH1703" i="1"/>
  <c r="AL1703" i="1"/>
  <c r="AH1434" i="1"/>
  <c r="AL1434" i="1"/>
  <c r="AH1313" i="1"/>
  <c r="AL1313" i="1"/>
  <c r="AH1254" i="1"/>
  <c r="AL1254" i="1"/>
  <c r="AH1156" i="1"/>
  <c r="AL1156" i="1"/>
  <c r="AH1040" i="1"/>
  <c r="AL1040" i="1"/>
  <c r="AH928" i="1"/>
  <c r="AL928" i="1"/>
  <c r="AH707" i="1"/>
  <c r="AL707" i="1"/>
  <c r="AH1123" i="1"/>
  <c r="AL1123" i="1"/>
  <c r="AH1003" i="1"/>
  <c r="AL1003" i="1"/>
  <c r="T1796" i="1"/>
  <c r="B1788" i="1" s="1"/>
  <c r="AH1714" i="1"/>
  <c r="AL1714" i="1"/>
  <c r="AH1509" i="1"/>
  <c r="AL1509" i="1"/>
  <c r="AH1370" i="1"/>
  <c r="AL1370" i="1"/>
  <c r="AH1319" i="1"/>
  <c r="AL1319" i="1"/>
  <c r="AH1263" i="1"/>
  <c r="AL1263" i="1"/>
  <c r="AH1199" i="1"/>
  <c r="AL1199" i="1"/>
  <c r="AH1087" i="1"/>
  <c r="AL1087" i="1"/>
  <c r="AH970" i="1"/>
  <c r="AL970" i="1"/>
  <c r="AH728" i="1"/>
  <c r="AL728" i="1"/>
  <c r="AH1163" i="1"/>
  <c r="AL1163" i="1"/>
  <c r="AH1047" i="1"/>
  <c r="AL1047" i="1"/>
  <c r="AH932" i="1"/>
  <c r="AL932" i="1"/>
  <c r="AH1660" i="1"/>
  <c r="AL1660" i="1"/>
  <c r="AH1588" i="1"/>
  <c r="AL1588" i="1"/>
  <c r="AH1518" i="1"/>
  <c r="AL1518" i="1"/>
  <c r="AH1376" i="1"/>
  <c r="AL1376" i="1"/>
  <c r="AH1324" i="1"/>
  <c r="AL1324" i="1"/>
  <c r="AH1013" i="1"/>
  <c r="AL1013" i="1"/>
  <c r="AH1094" i="1"/>
  <c r="AL1094" i="1"/>
  <c r="AH796" i="1"/>
  <c r="AL796" i="1"/>
  <c r="AH787" i="1"/>
  <c r="AL787" i="1"/>
  <c r="AH1720" i="1"/>
  <c r="AL1720" i="1"/>
  <c r="AH1602" i="1"/>
  <c r="AL1602" i="1"/>
  <c r="AH1526" i="1"/>
  <c r="AL1526" i="1"/>
  <c r="AH1457" i="1"/>
  <c r="AL1457" i="1"/>
  <c r="AH1331" i="1"/>
  <c r="AL1331" i="1"/>
  <c r="AH1215" i="1"/>
  <c r="AL1215" i="1"/>
  <c r="AH1173" i="1"/>
  <c r="AL1173" i="1"/>
  <c r="AH1056" i="1"/>
  <c r="AL1056" i="1"/>
  <c r="AH940" i="1"/>
  <c r="AL940" i="1"/>
  <c r="AH806" i="1"/>
  <c r="AL806" i="1"/>
  <c r="AH1022" i="1"/>
  <c r="AL1022" i="1"/>
  <c r="AH1742" i="1"/>
  <c r="AL1742" i="1"/>
  <c r="AH1673" i="1"/>
  <c r="AL1673" i="1"/>
  <c r="AH1610" i="1"/>
  <c r="AL1610" i="1"/>
  <c r="AH1471" i="1"/>
  <c r="AL1471" i="1"/>
  <c r="AH1338" i="1"/>
  <c r="AL1338" i="1"/>
  <c r="AH1281" i="1"/>
  <c r="AL1281" i="1"/>
  <c r="AH1222" i="1"/>
  <c r="AL1222" i="1"/>
  <c r="AH1066" i="1"/>
  <c r="AL1066" i="1"/>
  <c r="AH984" i="1"/>
  <c r="AL984" i="1"/>
  <c r="AH839" i="1"/>
  <c r="AL839" i="1"/>
  <c r="AH1695" i="1"/>
  <c r="AL1695" i="1"/>
  <c r="AH1179" i="1"/>
  <c r="AL1179" i="1"/>
  <c r="AH948" i="1"/>
  <c r="AL948" i="1"/>
  <c r="AH1681" i="1"/>
  <c r="AL1681" i="1"/>
  <c r="AH1613" i="1"/>
  <c r="AL1613" i="1"/>
  <c r="AH1540" i="1"/>
  <c r="AL1540" i="1"/>
  <c r="AH1476" i="1"/>
  <c r="AL1476" i="1"/>
  <c r="AH1289" i="1"/>
  <c r="AL1289" i="1"/>
  <c r="AH1230" i="1"/>
  <c r="AL1230" i="1"/>
  <c r="AH1141" i="1"/>
  <c r="AL1141" i="1"/>
  <c r="AH1030" i="1"/>
  <c r="AL1030" i="1"/>
  <c r="AH1765" i="1"/>
  <c r="AL1765" i="1"/>
  <c r="AH992" i="1"/>
  <c r="AL992" i="1"/>
  <c r="AH861" i="1"/>
  <c r="AL861" i="1"/>
  <c r="AL1735" i="1"/>
  <c r="AH1735" i="1"/>
  <c r="AL1560" i="1"/>
  <c r="AH1689" i="1"/>
  <c r="AL1689" i="1"/>
  <c r="AH1624" i="1"/>
  <c r="AL1624" i="1"/>
  <c r="AH1417" i="1"/>
  <c r="AL1417" i="1"/>
  <c r="AH1348" i="1"/>
  <c r="AL1348" i="1"/>
  <c r="AH1297" i="1"/>
  <c r="AL1297" i="1"/>
  <c r="AH1238" i="1"/>
  <c r="AL1238" i="1"/>
  <c r="AH1184" i="1"/>
  <c r="AL1184" i="1"/>
  <c r="AH1074" i="1"/>
  <c r="AL1074" i="1"/>
  <c r="AH956" i="1"/>
  <c r="AL956" i="1"/>
  <c r="AH1150" i="1"/>
  <c r="AL1150" i="1"/>
  <c r="AH922" i="1"/>
  <c r="AL922" i="1"/>
  <c r="AH1474" i="1"/>
  <c r="AH1064" i="1"/>
  <c r="AL665" i="1"/>
  <c r="W311" i="1"/>
  <c r="AL312" i="1"/>
  <c r="AL416" i="1"/>
  <c r="AH416" i="1"/>
  <c r="X13" i="1" l="1"/>
  <c r="AL13" i="1"/>
  <c r="AH12" i="1"/>
  <c r="X12" i="1"/>
  <c r="Z12" i="1"/>
  <c r="AH371" i="1"/>
  <c r="Z371" i="1"/>
  <c r="AH1727" i="1"/>
  <c r="Z1727" i="1"/>
  <c r="X1727" i="1"/>
  <c r="J1783" i="1"/>
  <c r="AH13" i="1"/>
  <c r="Z13" i="1"/>
  <c r="I1783" i="1"/>
  <c r="X1796" i="1" l="1"/>
  <c r="AE1785" i="1"/>
  <c r="K1783" i="1"/>
  <c r="I1807" i="1" s="1"/>
  <c r="A3" i="2" s="1"/>
  <c r="B3" i="2" s="1"/>
  <c r="H1784" i="1" s="1"/>
  <c r="M97" i="1" l="1"/>
  <c r="M94" i="1"/>
  <c r="M1631" i="1"/>
  <c r="M1628" i="1"/>
  <c r="M166" i="1"/>
  <c r="M187" i="1"/>
  <c r="M188" i="1"/>
  <c r="M1093" i="1"/>
  <c r="M223" i="1"/>
  <c r="M197" i="1"/>
  <c r="M200" i="1"/>
  <c r="M1759" i="1"/>
  <c r="M1754" i="1"/>
  <c r="M1760" i="1"/>
  <c r="M83" i="1"/>
  <c r="AL1760" i="1"/>
  <c r="M1430" i="1"/>
  <c r="M1418" i="1"/>
  <c r="M1004" i="1"/>
  <c r="M1422" i="1"/>
  <c r="M1748" i="1"/>
  <c r="M884" i="1"/>
  <c r="M448" i="1"/>
  <c r="M66" i="1"/>
  <c r="M1103" i="1"/>
  <c r="M1102" i="1"/>
  <c r="M1408" i="1"/>
  <c r="M741" i="1"/>
  <c r="M1415" i="1"/>
  <c r="M1414" i="1"/>
  <c r="M14" i="1"/>
  <c r="M890" i="1"/>
  <c r="M894" i="1"/>
  <c r="M893" i="1"/>
  <c r="M147" i="1"/>
  <c r="M28" i="1"/>
  <c r="M1085" i="1"/>
  <c r="M317" i="1"/>
  <c r="M293" i="1"/>
  <c r="AF1789" i="1"/>
  <c r="AA1781" i="1" s="1"/>
  <c r="M695" i="1"/>
  <c r="M1581" i="1"/>
  <c r="M1362" i="1"/>
  <c r="M1350" i="1"/>
  <c r="M666" i="1"/>
  <c r="M514" i="1"/>
  <c r="M1618" i="1"/>
  <c r="M512" i="1"/>
  <c r="M513" i="1"/>
  <c r="M20" i="1"/>
  <c r="M1607" i="1"/>
  <c r="M883" i="1"/>
  <c r="M907" i="1"/>
  <c r="M1662" i="1"/>
  <c r="M1665" i="1"/>
  <c r="M195" i="1"/>
  <c r="M1116" i="1"/>
  <c r="M463" i="1"/>
  <c r="M538" i="1"/>
  <c r="M488" i="1"/>
  <c r="M608" i="1"/>
  <c r="M238" i="1"/>
  <c r="M228" i="1"/>
  <c r="M1072" i="1"/>
  <c r="M952" i="1"/>
  <c r="M487" i="1"/>
  <c r="M314" i="1"/>
  <c r="M95" i="1"/>
  <c r="M1668" i="1"/>
  <c r="M565" i="1"/>
  <c r="M300" i="1"/>
  <c r="M276" i="1"/>
  <c r="M114" i="1"/>
  <c r="M271" i="1"/>
  <c r="M1032" i="1"/>
  <c r="M1202" i="1"/>
  <c r="M897" i="1"/>
  <c r="M52" i="1"/>
  <c r="M555" i="1"/>
  <c r="M662" i="1"/>
  <c r="M251" i="1"/>
  <c r="M1513" i="1"/>
  <c r="M138" i="1"/>
  <c r="M82" i="1"/>
  <c r="M1028" i="1"/>
  <c r="M145" i="1"/>
  <c r="M146" i="1"/>
  <c r="M1364" i="1"/>
  <c r="M468" i="1"/>
  <c r="M1751" i="1"/>
  <c r="M580" i="1"/>
  <c r="M1730" i="1"/>
  <c r="M402" i="1"/>
  <c r="M1110" i="1"/>
  <c r="M1382" i="1"/>
  <c r="M1588" i="1"/>
  <c r="M121" i="1"/>
  <c r="M1736" i="1"/>
  <c r="M1082" i="1"/>
  <c r="M1402" i="1"/>
  <c r="M472" i="1"/>
  <c r="M1591" i="1"/>
  <c r="M1594" i="1"/>
  <c r="M1739" i="1"/>
  <c r="M1733" i="1"/>
  <c r="M598" i="1"/>
  <c r="M1405" i="1"/>
  <c r="M686" i="1"/>
  <c r="M1493" i="1"/>
  <c r="M1745" i="1"/>
  <c r="M1755" i="1"/>
  <c r="M1727" i="1"/>
  <c r="M1742" i="1"/>
  <c r="M1721" i="1"/>
  <c r="M1724" i="1"/>
  <c r="M1718" i="1"/>
  <c r="M1711" i="1"/>
  <c r="M1715" i="1"/>
  <c r="M1714" i="1"/>
  <c r="M1708" i="1"/>
  <c r="M1707" i="1"/>
  <c r="M1700" i="1"/>
  <c r="M1704" i="1"/>
  <c r="M1703" i="1"/>
  <c r="M1694" i="1"/>
  <c r="M1697" i="1"/>
  <c r="M1691" i="1"/>
  <c r="M1690" i="1"/>
  <c r="M1689" i="1"/>
  <c r="M1688" i="1"/>
  <c r="M1685" i="1"/>
  <c r="M1684" i="1"/>
  <c r="M1681" i="1"/>
  <c r="M1680" i="1"/>
  <c r="M1677" i="1"/>
  <c r="M1676" i="1"/>
  <c r="M1669" i="1"/>
  <c r="M1673" i="1"/>
  <c r="M1672" i="1"/>
  <c r="M1659" i="1"/>
  <c r="M1658" i="1"/>
  <c r="M1657" i="1"/>
  <c r="M1654" i="1"/>
  <c r="M1653" i="1"/>
  <c r="M1650" i="1"/>
  <c r="M1649" i="1"/>
  <c r="M1643" i="1"/>
  <c r="M1646" i="1"/>
  <c r="M1640" i="1"/>
  <c r="M1639" i="1"/>
  <c r="M1625" i="1"/>
  <c r="M1636" i="1"/>
  <c r="M1635" i="1"/>
  <c r="M1634" i="1"/>
  <c r="M1622" i="1"/>
  <c r="M1621" i="1"/>
  <c r="M1615" i="1"/>
  <c r="M1610" i="1"/>
  <c r="M1609" i="1"/>
  <c r="M1608" i="1"/>
  <c r="M1606" i="1"/>
  <c r="M1603" i="1"/>
  <c r="M1602" i="1"/>
  <c r="M1601" i="1"/>
  <c r="M1600" i="1"/>
  <c r="M1597" i="1"/>
  <c r="M1585" i="1"/>
  <c r="M1584" i="1"/>
  <c r="M1574" i="1"/>
  <c r="M1578" i="1"/>
  <c r="M1577" i="1"/>
  <c r="M1568" i="1"/>
  <c r="M1571" i="1"/>
  <c r="M1565" i="1"/>
  <c r="M1564" i="1"/>
  <c r="M1563" i="1"/>
  <c r="M1560" i="1"/>
  <c r="M1559" i="1"/>
  <c r="M1556" i="1"/>
  <c r="M1555" i="1"/>
  <c r="M1549" i="1"/>
  <c r="M1552" i="1"/>
  <c r="M1546" i="1"/>
  <c r="M1545" i="1"/>
  <c r="M1544" i="1"/>
  <c r="M1541" i="1"/>
  <c r="M1540" i="1"/>
  <c r="M1532" i="1"/>
  <c r="M1537" i="1"/>
  <c r="M1536" i="1"/>
  <c r="M1535" i="1"/>
  <c r="M1529" i="1"/>
  <c r="M1528" i="1"/>
  <c r="M1527" i="1"/>
  <c r="M1526" i="1"/>
  <c r="M1523" i="1"/>
  <c r="M1522" i="1"/>
  <c r="M1516" i="1"/>
  <c r="M1519" i="1"/>
  <c r="M1512" i="1"/>
  <c r="M1511" i="1"/>
  <c r="M1508" i="1"/>
  <c r="M1507" i="1"/>
  <c r="M1504" i="1"/>
  <c r="M1501" i="1"/>
  <c r="M1500" i="1"/>
  <c r="M1497" i="1"/>
  <c r="M1496" i="1"/>
  <c r="M1490" i="1"/>
  <c r="M1484" i="1"/>
  <c r="M1487" i="1"/>
  <c r="M1478" i="1"/>
  <c r="M1481" i="1"/>
  <c r="M1475" i="1"/>
  <c r="M1474" i="1"/>
  <c r="M1469" i="1"/>
  <c r="M1459" i="1"/>
  <c r="M1463" i="1"/>
  <c r="M1462" i="1"/>
  <c r="M1451" i="1"/>
  <c r="M1393" i="1"/>
  <c r="M1097" i="1"/>
  <c r="M1094" i="1"/>
  <c r="M1090" i="1"/>
  <c r="M1089" i="1"/>
  <c r="M1086" i="1"/>
  <c r="M1076" i="1"/>
  <c r="M1079" i="1"/>
  <c r="M1069" i="1"/>
  <c r="M1073" i="1"/>
  <c r="M1061" i="1"/>
  <c r="M1066" i="1"/>
  <c r="M1065" i="1"/>
  <c r="M1064" i="1"/>
  <c r="M1058" i="1"/>
  <c r="M1052" i="1"/>
  <c r="M1055" i="1"/>
  <c r="M1043" i="1"/>
  <c r="M1049" i="1"/>
  <c r="M1048" i="1"/>
  <c r="M1047" i="1"/>
  <c r="M1046" i="1"/>
  <c r="M1040" i="1"/>
  <c r="M1039" i="1"/>
  <c r="M1036" i="1"/>
  <c r="M1029" i="1"/>
  <c r="M1033" i="1"/>
  <c r="M1025" i="1"/>
  <c r="M1024" i="1"/>
  <c r="M1023" i="1"/>
  <c r="M1020" i="1"/>
  <c r="M1019" i="1"/>
  <c r="M1018" i="1"/>
  <c r="M1015" i="1"/>
  <c r="M1014" i="1"/>
  <c r="M1013" i="1"/>
  <c r="M1012" i="1"/>
  <c r="M1005" i="1"/>
  <c r="M1009" i="1"/>
  <c r="M1008" i="1"/>
  <c r="M1001" i="1"/>
  <c r="M998" i="1"/>
  <c r="M993" i="1"/>
  <c r="M997" i="1"/>
  <c r="M996" i="1"/>
  <c r="M995" i="1"/>
  <c r="M994" i="1"/>
  <c r="M985" i="1"/>
  <c r="M990" i="1"/>
  <c r="M989" i="1"/>
  <c r="M988" i="1"/>
  <c r="M982" i="1"/>
  <c r="M981" i="1"/>
  <c r="M980" i="1"/>
  <c r="M979" i="1"/>
  <c r="M976" i="1"/>
  <c r="M970" i="1"/>
  <c r="M973" i="1"/>
  <c r="M967" i="1"/>
  <c r="M966" i="1"/>
  <c r="M965" i="1"/>
  <c r="M962" i="1"/>
  <c r="M961" i="1"/>
  <c r="M960" i="1"/>
  <c r="M959" i="1"/>
  <c r="M958" i="1"/>
  <c r="M955" i="1"/>
  <c r="M954" i="1"/>
  <c r="M953" i="1"/>
  <c r="M951" i="1"/>
  <c r="M948" i="1"/>
  <c r="M945" i="1"/>
  <c r="M944" i="1"/>
  <c r="M941" i="1"/>
  <c r="M940" i="1"/>
  <c r="M939" i="1"/>
  <c r="M938" i="1"/>
  <c r="M937" i="1"/>
  <c r="M934" i="1"/>
  <c r="M933" i="1"/>
  <c r="M930" i="1"/>
  <c r="M927" i="1"/>
  <c r="M926" i="1"/>
  <c r="M923" i="1"/>
  <c r="M922" i="1"/>
  <c r="M919" i="1"/>
  <c r="M918" i="1"/>
  <c r="M917" i="1"/>
  <c r="M914" i="1"/>
  <c r="M898" i="1"/>
  <c r="M911" i="1"/>
  <c r="M910" i="1"/>
  <c r="M906" i="1"/>
  <c r="M903" i="1"/>
  <c r="M902" i="1"/>
  <c r="M901" i="1"/>
  <c r="M889" i="1"/>
  <c r="M888" i="1"/>
  <c r="M885" i="1"/>
  <c r="M880" i="1"/>
  <c r="M879" i="1"/>
  <c r="M878" i="1"/>
  <c r="M877" i="1"/>
  <c r="M874" i="1"/>
  <c r="M871" i="1"/>
  <c r="M870" i="1"/>
  <c r="M869" i="1"/>
  <c r="M855" i="1"/>
  <c r="M866" i="1"/>
  <c r="M861" i="1"/>
  <c r="M865" i="1"/>
  <c r="M860" i="1"/>
  <c r="M864" i="1"/>
  <c r="M859" i="1"/>
  <c r="M863" i="1"/>
  <c r="M858" i="1"/>
  <c r="M862" i="1"/>
  <c r="M852" i="1"/>
  <c r="M851" i="1"/>
  <c r="M850" i="1"/>
  <c r="M849" i="1"/>
  <c r="M846" i="1"/>
  <c r="M845" i="1"/>
  <c r="M844" i="1"/>
  <c r="M841" i="1"/>
  <c r="M840" i="1"/>
  <c r="M837" i="1"/>
  <c r="M836" i="1"/>
  <c r="M835" i="1"/>
  <c r="M826" i="1"/>
  <c r="M832" i="1"/>
  <c r="M831" i="1"/>
  <c r="M830" i="1"/>
  <c r="M829" i="1"/>
  <c r="M820" i="1"/>
  <c r="M823" i="1"/>
  <c r="M817" i="1"/>
  <c r="M816" i="1"/>
  <c r="M813" i="1"/>
  <c r="M812" i="1"/>
  <c r="M811" i="1"/>
  <c r="M800" i="1"/>
  <c r="M808" i="1"/>
  <c r="M803" i="1"/>
  <c r="M807" i="1"/>
  <c r="M806" i="1"/>
  <c r="M805" i="1"/>
  <c r="M804" i="1"/>
  <c r="M797" i="1"/>
  <c r="M796" i="1"/>
  <c r="M795" i="1"/>
  <c r="M792" i="1"/>
  <c r="M791" i="1"/>
  <c r="M788" i="1"/>
  <c r="M787" i="1"/>
  <c r="M784" i="1"/>
  <c r="M783" i="1"/>
  <c r="M782" i="1"/>
  <c r="M781" i="1"/>
  <c r="M778" i="1"/>
  <c r="M777" i="1"/>
  <c r="M774" i="1"/>
  <c r="M771" i="1"/>
  <c r="M770" i="1"/>
  <c r="M769" i="1"/>
  <c r="M766" i="1"/>
  <c r="M765" i="1"/>
  <c r="M764" i="1"/>
  <c r="M761" i="1"/>
  <c r="M758" i="1"/>
  <c r="M757" i="1"/>
  <c r="M754" i="1"/>
  <c r="M753" i="1"/>
  <c r="M752" i="1"/>
  <c r="M749" i="1"/>
  <c r="M748" i="1"/>
  <c r="M747" i="1"/>
  <c r="M746" i="1"/>
  <c r="M745" i="1"/>
  <c r="M738" i="1"/>
  <c r="M742" i="1"/>
  <c r="M735" i="1"/>
  <c r="M734" i="1"/>
  <c r="M733" i="1"/>
  <c r="M732" i="1"/>
  <c r="M731" i="1"/>
  <c r="M728" i="1"/>
  <c r="M722" i="1"/>
  <c r="M727" i="1"/>
  <c r="M721" i="1"/>
  <c r="M726" i="1"/>
  <c r="M720" i="1"/>
  <c r="M725" i="1"/>
  <c r="M724" i="1"/>
  <c r="M723" i="1"/>
  <c r="M717" i="1"/>
  <c r="M716" i="1"/>
  <c r="M710" i="1"/>
  <c r="M713" i="1"/>
  <c r="M707" i="1"/>
  <c r="M706" i="1"/>
  <c r="M1466" i="1"/>
  <c r="M703" i="1"/>
  <c r="M702" i="1"/>
  <c r="M701" i="1"/>
  <c r="M700" i="1"/>
  <c r="M1448" i="1"/>
  <c r="M1456" i="1"/>
  <c r="M1455" i="1"/>
  <c r="M1454" i="1"/>
  <c r="M1441" i="1"/>
  <c r="M1445" i="1"/>
  <c r="M1444" i="1"/>
  <c r="M1433" i="1"/>
  <c r="M1438" i="1"/>
  <c r="M1437" i="1"/>
  <c r="M1436" i="1"/>
  <c r="M1426" i="1"/>
  <c r="M1429" i="1"/>
  <c r="M1423" i="1"/>
  <c r="M1421" i="1"/>
  <c r="M1411" i="1"/>
  <c r="M1399" i="1"/>
  <c r="M1396" i="1"/>
  <c r="M1390" i="1"/>
  <c r="M1387" i="1"/>
  <c r="M1379" i="1"/>
  <c r="M1373" i="1"/>
  <c r="M1378" i="1"/>
  <c r="M1377" i="1"/>
  <c r="M1376" i="1"/>
  <c r="M1375" i="1"/>
  <c r="M1374" i="1"/>
  <c r="M1370" i="1"/>
  <c r="M1369" i="1"/>
  <c r="M1368" i="1"/>
  <c r="M1365" i="1"/>
  <c r="M1363" i="1"/>
  <c r="M1356" i="1"/>
  <c r="M1359" i="1"/>
  <c r="M1353" i="1"/>
  <c r="M1344" i="1"/>
  <c r="M1347" i="1"/>
  <c r="M1338" i="1"/>
  <c r="M1341" i="1"/>
  <c r="M1335" i="1"/>
  <c r="M1326" i="1"/>
  <c r="M1332" i="1"/>
  <c r="M1331" i="1"/>
  <c r="M1323" i="1"/>
  <c r="M1322" i="1"/>
  <c r="M1321" i="1"/>
  <c r="M1314" i="1"/>
  <c r="M1318" i="1"/>
  <c r="M1317" i="1"/>
  <c r="M1311" i="1"/>
  <c r="M1310" i="1"/>
  <c r="M1309" i="1"/>
  <c r="M1301" i="1"/>
  <c r="M1306" i="1"/>
  <c r="M1305" i="1"/>
  <c r="M1304" i="1"/>
  <c r="M1298" i="1"/>
  <c r="M1297" i="1"/>
  <c r="M1296" i="1"/>
  <c r="M1295" i="1"/>
  <c r="M1292" i="1"/>
  <c r="M1291" i="1"/>
  <c r="M1288" i="1"/>
  <c r="M1287" i="1"/>
  <c r="M1284" i="1"/>
  <c r="M1283" i="1"/>
  <c r="M1280" i="1"/>
  <c r="M1279" i="1"/>
  <c r="M1276" i="1"/>
  <c r="M1273" i="1"/>
  <c r="M1272" i="1"/>
  <c r="M1269" i="1"/>
  <c r="M1266" i="1"/>
  <c r="M1260" i="1"/>
  <c r="M1263" i="1"/>
  <c r="M1257" i="1"/>
  <c r="M1256" i="1"/>
  <c r="M1249" i="1"/>
  <c r="M1253" i="1"/>
  <c r="M1252" i="1"/>
  <c r="M1243" i="1"/>
  <c r="M1246" i="1"/>
  <c r="M1240" i="1"/>
  <c r="M1239" i="1"/>
  <c r="M1233" i="1"/>
  <c r="M1236" i="1"/>
  <c r="M1230" i="1"/>
  <c r="M1229" i="1"/>
  <c r="M1228" i="1"/>
  <c r="M1225" i="1"/>
  <c r="M1224" i="1"/>
  <c r="M1221" i="1"/>
  <c r="M1214" i="1"/>
  <c r="M1218" i="1"/>
  <c r="M1217" i="1"/>
  <c r="M1206" i="1"/>
  <c r="M1211" i="1"/>
  <c r="M1210" i="1"/>
  <c r="M1209" i="1"/>
  <c r="M1203" i="1"/>
  <c r="M1201" i="1"/>
  <c r="M1200" i="1"/>
  <c r="M1199" i="1"/>
  <c r="M1198" i="1"/>
  <c r="M1195" i="1"/>
  <c r="M1189" i="1"/>
  <c r="M1192" i="1"/>
  <c r="M1186" i="1"/>
  <c r="M1185" i="1"/>
  <c r="M1182" i="1"/>
  <c r="M1181" i="1"/>
  <c r="M1178" i="1"/>
  <c r="M1175" i="1"/>
  <c r="M1174" i="1"/>
  <c r="M1165" i="1"/>
  <c r="M1171" i="1"/>
  <c r="M1170" i="1"/>
  <c r="M1169" i="1"/>
  <c r="M1168" i="1"/>
  <c r="M1162" i="1"/>
  <c r="M1161" i="1"/>
  <c r="M1158" i="1"/>
  <c r="M1157" i="1"/>
  <c r="M1154" i="1"/>
  <c r="M1151" i="1"/>
  <c r="M1150" i="1"/>
  <c r="M1149" i="1"/>
  <c r="M1146" i="1"/>
  <c r="M1145" i="1"/>
  <c r="M1144" i="1"/>
  <c r="M1143" i="1"/>
  <c r="M1142" i="1"/>
  <c r="M1139" i="1"/>
  <c r="M1134" i="1"/>
  <c r="M1138" i="1"/>
  <c r="M1137" i="1"/>
  <c r="M1136" i="1"/>
  <c r="M1135" i="1"/>
  <c r="M1130" i="1"/>
  <c r="M1131" i="1"/>
  <c r="M1127" i="1"/>
  <c r="M1126" i="1"/>
  <c r="M1125" i="1"/>
  <c r="M1122" i="1"/>
  <c r="M1121" i="1"/>
  <c r="M1120" i="1"/>
  <c r="M1113" i="1"/>
  <c r="M1117" i="1"/>
  <c r="M1107" i="1"/>
  <c r="M1106" i="1"/>
  <c r="M689" i="1"/>
  <c r="M692" i="1"/>
  <c r="M680" i="1"/>
  <c r="M683" i="1"/>
  <c r="M670" i="1"/>
  <c r="M677" i="1"/>
  <c r="M676" i="1"/>
  <c r="M675" i="1"/>
  <c r="M674" i="1"/>
  <c r="M673" i="1"/>
  <c r="M663" i="1"/>
  <c r="M667" i="1"/>
  <c r="M655" i="1"/>
  <c r="M659" i="1"/>
  <c r="M658" i="1"/>
  <c r="M652" i="1"/>
  <c r="M649" i="1"/>
  <c r="M646" i="1"/>
  <c r="M645" i="1"/>
  <c r="M642" i="1"/>
  <c r="M641" i="1"/>
  <c r="M640" i="1"/>
  <c r="M634" i="1"/>
  <c r="M637" i="1"/>
  <c r="M631" i="1"/>
  <c r="M630" i="1"/>
  <c r="M627" i="1"/>
  <c r="M621" i="1"/>
  <c r="M626" i="1"/>
  <c r="M622" i="1"/>
  <c r="M625" i="1"/>
  <c r="M624" i="1"/>
  <c r="M623" i="1"/>
  <c r="M618" i="1"/>
  <c r="M617" i="1"/>
  <c r="M607" i="1"/>
  <c r="M614" i="1"/>
  <c r="M613" i="1"/>
  <c r="M612" i="1"/>
  <c r="M611" i="1"/>
  <c r="M604" i="1"/>
  <c r="M601" i="1"/>
  <c r="M589" i="1"/>
  <c r="M595" i="1"/>
  <c r="M594" i="1"/>
  <c r="M593" i="1"/>
  <c r="M592" i="1"/>
  <c r="M586" i="1"/>
  <c r="M577" i="1"/>
  <c r="M583" i="1"/>
  <c r="M574" i="1"/>
  <c r="M571" i="1"/>
  <c r="M570" i="1"/>
  <c r="M569" i="1"/>
  <c r="M566" i="1"/>
  <c r="M559" i="1"/>
  <c r="M562" i="1"/>
  <c r="M556" i="1"/>
  <c r="M552" i="1"/>
  <c r="M551" i="1"/>
  <c r="M548" i="1"/>
  <c r="M547" i="1"/>
  <c r="M546" i="1"/>
  <c r="M545" i="1"/>
  <c r="M542" i="1"/>
  <c r="M541" i="1"/>
  <c r="M537" i="1"/>
  <c r="M536" i="1"/>
  <c r="M533" i="1"/>
  <c r="M532" i="1"/>
  <c r="M529" i="1"/>
  <c r="M526" i="1"/>
  <c r="M525" i="1"/>
  <c r="M522" i="1"/>
  <c r="M521" i="1"/>
  <c r="M520" i="1"/>
  <c r="M517" i="1"/>
  <c r="M516" i="1"/>
  <c r="M515" i="1"/>
  <c r="M509" i="1"/>
  <c r="M506" i="1"/>
  <c r="M505" i="1"/>
  <c r="M504" i="1"/>
  <c r="M501" i="1"/>
  <c r="M500" i="1"/>
  <c r="M497" i="1"/>
  <c r="M496" i="1"/>
  <c r="M495" i="1"/>
  <c r="M494" i="1"/>
  <c r="M493" i="1"/>
  <c r="M492" i="1"/>
  <c r="M489" i="1"/>
  <c r="M486" i="1"/>
  <c r="M483" i="1"/>
  <c r="M482" i="1"/>
  <c r="M481" i="1"/>
  <c r="M480" i="1"/>
  <c r="M477" i="1"/>
  <c r="M476" i="1"/>
  <c r="M475" i="1"/>
  <c r="M464" i="1"/>
  <c r="M469" i="1"/>
  <c r="M467" i="1"/>
  <c r="M460" i="1"/>
  <c r="M457" i="1"/>
  <c r="M454" i="1"/>
  <c r="M453" i="1"/>
  <c r="M452" i="1"/>
  <c r="M449" i="1"/>
  <c r="M447" i="1"/>
  <c r="M444" i="1"/>
  <c r="M443" i="1"/>
  <c r="M442" i="1"/>
  <c r="M441" i="1"/>
  <c r="M440" i="1"/>
  <c r="M437" i="1"/>
  <c r="M436" i="1"/>
  <c r="M435" i="1"/>
  <c r="M432" i="1"/>
  <c r="M431" i="1"/>
  <c r="M430" i="1"/>
  <c r="M429" i="1"/>
  <c r="M426" i="1"/>
  <c r="M425" i="1"/>
  <c r="M418" i="1"/>
  <c r="M422" i="1"/>
  <c r="M421" i="1"/>
  <c r="M412" i="1"/>
  <c r="M415" i="1"/>
  <c r="M409" i="1"/>
  <c r="M408" i="1"/>
  <c r="M405" i="1"/>
  <c r="M399" i="1"/>
  <c r="M394" i="1"/>
  <c r="M393" i="1"/>
  <c r="M398" i="1"/>
  <c r="M397" i="1"/>
  <c r="M396" i="1"/>
  <c r="M395" i="1"/>
  <c r="M390" i="1"/>
  <c r="M389" i="1"/>
  <c r="M386" i="1"/>
  <c r="M385" i="1"/>
  <c r="M384" i="1"/>
  <c r="M380" i="1"/>
  <c r="M379" i="1"/>
  <c r="M381" i="1"/>
  <c r="M378" i="1"/>
  <c r="M375" i="1"/>
  <c r="M372" i="1"/>
  <c r="M371" i="1"/>
  <c r="M370" i="1"/>
  <c r="M367" i="1"/>
  <c r="M360" i="1"/>
  <c r="M364" i="1"/>
  <c r="M363" i="1"/>
  <c r="M357" i="1"/>
  <c r="M356" i="1"/>
  <c r="M355" i="1"/>
  <c r="M352" i="1"/>
  <c r="M351" i="1"/>
  <c r="M348" i="1"/>
  <c r="M347" i="1"/>
  <c r="M344" i="1"/>
  <c r="M343" i="1"/>
  <c r="M340" i="1"/>
  <c r="M339" i="1"/>
  <c r="M336" i="1"/>
  <c r="M335" i="1"/>
  <c r="M334" i="1"/>
  <c r="M326" i="1"/>
  <c r="M331" i="1"/>
  <c r="M330" i="1"/>
  <c r="M329" i="1"/>
  <c r="M323" i="1"/>
  <c r="M315" i="1"/>
  <c r="M316" i="1"/>
  <c r="M318" i="1"/>
  <c r="M308" i="1"/>
  <c r="M311" i="1"/>
  <c r="M305" i="1"/>
  <c r="M304" i="1"/>
  <c r="M301" i="1"/>
  <c r="M299" i="1"/>
  <c r="M298" i="1"/>
  <c r="M297" i="1"/>
  <c r="M294" i="1"/>
  <c r="M292" i="1"/>
  <c r="M291" i="1"/>
  <c r="M288" i="1"/>
  <c r="M287" i="1"/>
  <c r="M284" i="1"/>
  <c r="M283" i="1"/>
  <c r="M282" i="1"/>
  <c r="M281" i="1"/>
  <c r="M272" i="1"/>
  <c r="M278" i="1"/>
  <c r="M277" i="1"/>
  <c r="M275" i="1"/>
  <c r="M263" i="1"/>
  <c r="M268" i="1"/>
  <c r="M267" i="1"/>
  <c r="M266" i="1"/>
  <c r="M260" i="1"/>
  <c r="M259" i="1"/>
  <c r="M258" i="1"/>
  <c r="M257" i="1"/>
  <c r="M254" i="1"/>
  <c r="M249" i="1"/>
  <c r="M253" i="1"/>
  <c r="M252" i="1"/>
  <c r="M248" i="1"/>
  <c r="M250" i="1"/>
  <c r="M245" i="1"/>
  <c r="M244" i="1"/>
  <c r="M241" i="1"/>
  <c r="M240" i="1"/>
  <c r="M239" i="1"/>
  <c r="M219" i="1"/>
  <c r="M235" i="1"/>
  <c r="M225" i="1"/>
  <c r="M222" i="1"/>
  <c r="M229" i="1"/>
  <c r="M234" i="1"/>
  <c r="M227" i="1"/>
  <c r="M233" i="1"/>
  <c r="M224" i="1"/>
  <c r="M226" i="1"/>
  <c r="M232" i="1"/>
  <c r="M230" i="1"/>
  <c r="M231" i="1"/>
  <c r="M216" i="1"/>
  <c r="M215" i="1"/>
  <c r="M212" i="1"/>
  <c r="M211" i="1"/>
  <c r="M210" i="1"/>
  <c r="M207" i="1"/>
  <c r="M206" i="1"/>
  <c r="M205" i="1"/>
  <c r="M202" i="1"/>
  <c r="M196" i="1"/>
  <c r="M201" i="1"/>
  <c r="M199" i="1"/>
  <c r="M192" i="1"/>
  <c r="M194" i="1"/>
  <c r="M198" i="1"/>
  <c r="M193" i="1"/>
  <c r="M189" i="1"/>
  <c r="M186" i="1"/>
  <c r="M183" i="1"/>
  <c r="M182" i="1"/>
  <c r="M181" i="1"/>
  <c r="M178" i="1"/>
  <c r="M177" i="1"/>
  <c r="M175" i="1"/>
  <c r="M176" i="1"/>
  <c r="M172" i="1"/>
  <c r="M171" i="1"/>
  <c r="M168" i="1"/>
  <c r="M167" i="1"/>
  <c r="M165" i="1"/>
  <c r="M162" i="1"/>
  <c r="M161" i="1"/>
  <c r="M158" i="1"/>
  <c r="M152" i="1"/>
  <c r="M151" i="1"/>
  <c r="M157" i="1"/>
  <c r="M156" i="1"/>
  <c r="M153" i="1"/>
  <c r="M155" i="1"/>
  <c r="M154" i="1"/>
  <c r="M148" i="1"/>
  <c r="M142" i="1"/>
  <c r="M139" i="1"/>
  <c r="M141" i="1"/>
  <c r="M140" i="1"/>
  <c r="M135" i="1"/>
  <c r="M134" i="1"/>
  <c r="M133" i="1"/>
  <c r="M132" i="1"/>
  <c r="M129" i="1"/>
  <c r="M128" i="1"/>
  <c r="M127" i="1"/>
  <c r="M124" i="1"/>
  <c r="M118" i="1"/>
  <c r="M113" i="1"/>
  <c r="M117" i="1"/>
  <c r="M116" i="1"/>
  <c r="M115" i="1"/>
  <c r="M106" i="1"/>
  <c r="M110" i="1"/>
  <c r="M109" i="1"/>
  <c r="M103" i="1"/>
  <c r="M102" i="1"/>
  <c r="M99" i="1"/>
  <c r="M98" i="1"/>
  <c r="M93" i="1"/>
  <c r="M96" i="1"/>
  <c r="M90" i="1"/>
  <c r="M89" i="1"/>
  <c r="M88" i="1"/>
  <c r="M85" i="1"/>
  <c r="M84" i="1"/>
  <c r="M81" i="1"/>
  <c r="M78" i="1"/>
  <c r="M73" i="1"/>
  <c r="M77" i="1"/>
  <c r="M76" i="1"/>
  <c r="M74" i="1"/>
  <c r="M75" i="1"/>
  <c r="M67" i="1"/>
  <c r="M70" i="1"/>
  <c r="M60" i="1"/>
  <c r="M63" i="1"/>
  <c r="M49" i="1"/>
  <c r="M57" i="1"/>
  <c r="M56" i="1"/>
  <c r="M55" i="1"/>
  <c r="M46" i="1"/>
  <c r="M45" i="1"/>
  <c r="M42" i="1"/>
  <c r="M41" i="1"/>
  <c r="M38" i="1"/>
  <c r="M34" i="1"/>
  <c r="M32" i="1"/>
  <c r="M33" i="1"/>
  <c r="M37" i="1"/>
  <c r="M31" i="1"/>
  <c r="M36" i="1"/>
  <c r="M35" i="1"/>
  <c r="M23" i="1"/>
  <c r="M27" i="1"/>
  <c r="M26" i="1"/>
  <c r="M17" i="1"/>
  <c r="M12" i="1"/>
  <c r="M13" i="1"/>
  <c r="AE1789" i="1"/>
  <c r="AH1780" i="1" s="1"/>
  <c r="M3" i="2" s="1"/>
  <c r="N3" i="2" s="1"/>
  <c r="AA4" i="1"/>
  <c r="AE1784" i="1"/>
  <c r="I1784" i="1"/>
  <c r="I1785" i="1" s="1"/>
  <c r="J1784" i="1"/>
  <c r="J1785" i="1" s="1"/>
  <c r="M1772" i="1"/>
  <c r="M71" i="1"/>
  <c r="M1763" i="1"/>
  <c r="M1746" i="1"/>
  <c r="M1678" i="1"/>
  <c r="M1769" i="1"/>
  <c r="M1766" i="1"/>
  <c r="K1784" i="1"/>
  <c r="K1785" i="1" s="1"/>
  <c r="K1788" i="1" s="1"/>
  <c r="K2" i="1"/>
  <c r="AB1086" i="1"/>
  <c r="AL1086" i="1" s="1"/>
  <c r="AB1073" i="1"/>
  <c r="AI1073" i="1" s="1"/>
  <c r="AJ1073" i="1" s="1"/>
  <c r="AB1076" i="1"/>
  <c r="AB1079" i="1"/>
  <c r="AI1079" i="1" s="1"/>
  <c r="AJ1079" i="1" s="1"/>
  <c r="AB1390" i="1"/>
  <c r="AA2" i="1" l="1"/>
  <c r="AB1781" i="1"/>
  <c r="AB2" i="1" s="1"/>
  <c r="Z1789" i="1"/>
  <c r="AB1786" i="1"/>
  <c r="L1795" i="1"/>
  <c r="AI4" i="1"/>
  <c r="AB3" i="1"/>
  <c r="AI45" i="1"/>
  <c r="AJ45" i="1" s="1"/>
  <c r="AB17" i="1"/>
  <c r="AL17" i="1" s="1"/>
  <c r="AB33" i="1"/>
  <c r="AB12" i="1"/>
  <c r="AL12" i="1" s="1"/>
  <c r="AB42" i="1"/>
  <c r="AI12" i="1"/>
  <c r="AJ12" i="1" s="1"/>
  <c r="AB1019" i="1"/>
  <c r="AI1019" i="1" s="1"/>
  <c r="AJ1019" i="1" s="1"/>
  <c r="AB75" i="1"/>
  <c r="AL1019" i="1"/>
  <c r="AB641" i="1"/>
  <c r="AL641" i="1" s="1"/>
  <c r="AB933" i="1"/>
  <c r="AI641" i="1"/>
  <c r="AJ641" i="1" s="1"/>
  <c r="AB340" i="1"/>
  <c r="AI340" i="1" s="1"/>
  <c r="AJ340" i="1" s="1"/>
  <c r="AB360" i="1"/>
  <c r="AB326" i="1"/>
  <c r="AL326" i="1" s="1"/>
  <c r="AB363" i="1"/>
  <c r="AL363" i="1" s="1"/>
  <c r="AB371" i="1"/>
  <c r="AB226" i="1"/>
  <c r="AI226" i="1" s="1"/>
  <c r="AJ226" i="1" s="1"/>
  <c r="AL226" i="1"/>
  <c r="AB1466" i="1"/>
  <c r="AL1466" i="1" s="1"/>
  <c r="AB225" i="1"/>
  <c r="D1786" i="1"/>
  <c r="AB1755" i="1"/>
  <c r="AL1755" i="1" s="1"/>
  <c r="AB1727" i="1"/>
  <c r="AB1745" i="1"/>
  <c r="AL1745" i="1" s="1"/>
  <c r="AB1475" i="1"/>
  <c r="AB93" i="1"/>
  <c r="AB1718" i="1"/>
  <c r="J1786" i="1"/>
  <c r="A1786" i="1" s="1"/>
  <c r="M1" i="1" s="1"/>
  <c r="K3" i="1"/>
  <c r="H1786" i="1"/>
  <c r="L1793" i="1"/>
  <c r="I1790" i="1"/>
  <c r="H1790" i="1"/>
  <c r="K1790" i="1" s="1"/>
  <c r="L1794" i="1"/>
  <c r="I1786" i="1"/>
  <c r="AI93" i="1"/>
  <c r="AJ93" i="1" s="1"/>
  <c r="AL93" i="1"/>
  <c r="AB323" i="1"/>
  <c r="AB13" i="1"/>
  <c r="AI13" i="1" s="1"/>
  <c r="AJ13" i="1" s="1"/>
  <c r="AI1086" i="1"/>
  <c r="AJ1086" i="1" s="1"/>
  <c r="AL1073" i="1"/>
  <c r="AL1076" i="1"/>
  <c r="AI1076" i="1"/>
  <c r="AJ1076" i="1" s="1"/>
  <c r="AL1079" i="1"/>
  <c r="AL1390" i="1"/>
  <c r="AI1390" i="1"/>
  <c r="AJ1390" i="1" s="1"/>
  <c r="AC1786" i="1" l="1"/>
  <c r="AL395" i="1"/>
  <c r="AI395" i="1"/>
  <c r="AJ395" i="1" s="1"/>
  <c r="AB31" i="1"/>
  <c r="AB1411" i="1"/>
  <c r="AL31" i="1"/>
  <c r="AI31" i="1"/>
  <c r="AJ31" i="1" s="1"/>
  <c r="AB686" i="1"/>
  <c r="AB32" i="1"/>
  <c r="AL686" i="1"/>
  <c r="AI686" i="1"/>
  <c r="AJ686" i="1" s="1"/>
  <c r="AB402" i="1"/>
  <c r="AB1382" i="1"/>
  <c r="AI402" i="1"/>
  <c r="AJ402" i="1" s="1"/>
  <c r="AL402" i="1"/>
  <c r="AB227" i="1"/>
  <c r="AB229" i="1"/>
  <c r="AL227" i="1"/>
  <c r="AI227" i="1"/>
  <c r="AJ227" i="1" s="1"/>
  <c r="AB35" i="1"/>
  <c r="AB121" i="1"/>
  <c r="AL35" i="1"/>
  <c r="AI35" i="1"/>
  <c r="AJ35" i="1" s="1"/>
  <c r="AB1469" i="1"/>
  <c r="AB1615" i="1"/>
  <c r="AL1469" i="1"/>
  <c r="AI1469" i="1"/>
  <c r="AJ1469" i="1" s="1"/>
  <c r="AB703" i="1"/>
  <c r="AI1466" i="1"/>
  <c r="AJ1466" i="1" s="1"/>
  <c r="AB692" i="1"/>
  <c r="AB1151" i="1"/>
  <c r="AL692" i="1"/>
  <c r="AI692" i="1"/>
  <c r="AJ692" i="1" s="1"/>
  <c r="AB148" i="1"/>
  <c r="AL148" i="1"/>
  <c r="AI148" i="1"/>
  <c r="AJ148" i="1" s="1"/>
  <c r="AB45" i="1"/>
  <c r="AL45" i="1" s="1"/>
  <c r="AI17" i="1"/>
  <c r="AJ17" i="1" s="1"/>
  <c r="AL33" i="1"/>
  <c r="AI33" i="1"/>
  <c r="AJ33" i="1" s="1"/>
  <c r="AL42" i="1"/>
  <c r="AI42" i="1"/>
  <c r="AJ42" i="1" s="1"/>
  <c r="AL75" i="1"/>
  <c r="AI75" i="1"/>
  <c r="AJ75" i="1" s="1"/>
  <c r="AI933" i="1"/>
  <c r="AJ933" i="1" s="1"/>
  <c r="AL933" i="1"/>
  <c r="AL340" i="1"/>
  <c r="AL360" i="1"/>
  <c r="AI360" i="1"/>
  <c r="AJ360" i="1" s="1"/>
  <c r="AI326" i="1"/>
  <c r="AJ326" i="1" s="1"/>
  <c r="AI363" i="1"/>
  <c r="AJ363" i="1" s="1"/>
  <c r="AI371" i="1"/>
  <c r="AJ371" i="1" s="1"/>
  <c r="AL371" i="1"/>
  <c r="AL225" i="1"/>
  <c r="AI225" i="1"/>
  <c r="AJ225" i="1" s="1"/>
  <c r="AI1755" i="1"/>
  <c r="AJ1755" i="1" s="1"/>
  <c r="P4" i="1"/>
  <c r="M3" i="1"/>
  <c r="M2" i="1"/>
  <c r="P3" i="1"/>
  <c r="P1" i="1"/>
  <c r="M4" i="1"/>
  <c r="M5" i="1"/>
  <c r="P2" i="1"/>
  <c r="AL1727" i="1"/>
  <c r="AI1727" i="1"/>
  <c r="AJ1727" i="1" s="1"/>
  <c r="AI1745" i="1"/>
  <c r="AJ1745" i="1" s="1"/>
  <c r="AL1475" i="1"/>
  <c r="AI1475" i="1"/>
  <c r="AJ1475" i="1" s="1"/>
  <c r="AJ1754" i="1"/>
  <c r="K1791" i="1"/>
  <c r="K1792" i="1" s="1"/>
  <c r="E1789" i="1" s="1"/>
  <c r="D1788" i="1" s="1"/>
  <c r="AL1718" i="1"/>
  <c r="AI1718" i="1"/>
  <c r="AJ1718" i="1" s="1"/>
  <c r="AL323" i="1"/>
  <c r="AI323" i="1"/>
  <c r="AJ323" i="1" s="1"/>
  <c r="AE1787" i="1" l="1"/>
  <c r="AE1786" i="1" s="1"/>
  <c r="AB494" i="1"/>
  <c r="AB1760" i="1"/>
  <c r="AI1760" i="1" s="1"/>
  <c r="AJ1760" i="1" s="1"/>
  <c r="AL1754" i="1"/>
  <c r="AB1751" i="1"/>
  <c r="AL1751" i="1"/>
  <c r="AI1751" i="1"/>
  <c r="AJ1751" i="1" s="1"/>
  <c r="AB395" i="1"/>
  <c r="AB38" i="1"/>
  <c r="AL1411" i="1"/>
  <c r="AI1411" i="1"/>
  <c r="AJ1411" i="1" s="1"/>
  <c r="AF1788" i="1"/>
  <c r="AL32" i="1"/>
  <c r="AI32" i="1"/>
  <c r="AJ32" i="1" s="1"/>
  <c r="AL1382" i="1"/>
  <c r="AI1382" i="1"/>
  <c r="AJ1382" i="1" s="1"/>
  <c r="AL229" i="1"/>
  <c r="AI229" i="1"/>
  <c r="AJ229" i="1" s="1"/>
  <c r="AL121" i="1"/>
  <c r="AI121" i="1"/>
  <c r="AJ121" i="1" s="1"/>
  <c r="AL1615" i="1"/>
  <c r="AI1615" i="1"/>
  <c r="AJ1615" i="1" s="1"/>
  <c r="AL703" i="1"/>
  <c r="AI703" i="1"/>
  <c r="AJ703" i="1" s="1"/>
  <c r="AL1151" i="1"/>
  <c r="AI1151" i="1"/>
  <c r="AJ1151" i="1" s="1"/>
  <c r="AI494" i="1" l="1"/>
  <c r="AJ494" i="1" s="1"/>
  <c r="AL38" i="1"/>
  <c r="AI38" i="1"/>
  <c r="AJ38" i="1" s="1"/>
  <c r="AA3" i="1"/>
  <c r="AE1790" i="1"/>
  <c r="AE1791" i="1" s="1"/>
  <c r="AL494" i="1" l="1"/>
  <c r="AI3" i="1"/>
</calcChain>
</file>

<file path=xl/sharedStrings.xml><?xml version="1.0" encoding="utf-8"?>
<sst xmlns="http://schemas.openxmlformats.org/spreadsheetml/2006/main" count="7526" uniqueCount="1693">
  <si>
    <t>4920 Mial Plantation Rd, Raleigh NC 27610</t>
  </si>
  <si>
    <r>
      <rPr>
        <b/>
        <sz val="10"/>
        <color rgb="FF9900FF"/>
        <rFont val="Calibri"/>
        <family val="2"/>
        <scheme val="minor"/>
      </rPr>
      <t xml:space="preserve">  </t>
    </r>
    <r>
      <rPr>
        <b/>
        <sz val="13"/>
        <color rgb="FF9900FF"/>
        <rFont val="Calibri"/>
        <family val="2"/>
        <scheme val="minor"/>
      </rPr>
      <t>E</t>
    </r>
    <r>
      <rPr>
        <b/>
        <sz val="11"/>
        <color rgb="FF9900FF"/>
        <rFont val="Calibri"/>
        <family val="2"/>
        <scheme val="minor"/>
      </rPr>
      <t xml:space="preserve"> </t>
    </r>
    <r>
      <rPr>
        <b/>
        <sz val="10"/>
        <color rgb="FF9900FF"/>
        <rFont val="Calibri"/>
        <family val="2"/>
        <scheme val="minor"/>
      </rPr>
      <t>a Quantity</t>
    </r>
  </si>
  <si>
    <t>Gallon Pot Size Chart</t>
  </si>
  <si>
    <t xml:space="preserve">N </t>
  </si>
  <si>
    <t>GRAND TOTAL</t>
  </si>
  <si>
    <r>
      <t xml:space="preserve">page manually updated </t>
    </r>
    <r>
      <rPr>
        <b/>
        <sz val="10"/>
        <rFont val="Arial"/>
        <family val="2"/>
      </rPr>
      <t xml:space="preserve"> ‣</t>
    </r>
    <r>
      <rPr>
        <sz val="10"/>
        <rFont val="Arial"/>
        <family val="2"/>
      </rPr>
      <t xml:space="preserve">  </t>
    </r>
    <r>
      <rPr>
        <b/>
        <sz val="10"/>
        <rFont val="Arial"/>
        <family val="2"/>
      </rPr>
      <t>please excuse any errors  ‣</t>
    </r>
    <r>
      <rPr>
        <sz val="10"/>
        <rFont val="Arial"/>
        <family val="2"/>
      </rPr>
      <t xml:space="preserve">  fact check</t>
    </r>
  </si>
  <si>
    <t>sources G1-G6</t>
  </si>
  <si>
    <t>← go to categories</t>
  </si>
  <si>
    <t xml:space="preserve">T </t>
  </si>
  <si>
    <t>Mature</t>
  </si>
  <si>
    <t>← ←  far left</t>
  </si>
  <si>
    <t>Name</t>
  </si>
  <si>
    <t>Initial Height</t>
  </si>
  <si>
    <t xml:space="preserve">E </t>
  </si>
  <si>
    <t>Height</t>
  </si>
  <si>
    <t>&amp; pot size</t>
  </si>
  <si>
    <t>&amp; other notes</t>
  </si>
  <si>
    <t>Grower</t>
  </si>
  <si>
    <t xml:space="preserve">R </t>
  </si>
  <si>
    <t>Before Tax</t>
  </si>
  <si>
    <t>Sales Tax</t>
  </si>
  <si>
    <t>With Tax</t>
  </si>
  <si>
    <t>Sub-Totals:</t>
  </si>
  <si>
    <r>
      <rPr>
        <b/>
        <sz val="14.5"/>
        <color theme="0"/>
        <rFont val="Calibri"/>
        <family val="2"/>
        <scheme val="minor"/>
      </rPr>
      <t>by</t>
    </r>
    <r>
      <rPr>
        <b/>
        <sz val="14.5"/>
        <color theme="10"/>
        <rFont val="Calibri"/>
        <family val="2"/>
        <scheme val="minor"/>
      </rPr>
      <t xml:space="preserve"> </t>
    </r>
    <r>
      <rPr>
        <b/>
        <sz val="14.5"/>
        <color theme="6" tint="0.39997558519241921"/>
        <rFont val="Calibri"/>
        <family val="2"/>
        <scheme val="minor"/>
      </rPr>
      <t>c</t>
    </r>
    <r>
      <rPr>
        <b/>
        <sz val="14.5"/>
        <color theme="5" tint="0.79998168889431442"/>
        <rFont val="Calibri"/>
        <family val="2"/>
        <scheme val="minor"/>
      </rPr>
      <t>a</t>
    </r>
    <r>
      <rPr>
        <b/>
        <sz val="14.5"/>
        <color theme="6" tint="0.39997558519241921"/>
        <rFont val="Calibri"/>
        <family val="2"/>
        <scheme val="minor"/>
      </rPr>
      <t>t</t>
    </r>
    <r>
      <rPr>
        <b/>
        <sz val="14.5"/>
        <color theme="5" tint="0.79998168889431442"/>
        <rFont val="Calibri"/>
        <family val="2"/>
        <scheme val="minor"/>
      </rPr>
      <t>e</t>
    </r>
    <r>
      <rPr>
        <b/>
        <sz val="14.5"/>
        <color theme="2"/>
        <rFont val="Calibri"/>
        <family val="2"/>
        <scheme val="minor"/>
      </rPr>
      <t>g</t>
    </r>
    <r>
      <rPr>
        <b/>
        <sz val="14.5"/>
        <color theme="5" tint="0.59999389629810485"/>
        <rFont val="Calibri"/>
        <family val="2"/>
        <scheme val="minor"/>
      </rPr>
      <t>o</t>
    </r>
    <r>
      <rPr>
        <b/>
        <sz val="14.5"/>
        <color theme="6" tint="0.39997558519241921"/>
        <rFont val="Calibri"/>
        <family val="2"/>
        <scheme val="minor"/>
      </rPr>
      <t>r</t>
    </r>
    <r>
      <rPr>
        <b/>
        <sz val="14.5"/>
        <color theme="5" tint="0.79998168889431442"/>
        <rFont val="Calibri"/>
        <family val="2"/>
        <scheme val="minor"/>
      </rPr>
      <t>i</t>
    </r>
    <r>
      <rPr>
        <b/>
        <sz val="14.5"/>
        <color theme="7" tint="0.59999389629810485"/>
        <rFont val="Calibri"/>
        <family val="2"/>
        <scheme val="minor"/>
      </rPr>
      <t>e</t>
    </r>
    <r>
      <rPr>
        <b/>
        <sz val="14.5"/>
        <color rgb="FFE5E2D3"/>
        <rFont val="Calibri"/>
        <family val="2"/>
        <scheme val="minor"/>
      </rPr>
      <t>s</t>
    </r>
    <r>
      <rPr>
        <b/>
        <sz val="14.5"/>
        <color theme="0"/>
        <rFont val="Calibri"/>
        <family val="2"/>
        <scheme val="minor"/>
      </rPr>
      <t>,</t>
    </r>
  </si>
  <si>
    <r>
      <t xml:space="preserve">then by </t>
    </r>
    <r>
      <rPr>
        <b/>
        <i/>
        <sz val="14"/>
        <color rgb="FF66FFFF"/>
        <rFont val="Calibri"/>
        <family val="2"/>
        <scheme val="minor"/>
      </rPr>
      <t>Mature</t>
    </r>
    <r>
      <rPr>
        <i/>
        <sz val="8"/>
        <color rgb="FF66FFFF"/>
        <rFont val="Calibri"/>
        <family val="2"/>
        <scheme val="minor"/>
      </rPr>
      <t xml:space="preserve"> </t>
    </r>
    <r>
      <rPr>
        <b/>
        <i/>
        <sz val="14"/>
        <color rgb="FF66FFFF"/>
        <rFont val="Calibri"/>
        <family val="2"/>
        <scheme val="minor"/>
      </rPr>
      <t>Height</t>
    </r>
    <r>
      <rPr>
        <i/>
        <sz val="11"/>
        <color theme="0"/>
        <rFont val="Calibri"/>
        <family val="2"/>
        <scheme val="minor"/>
      </rPr>
      <t>,</t>
    </r>
    <r>
      <rPr>
        <sz val="11"/>
        <color theme="0"/>
        <rFont val="Calibri"/>
        <family val="2"/>
        <scheme val="minor"/>
      </rPr>
      <t xml:space="preserve"> from</t>
    </r>
    <r>
      <rPr>
        <sz val="16"/>
        <color theme="0"/>
        <rFont val="Impact"/>
        <family val="2"/>
      </rPr>
      <t xml:space="preserve"> </t>
    </r>
    <r>
      <rPr>
        <sz val="14"/>
        <color theme="0"/>
        <rFont val="Segoe UI Black"/>
        <family val="2"/>
      </rPr>
      <t>LARGEST</t>
    </r>
    <r>
      <rPr>
        <sz val="11"/>
        <color theme="0"/>
        <rFont val="Calibri"/>
        <family val="2"/>
        <scheme val="minor"/>
      </rPr>
      <t xml:space="preserve"> to </t>
    </r>
    <r>
      <rPr>
        <b/>
        <i/>
        <sz val="11"/>
        <color theme="0"/>
        <rFont val="Calibri"/>
        <family val="2"/>
        <scheme val="minor"/>
      </rPr>
      <t>smallest</t>
    </r>
  </si>
  <si>
    <t xml:space="preserve">or use Ctrl-F to search </t>
  </si>
  <si>
    <t>EVERGREEN plants in green</t>
  </si>
  <si>
    <t>DECIDUOUS in peach</t>
  </si>
  <si>
    <t>NVP Fees</t>
  </si>
  <si>
    <t>Guaranteed</t>
  </si>
  <si>
    <t>Serving the</t>
  </si>
  <si>
    <r>
      <rPr>
        <b/>
        <sz val="12"/>
        <rFont val="Calibri"/>
        <family val="2"/>
        <scheme val="minor"/>
      </rPr>
      <t xml:space="preserve">⇧ </t>
    </r>
    <r>
      <rPr>
        <sz val="10"/>
        <rFont val="Calibri"/>
        <family val="2"/>
        <scheme val="minor"/>
      </rPr>
      <t>type '</t>
    </r>
    <r>
      <rPr>
        <b/>
        <sz val="11"/>
        <rFont val="Calibri"/>
        <family val="2"/>
        <scheme val="minor"/>
      </rPr>
      <t>me</t>
    </r>
    <r>
      <rPr>
        <sz val="10"/>
        <rFont val="Calibri"/>
        <family val="2"/>
        <scheme val="minor"/>
      </rPr>
      <t xml:space="preserve">' here for </t>
    </r>
    <r>
      <rPr>
        <b/>
        <sz val="10"/>
        <rFont val="Calibri"/>
        <family val="2"/>
        <scheme val="minor"/>
      </rPr>
      <t>No NVP</t>
    </r>
  </si>
  <si>
    <t>NewViewPlanting.com</t>
  </si>
  <si>
    <t>919-995-2245</t>
  </si>
  <si>
    <t>MORE</t>
  </si>
  <si>
    <t>G1=</t>
  </si>
  <si>
    <t>Grower 2</t>
  </si>
  <si>
    <t>Grower 3</t>
  </si>
  <si>
    <t>Grower 4</t>
  </si>
  <si>
    <t>Grower 5</t>
  </si>
  <si>
    <t>Grower 6</t>
  </si>
  <si>
    <t>ChrisatNewViewPlanting@gmail.com</t>
  </si>
  <si>
    <r>
      <rPr>
        <b/>
        <sz val="10"/>
        <rFont val="Arial"/>
        <family val="2"/>
      </rPr>
      <t xml:space="preserve">Loblolly Pine </t>
    </r>
    <r>
      <rPr>
        <i/>
        <sz val="10"/>
        <rFont val="Arial"/>
        <family val="2"/>
      </rPr>
      <t xml:space="preserve">Pinus taeda  </t>
    </r>
    <r>
      <rPr>
        <b/>
        <sz val="10"/>
        <rFont val="Arial"/>
        <family val="2"/>
      </rPr>
      <t>💧wet sites OK</t>
    </r>
  </si>
  <si>
    <t>75'x50'</t>
  </si>
  <si>
    <r>
      <rPr>
        <sz val="12"/>
        <color rgb="FFFFFF00"/>
        <rFont val="Calibri"/>
        <family val="2"/>
      </rPr>
      <t>☀</t>
    </r>
    <r>
      <rPr>
        <sz val="10.5"/>
        <color theme="1"/>
        <rFont val="Calibri"/>
        <family val="2"/>
      </rPr>
      <t>Sun</t>
    </r>
  </si>
  <si>
    <t>Images</t>
  </si>
  <si>
    <t>Facts</t>
  </si>
  <si>
    <r>
      <rPr>
        <b/>
        <sz val="10"/>
        <color theme="1"/>
        <rFont val="Arial"/>
        <family val="2"/>
      </rPr>
      <t>B</t>
    </r>
    <r>
      <rPr>
        <sz val="10"/>
        <color theme="1"/>
        <rFont val="Arial"/>
        <family val="2"/>
      </rPr>
      <t>🦌</t>
    </r>
    <r>
      <rPr>
        <b/>
        <sz val="9"/>
        <color theme="1"/>
        <rFont val="Arial"/>
        <family val="2"/>
      </rPr>
      <t>seldom</t>
    </r>
    <r>
      <rPr>
        <sz val="9"/>
        <color theme="1"/>
        <rFont val="Arial"/>
        <family val="2"/>
      </rPr>
      <t xml:space="preserve"> harm</t>
    </r>
  </si>
  <si>
    <r>
      <t>🐇</t>
    </r>
    <r>
      <rPr>
        <sz val="9"/>
        <rFont val="Arial"/>
        <family val="2"/>
      </rPr>
      <t>hate</t>
    </r>
  </si>
  <si>
    <t>N</t>
  </si>
  <si>
    <t>gallon</t>
  </si>
  <si>
    <t>18"</t>
  </si>
  <si>
    <t>G7</t>
  </si>
  <si>
    <t>5'</t>
  </si>
  <si>
    <t>G4</t>
  </si>
  <si>
    <r>
      <t>Loblolly is rare Pine that tolerates wet, clay soils. Also tolerates drier soils, as most '</t>
    </r>
    <r>
      <rPr>
        <b/>
        <sz val="9"/>
        <color theme="1"/>
        <rFont val="Arial"/>
        <family val="2"/>
      </rPr>
      <t>💧wet sites OK</t>
    </r>
    <r>
      <rPr>
        <i/>
        <sz val="9"/>
        <color theme="1"/>
        <rFont val="Arial"/>
        <family val="2"/>
      </rPr>
      <t>' plants do</t>
    </r>
  </si>
  <si>
    <r>
      <rPr>
        <sz val="10"/>
        <rFont val="Arial"/>
        <family val="2"/>
      </rPr>
      <t>🐦</t>
    </r>
    <r>
      <rPr>
        <sz val="10"/>
        <color rgb="FF0C7A86"/>
        <rFont val="Arial"/>
        <family val="2"/>
      </rPr>
      <t>🐾</t>
    </r>
    <r>
      <rPr>
        <sz val="11"/>
        <color rgb="FFCA6664"/>
        <rFont val="Arial"/>
        <family val="2"/>
      </rPr>
      <t>❤</t>
    </r>
    <r>
      <rPr>
        <sz val="9"/>
        <color rgb="FFCA6664"/>
        <rFont val="Arial"/>
        <family val="2"/>
      </rPr>
      <t xml:space="preserve"> </t>
    </r>
  </si>
  <si>
    <t xml:space="preserve">NC Native = Grey N </t>
  </si>
  <si>
    <r>
      <rPr>
        <b/>
        <sz val="10"/>
        <rFont val="Arial"/>
        <family val="2"/>
      </rPr>
      <t xml:space="preserve">Longleaf Pine </t>
    </r>
    <r>
      <rPr>
        <i/>
        <sz val="10"/>
        <rFont val="Arial"/>
        <family val="2"/>
      </rPr>
      <t>Pinus palustris</t>
    </r>
  </si>
  <si>
    <t>75'x40'</t>
  </si>
  <si>
    <r>
      <rPr>
        <sz val="10"/>
        <rFont val="Arial"/>
        <family val="2"/>
      </rPr>
      <t>🐇</t>
    </r>
    <r>
      <rPr>
        <sz val="9"/>
        <rFont val="Arial"/>
        <family val="2"/>
      </rPr>
      <t>hate</t>
    </r>
  </si>
  <si>
    <t>2.5'</t>
  </si>
  <si>
    <t>G3</t>
  </si>
  <si>
    <t>G5</t>
  </si>
  <si>
    <t>4.5'</t>
  </si>
  <si>
    <t>Longleaf is state tree of NC (Dogwood is state flower). Cones are the largest of any Pine around here</t>
  </si>
  <si>
    <r>
      <rPr>
        <sz val="10"/>
        <rFont val="Arial"/>
        <family val="2"/>
      </rPr>
      <t>🐦</t>
    </r>
    <r>
      <rPr>
        <sz val="9"/>
        <rFont val="Arial"/>
        <family val="2"/>
      </rPr>
      <t xml:space="preserve">birds </t>
    </r>
    <r>
      <rPr>
        <sz val="10"/>
        <color rgb="FF0C7A86"/>
        <rFont val="Arial"/>
        <family val="2"/>
      </rPr>
      <t>🐾</t>
    </r>
    <r>
      <rPr>
        <sz val="9"/>
        <rFont val="Arial"/>
        <family val="2"/>
      </rPr>
      <t>wildlife</t>
    </r>
    <r>
      <rPr>
        <sz val="11"/>
        <color rgb="FFCA6664"/>
        <rFont val="Arial"/>
        <family val="2"/>
      </rPr>
      <t>❤</t>
    </r>
    <r>
      <rPr>
        <sz val="9"/>
        <color rgb="FFCA6664"/>
        <rFont val="Arial"/>
        <family val="2"/>
      </rPr>
      <t xml:space="preserve"> </t>
    </r>
  </si>
  <si>
    <r>
      <rPr>
        <b/>
        <sz val="10"/>
        <rFont val="Arial"/>
        <family val="2"/>
      </rPr>
      <t>Deodar Cedar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Cedrus deodara</t>
    </r>
  </si>
  <si>
    <t>65'x50'</t>
  </si>
  <si>
    <r>
      <rPr>
        <b/>
        <sz val="10"/>
        <color theme="1"/>
        <rFont val="Arial"/>
        <family val="2"/>
      </rPr>
      <t>B</t>
    </r>
    <r>
      <rPr>
        <sz val="10"/>
        <color theme="1"/>
        <rFont val="Arial"/>
        <family val="2"/>
      </rPr>
      <t>🦌</t>
    </r>
    <r>
      <rPr>
        <sz val="9"/>
        <color theme="1"/>
        <rFont val="Arial"/>
        <family val="2"/>
      </rPr>
      <t xml:space="preserve">deer </t>
    </r>
    <r>
      <rPr>
        <b/>
        <sz val="9"/>
        <color theme="1"/>
        <rFont val="Arial"/>
        <family val="2"/>
      </rPr>
      <t>seldom</t>
    </r>
    <r>
      <rPr>
        <sz val="9"/>
        <color theme="1"/>
        <rFont val="Arial"/>
        <family val="2"/>
      </rPr>
      <t xml:space="preserve"> harm</t>
    </r>
  </si>
  <si>
    <t>4'</t>
  </si>
  <si>
    <t>Deodar is "the most graceful cedar", with pendulous branches often reaching the ground</t>
  </si>
  <si>
    <r>
      <rPr>
        <sz val="10"/>
        <color rgb="FF0C7A86"/>
        <rFont val="Arial"/>
        <family val="2"/>
      </rPr>
      <t>🐾</t>
    </r>
    <r>
      <rPr>
        <sz val="9"/>
        <rFont val="Arial"/>
        <family val="2"/>
      </rPr>
      <t>wildlife</t>
    </r>
    <r>
      <rPr>
        <sz val="11"/>
        <color rgb="FFCA6664"/>
        <rFont val="Arial"/>
        <family val="2"/>
      </rPr>
      <t>❤</t>
    </r>
    <r>
      <rPr>
        <sz val="9"/>
        <color rgb="FFCA6664"/>
        <rFont val="Arial"/>
        <family val="2"/>
      </rPr>
      <t xml:space="preserve"> </t>
    </r>
  </si>
  <si>
    <r>
      <rPr>
        <b/>
        <sz val="10"/>
        <rFont val="Arial"/>
        <family val="2"/>
      </rPr>
      <t>Blue Atlas Cedar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Cedrus atlantica 'Glauca'</t>
    </r>
  </si>
  <si>
    <t>60'x40'</t>
  </si>
  <si>
    <r>
      <rPr>
        <b/>
        <sz val="10"/>
        <color theme="1"/>
        <rFont val="Arial"/>
        <family val="2"/>
      </rPr>
      <t>C</t>
    </r>
    <r>
      <rPr>
        <sz val="10"/>
        <color theme="1"/>
        <rFont val="Arial"/>
        <family val="2"/>
      </rPr>
      <t>🦌</t>
    </r>
    <r>
      <rPr>
        <sz val="9"/>
        <color theme="1"/>
        <rFont val="Arial"/>
        <family val="2"/>
      </rPr>
      <t xml:space="preserve">deer </t>
    </r>
    <r>
      <rPr>
        <b/>
        <sz val="9"/>
        <color theme="1"/>
        <rFont val="Arial"/>
        <family val="2"/>
      </rPr>
      <t>occasionally</t>
    </r>
    <r>
      <rPr>
        <sz val="9"/>
        <color theme="1"/>
        <rFont val="Arial"/>
        <family val="2"/>
      </rPr>
      <t xml:space="preserve"> harm</t>
    </r>
  </si>
  <si>
    <t>Blue Atlas Cedar emits an aromatic oil that is a natural insect deterrent</t>
  </si>
  <si>
    <r>
      <t>Bracken's Brown Beauty Magnolia</t>
    </r>
    <r>
      <rPr>
        <sz val="10"/>
        <rFont val="Arial"/>
        <family val="2"/>
      </rPr>
      <t xml:space="preserve"> (white) </t>
    </r>
    <r>
      <rPr>
        <b/>
        <sz val="10"/>
        <rFont val="Arial"/>
        <family val="2"/>
      </rPr>
      <t>💧wet sites OK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 xml:space="preserve">Magnolia grandiflora 'Bracken's Brown Beauty' </t>
    </r>
  </si>
  <si>
    <t>50'x30'</t>
  </si>
  <si>
    <r>
      <rPr>
        <sz val="12"/>
        <color rgb="FFFFFF00"/>
        <rFont val="Calibri"/>
        <family val="2"/>
        <scheme val="minor"/>
      </rPr>
      <t>☀</t>
    </r>
    <r>
      <rPr>
        <sz val="12"/>
        <color theme="9" tint="-0.249977111117893"/>
        <rFont val="Calibri"/>
        <family val="2"/>
        <scheme val="minor"/>
      </rPr>
      <t>🌤</t>
    </r>
    <r>
      <rPr>
        <sz val="10.5"/>
        <color theme="1"/>
        <rFont val="Calibri"/>
        <family val="2"/>
        <scheme val="minor"/>
      </rPr>
      <t>Sun to Part Shade</t>
    </r>
  </si>
  <si>
    <t>4.5' low supply</t>
  </si>
  <si>
    <t>Bracken's is more winter hardy ~ all Magnolia grandiflora foliage dark green, with light brown fuzzy undersides ~</t>
  </si>
  <si>
    <r>
      <rPr>
        <sz val="10"/>
        <rFont val="Arial"/>
        <family val="2"/>
      </rPr>
      <t>🐦</t>
    </r>
    <r>
      <rPr>
        <sz val="9"/>
        <rFont val="Arial"/>
        <family val="2"/>
      </rPr>
      <t>birds</t>
    </r>
    <r>
      <rPr>
        <b/>
        <sz val="11"/>
        <color rgb="FFCA6664"/>
        <rFont val="Arial"/>
        <family val="2"/>
      </rPr>
      <t>❤</t>
    </r>
  </si>
  <si>
    <r>
      <rPr>
        <b/>
        <sz val="10"/>
        <rFont val="Arial"/>
        <family val="2"/>
      </rPr>
      <t>Green Giant Arborvitae</t>
    </r>
    <r>
      <rPr>
        <i/>
        <sz val="10"/>
        <rFont val="Arial"/>
        <family val="2"/>
      </rPr>
      <t xml:space="preserve"> Thuja plicata 'Green Giant'</t>
    </r>
  </si>
  <si>
    <t>50'x16'</t>
  </si>
  <si>
    <t>30"</t>
  </si>
  <si>
    <t>G1</t>
  </si>
  <si>
    <t>G2</t>
  </si>
  <si>
    <t>3'</t>
  </si>
  <si>
    <t>5.5'</t>
  </si>
  <si>
    <t>G6</t>
  </si>
  <si>
    <t>7'</t>
  </si>
  <si>
    <t>Green Giant grows fast, keeps a narrow profile, and stays dense. Some winter bronzing, like most Arborvitae</t>
  </si>
  <si>
    <t>45'x30'</t>
  </si>
  <si>
    <t>G8</t>
  </si>
  <si>
    <r>
      <rPr>
        <b/>
        <sz val="10"/>
        <rFont val="Arial"/>
        <family val="2"/>
      </rPr>
      <t>Radicans Cryptomeria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Cryptomeria japonica 'Radicans'</t>
    </r>
  </si>
  <si>
    <t>45'x15'</t>
  </si>
  <si>
    <t>Radicans &amp; Yoshino Cryptomeria look almost identical. It is mainly a matter of width</t>
  </si>
  <si>
    <r>
      <rPr>
        <b/>
        <sz val="10"/>
        <color theme="1"/>
        <rFont val="Arial"/>
        <family val="2"/>
      </rPr>
      <t>A</t>
    </r>
    <r>
      <rPr>
        <sz val="10"/>
        <color theme="1"/>
        <rFont val="Arial"/>
        <family val="2"/>
      </rPr>
      <t>🦌</t>
    </r>
    <r>
      <rPr>
        <sz val="9"/>
        <color theme="1"/>
        <rFont val="Arial"/>
        <family val="2"/>
      </rPr>
      <t xml:space="preserve">deer </t>
    </r>
    <r>
      <rPr>
        <b/>
        <sz val="9"/>
        <color theme="1"/>
        <rFont val="Arial"/>
        <family val="2"/>
      </rPr>
      <t>rarely</t>
    </r>
    <r>
      <rPr>
        <sz val="9"/>
        <color theme="1"/>
        <rFont val="Arial"/>
        <family val="2"/>
      </rPr>
      <t xml:space="preserve"> harm</t>
    </r>
  </si>
  <si>
    <t>12"</t>
  </si>
  <si>
    <r>
      <t xml:space="preserve">Arizona Cypress </t>
    </r>
    <r>
      <rPr>
        <i/>
        <sz val="10"/>
        <rFont val="Arial"/>
        <family val="2"/>
      </rPr>
      <t xml:space="preserve">Cupressus arizonica glabra 'Carolina Sapphire' </t>
    </r>
    <r>
      <rPr>
        <b/>
        <sz val="10"/>
        <rFont val="Arial"/>
        <family val="2"/>
      </rPr>
      <t>or</t>
    </r>
    <r>
      <rPr>
        <i/>
        <sz val="10"/>
        <rFont val="Arial"/>
        <family val="2"/>
      </rPr>
      <t xml:space="preserve"> Callitropsis glabra 'Carolina Sapphire'</t>
    </r>
  </si>
  <si>
    <t>40'x20'</t>
  </si>
  <si>
    <t>24"</t>
  </si>
  <si>
    <t>5.5' low supply</t>
  </si>
  <si>
    <t>Arizona Cypress' bluish-green coloring makes it a standout</t>
  </si>
  <si>
    <r>
      <t>Blue Steel Arizona Cypress</t>
    </r>
    <r>
      <rPr>
        <i/>
        <sz val="10"/>
        <rFont val="Arial"/>
        <family val="2"/>
      </rPr>
      <t xml:space="preserve"> Cupressus arizonica 'Blue Steel'</t>
    </r>
  </si>
  <si>
    <t>30'x20'</t>
  </si>
  <si>
    <t>Blue Steel is a new cultivar with a vibrant silver-blue color</t>
  </si>
  <si>
    <t>30'x15'</t>
  </si>
  <si>
    <t/>
  </si>
  <si>
    <r>
      <rPr>
        <b/>
        <sz val="10"/>
        <rFont val="Arial"/>
        <family val="2"/>
      </rPr>
      <t>Little Gem Magnolia</t>
    </r>
    <r>
      <rPr>
        <sz val="10"/>
        <rFont val="Arial"/>
        <family val="2"/>
      </rPr>
      <t xml:space="preserve"> (white)</t>
    </r>
    <r>
      <rPr>
        <i/>
        <sz val="10"/>
        <rFont val="Arial"/>
        <family val="2"/>
      </rPr>
      <t xml:space="preserve">  </t>
    </r>
    <r>
      <rPr>
        <b/>
        <sz val="10"/>
        <rFont val="Arial"/>
        <family val="2"/>
      </rPr>
      <t>💧wet sites OK</t>
    </r>
    <r>
      <rPr>
        <i/>
        <sz val="10"/>
        <rFont val="Arial"/>
        <family val="2"/>
      </rPr>
      <t xml:space="preserve">  Magnolia grandiflora 'Little Gem'</t>
    </r>
  </si>
  <si>
    <t>5' low supply</t>
  </si>
  <si>
    <t>10'</t>
  </si>
  <si>
    <t>Little Gem is not as little as people might think. Fragrant</t>
  </si>
  <si>
    <t>Sweet Tea is semi-evergreen ~ may lose foliage temporarily in colder winters. Introduced by NCSU</t>
  </si>
  <si>
    <r>
      <rPr>
        <sz val="10"/>
        <rFont val="Arial"/>
        <family val="2"/>
      </rPr>
      <t>🦋</t>
    </r>
    <r>
      <rPr>
        <sz val="9"/>
        <rFont val="Arial"/>
        <family val="2"/>
      </rPr>
      <t>butterflies</t>
    </r>
    <r>
      <rPr>
        <b/>
        <sz val="11"/>
        <color rgb="FFCA6664"/>
        <rFont val="Arial"/>
        <family val="2"/>
      </rPr>
      <t>❤</t>
    </r>
  </si>
  <si>
    <r>
      <rPr>
        <b/>
        <sz val="10"/>
        <rFont val="Arial"/>
        <family val="2"/>
      </rPr>
      <t>Foster Holly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Ilex x attenuata 'Fosteri'</t>
    </r>
  </si>
  <si>
    <t>30'x10'</t>
  </si>
  <si>
    <t>2.25'</t>
  </si>
  <si>
    <t>3.5'</t>
  </si>
  <si>
    <t>Foster is a cross of Dahoon &amp; American Holly (both hard to find). No pollinator needed for fruit</t>
  </si>
  <si>
    <r>
      <rPr>
        <sz val="10"/>
        <color theme="1"/>
        <rFont val="Arial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10"/>
        <color rgb="FF0C7A86"/>
        <rFont val="Arial"/>
        <family val="2"/>
      </rPr>
      <t>🐾</t>
    </r>
    <r>
      <rPr>
        <sz val="9"/>
        <color theme="1"/>
        <rFont val="Arial"/>
        <family val="2"/>
      </rPr>
      <t>wildlife</t>
    </r>
    <r>
      <rPr>
        <b/>
        <sz val="11"/>
        <color rgb="FFCA6664"/>
        <rFont val="Arial"/>
        <family val="2"/>
      </rPr>
      <t>❤</t>
    </r>
  </si>
  <si>
    <r>
      <t>Kay Parris Magnolia</t>
    </r>
    <r>
      <rPr>
        <sz val="10"/>
        <rFont val="Arial"/>
        <family val="2"/>
      </rPr>
      <t xml:space="preserve"> (white)  </t>
    </r>
    <r>
      <rPr>
        <b/>
        <sz val="10"/>
        <rFont val="Arial"/>
        <family val="2"/>
      </rPr>
      <t>💧wet sites OK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Magnolia grandiflora 'Kay Parris'</t>
    </r>
  </si>
  <si>
    <r>
      <rPr>
        <sz val="12"/>
        <color rgb="FFFFFF00"/>
        <rFont val="Calibri"/>
        <family val="2"/>
        <scheme val="minor"/>
      </rPr>
      <t>☀</t>
    </r>
    <r>
      <rPr>
        <sz val="12"/>
        <color rgb="FFE26B0A"/>
        <rFont val="Calibri"/>
        <family val="2"/>
        <scheme val="minor"/>
      </rPr>
      <t>🌤</t>
    </r>
    <r>
      <rPr>
        <sz val="10.5"/>
        <color theme="1"/>
        <rFont val="Calibri"/>
        <family val="2"/>
        <scheme val="minor"/>
      </rPr>
      <t>Sun to Part Shade</t>
    </r>
  </si>
  <si>
    <t>Kay Parris is  sturdier under snow loads than Little Gem. Fragrant</t>
  </si>
  <si>
    <t>go to top</t>
  </si>
  <si>
    <t>25'x15'</t>
  </si>
  <si>
    <r>
      <rPr>
        <sz val="12"/>
        <color rgb="FFFFFF11"/>
        <rFont val="Calibri"/>
        <family val="2"/>
        <scheme val="minor"/>
      </rPr>
      <t>☀</t>
    </r>
    <r>
      <rPr>
        <sz val="12"/>
        <color theme="5" tint="-0.249977111117893"/>
        <rFont val="Calibri"/>
        <family val="2"/>
        <scheme val="minor"/>
      </rPr>
      <t>☁</t>
    </r>
    <r>
      <rPr>
        <sz val="10.5"/>
        <color theme="1"/>
        <rFont val="Calibri"/>
        <family val="2"/>
        <scheme val="minor"/>
      </rPr>
      <t>Sun to Shade</t>
    </r>
  </si>
  <si>
    <r>
      <rPr>
        <b/>
        <sz val="10"/>
        <color theme="1"/>
        <rFont val="Arial"/>
        <family val="2"/>
      </rPr>
      <t>A</t>
    </r>
    <r>
      <rPr>
        <sz val="10"/>
        <color theme="1"/>
        <rFont val="Arial"/>
        <family val="2"/>
      </rPr>
      <t>🦌</t>
    </r>
    <r>
      <rPr>
        <sz val="9"/>
        <color theme="1"/>
        <rFont val="Arial"/>
        <family val="2"/>
      </rPr>
      <t>deer</t>
    </r>
    <r>
      <rPr>
        <b/>
        <sz val="9"/>
        <color theme="1"/>
        <rFont val="Arial"/>
        <family val="2"/>
      </rPr>
      <t xml:space="preserve"> rarely</t>
    </r>
    <r>
      <rPr>
        <sz val="9"/>
        <color theme="1"/>
        <rFont val="Arial"/>
        <family val="2"/>
      </rPr>
      <t xml:space="preserve"> harm</t>
    </r>
  </si>
  <si>
    <r>
      <rPr>
        <b/>
        <sz val="10"/>
        <rFont val="Arial"/>
        <family val="2"/>
      </rPr>
      <t>Nellie Stevens Holly</t>
    </r>
    <r>
      <rPr>
        <i/>
        <sz val="10"/>
        <rFont val="Arial"/>
        <family val="2"/>
      </rPr>
      <t xml:space="preserve"> Ilex x 'Nellie R. Stevens'</t>
    </r>
  </si>
  <si>
    <r>
      <rPr>
        <b/>
        <sz val="10"/>
        <color theme="1"/>
        <rFont val="Arial"/>
        <family val="2"/>
      </rPr>
      <t>C</t>
    </r>
    <r>
      <rPr>
        <sz val="10"/>
        <color theme="1"/>
        <rFont val="Arial"/>
        <family val="2"/>
      </rPr>
      <t>🦌</t>
    </r>
    <r>
      <rPr>
        <b/>
        <sz val="9"/>
        <color theme="1"/>
        <rFont val="Arial"/>
        <family val="2"/>
      </rPr>
      <t>occasionally</t>
    </r>
    <r>
      <rPr>
        <sz val="9"/>
        <color theme="1"/>
        <rFont val="Arial"/>
        <family val="2"/>
      </rPr>
      <t xml:space="preserve"> harm</t>
    </r>
  </si>
  <si>
    <t>Nellies are all female, but able to self-pollinate. Plant with an Ilex cornuta male to increase berry set</t>
  </si>
  <si>
    <r>
      <rPr>
        <sz val="10"/>
        <color theme="1"/>
        <rFont val="Arial"/>
        <family val="2"/>
      </rPr>
      <t>🐦</t>
    </r>
    <r>
      <rPr>
        <sz val="9"/>
        <color theme="1"/>
        <rFont val="Arial"/>
        <family val="2"/>
      </rPr>
      <t>birds</t>
    </r>
    <r>
      <rPr>
        <sz val="10"/>
        <color theme="1"/>
        <rFont val="Arial"/>
        <family val="2"/>
      </rPr>
      <t xml:space="preserve"> </t>
    </r>
    <r>
      <rPr>
        <sz val="10"/>
        <color rgb="FF0C7A86"/>
        <rFont val="Arial"/>
        <family val="2"/>
      </rPr>
      <t>🐾</t>
    </r>
    <r>
      <rPr>
        <sz val="9"/>
        <color theme="1"/>
        <rFont val="Arial"/>
        <family val="2"/>
      </rPr>
      <t>wildlife</t>
    </r>
    <r>
      <rPr>
        <b/>
        <sz val="11"/>
        <color rgb="FFCA6664"/>
        <rFont val="Arial"/>
        <family val="2"/>
      </rPr>
      <t>❤</t>
    </r>
  </si>
  <si>
    <r>
      <rPr>
        <b/>
        <sz val="10"/>
        <rFont val="Arial"/>
        <family val="2"/>
      </rPr>
      <t>Chindo Viburnum</t>
    </r>
    <r>
      <rPr>
        <sz val="10"/>
        <rFont val="Arial"/>
        <family val="2"/>
      </rPr>
      <t xml:space="preserve"> (white) </t>
    </r>
    <r>
      <rPr>
        <i/>
        <sz val="10"/>
        <rFont val="Arial"/>
        <family val="2"/>
      </rPr>
      <t>Viburnum awabuki 'Chindo'</t>
    </r>
  </si>
  <si>
    <t>25'x12'</t>
  </si>
  <si>
    <t>15"</t>
  </si>
  <si>
    <t xml:space="preserve"> ~ ~ ~</t>
  </si>
  <si>
    <t>36"</t>
  </si>
  <si>
    <t>Chindo will grow fairly dense in part shade. May be 'stringy' for awhile in shade. Slow to start, then fast grower</t>
  </si>
  <si>
    <r>
      <rPr>
        <b/>
        <sz val="10"/>
        <color theme="1"/>
        <rFont val="Arial"/>
        <family val="2"/>
      </rPr>
      <t>B</t>
    </r>
    <r>
      <rPr>
        <sz val="10"/>
        <color theme="1"/>
        <rFont val="Arial"/>
        <family val="2"/>
      </rPr>
      <t xml:space="preserve">🦌deer </t>
    </r>
    <r>
      <rPr>
        <b/>
        <sz val="10"/>
        <color theme="1"/>
        <rFont val="Arial"/>
        <family val="2"/>
      </rPr>
      <t>seldom</t>
    </r>
    <r>
      <rPr>
        <sz val="10"/>
        <color theme="1"/>
        <rFont val="Arial"/>
        <family val="2"/>
      </rPr>
      <t xml:space="preserve"> harm</t>
    </r>
  </si>
  <si>
    <t>Teddy Bear is named for it's larger, rounder foliage, like a big soft Teddy Bear. Fragrant</t>
  </si>
  <si>
    <r>
      <rPr>
        <b/>
        <sz val="10"/>
        <rFont val="Arial"/>
        <family val="2"/>
      </rPr>
      <t>Windmill Palm</t>
    </r>
    <r>
      <rPr>
        <i/>
        <sz val="10"/>
        <rFont val="Arial"/>
        <family val="2"/>
      </rPr>
      <t xml:space="preserve"> Trachycarpus fortunei</t>
    </r>
  </si>
  <si>
    <t>25'x10'</t>
  </si>
  <si>
    <r>
      <rPr>
        <sz val="12"/>
        <color theme="9" tint="-0.249977111117893"/>
        <rFont val="Calibri"/>
        <family val="2"/>
        <scheme val="minor"/>
      </rPr>
      <t>🌤</t>
    </r>
    <r>
      <rPr>
        <sz val="10.5"/>
        <color theme="1"/>
        <rFont val="Calibri"/>
        <family val="2"/>
        <scheme val="minor"/>
      </rPr>
      <t>Part Shade</t>
    </r>
  </si>
  <si>
    <t>1.5'</t>
  </si>
  <si>
    <t>Windmill is the sturdiest of palms for our zone, able to withstand low temperatures and snow loads</t>
  </si>
  <si>
    <r>
      <t>Brodie Juniper</t>
    </r>
    <r>
      <rPr>
        <i/>
        <sz val="10"/>
        <rFont val="Arial"/>
        <family val="2"/>
      </rPr>
      <t xml:space="preserve"> Juniperus virginiana 'Brodie'</t>
    </r>
  </si>
  <si>
    <t>25'x8'</t>
  </si>
  <si>
    <r>
      <rPr>
        <b/>
        <sz val="10"/>
        <color theme="1"/>
        <rFont val="Arial"/>
        <family val="2"/>
      </rPr>
      <t>B</t>
    </r>
    <r>
      <rPr>
        <sz val="10"/>
        <color theme="1"/>
        <rFont val="Arial"/>
        <family val="2"/>
      </rPr>
      <t>🦌</t>
    </r>
    <r>
      <rPr>
        <sz val="9"/>
        <color theme="1"/>
        <rFont val="Arial"/>
        <family val="2"/>
      </rPr>
      <t>s</t>
    </r>
    <r>
      <rPr>
        <b/>
        <sz val="9"/>
        <color theme="1"/>
        <rFont val="Arial"/>
        <family val="2"/>
      </rPr>
      <t>eldom</t>
    </r>
    <r>
      <rPr>
        <sz val="9"/>
        <color theme="1"/>
        <rFont val="Arial"/>
        <family val="2"/>
      </rPr>
      <t xml:space="preserve"> harm</t>
    </r>
  </si>
  <si>
    <t>6.5' spiral topiary</t>
  </si>
  <si>
    <t>7.5' spiral topiary</t>
  </si>
  <si>
    <t>Brodie is tough and drought tolerant like it's parent, the Eastern Red Cedar</t>
  </si>
  <si>
    <r>
      <rPr>
        <b/>
        <sz val="10"/>
        <rFont val="Arial"/>
        <family val="2"/>
      </rPr>
      <t>Little Sprout Arborvitae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Thuja plicata 'Little Sprout'</t>
    </r>
  </si>
  <si>
    <t>28"</t>
  </si>
  <si>
    <t>Little Sprout is a new cultivar, so little data. Compact Green Giant. Ultimate size is a guess. Images &amp; facts say little</t>
  </si>
  <si>
    <r>
      <rPr>
        <b/>
        <sz val="10"/>
        <rFont val="Arial"/>
        <family val="2"/>
      </rPr>
      <t xml:space="preserve">American Pillar Arborvitae  💧wet sites OK </t>
    </r>
    <r>
      <rPr>
        <i/>
        <sz val="10"/>
        <rFont val="Arial"/>
        <family val="2"/>
      </rPr>
      <t xml:space="preserve"> Thuja occidentalis "American Pillar' USPP20,209</t>
    </r>
  </si>
  <si>
    <t>25'x5'</t>
  </si>
  <si>
    <r>
      <rPr>
        <b/>
        <sz val="10"/>
        <color theme="1"/>
        <rFont val="Arial"/>
        <family val="2"/>
      </rPr>
      <t>D</t>
    </r>
    <r>
      <rPr>
        <sz val="10"/>
        <color theme="1"/>
        <rFont val="Arial"/>
        <family val="2"/>
      </rPr>
      <t>🦌</t>
    </r>
    <r>
      <rPr>
        <sz val="9"/>
        <color theme="1"/>
        <rFont val="Arial"/>
        <family val="2"/>
      </rPr>
      <t xml:space="preserve">deer </t>
    </r>
    <r>
      <rPr>
        <b/>
        <sz val="9"/>
        <color theme="1"/>
        <rFont val="Arial"/>
        <family val="2"/>
      </rPr>
      <t>frequently</t>
    </r>
    <r>
      <rPr>
        <sz val="9"/>
        <color theme="1"/>
        <rFont val="Arial"/>
        <family val="2"/>
      </rPr>
      <t xml:space="preserve"> harm</t>
    </r>
  </si>
  <si>
    <t>American Pillar is a very fast growing, with a stronger root system than similar narrow plants</t>
  </si>
  <si>
    <t>20'x20'</t>
  </si>
  <si>
    <t>21"</t>
  </si>
  <si>
    <t>Wax Myrtle is a fast grower that tolerates poor conditions. Semi-evergreen in winter: may get a little see-through</t>
  </si>
  <si>
    <r>
      <rPr>
        <sz val="10"/>
        <rFont val="Arial"/>
        <family val="2"/>
      </rPr>
      <t>🐦</t>
    </r>
    <r>
      <rPr>
        <sz val="9"/>
        <rFont val="Arial"/>
        <family val="2"/>
      </rPr>
      <t xml:space="preserve">birds </t>
    </r>
    <r>
      <rPr>
        <sz val="10"/>
        <rFont val="Arial"/>
        <family val="2"/>
      </rPr>
      <t>🦋</t>
    </r>
    <r>
      <rPr>
        <sz val="9"/>
        <rFont val="Arial"/>
        <family val="2"/>
      </rPr>
      <t>butterflies</t>
    </r>
    <r>
      <rPr>
        <b/>
        <sz val="11"/>
        <color rgb="FFCA6664"/>
        <rFont val="Arial"/>
        <family val="2"/>
      </rPr>
      <t>❤</t>
    </r>
  </si>
  <si>
    <r>
      <rPr>
        <b/>
        <sz val="10"/>
        <rFont val="Arial"/>
        <family val="2"/>
      </rPr>
      <t>Fortune's Osmanthus</t>
    </r>
    <r>
      <rPr>
        <sz val="10"/>
        <rFont val="Arial"/>
        <family val="2"/>
      </rPr>
      <t xml:space="preserve"> (white) </t>
    </r>
    <r>
      <rPr>
        <i/>
        <sz val="10"/>
        <rFont val="Arial"/>
        <family val="2"/>
      </rPr>
      <t>Osmanthus x fortunei</t>
    </r>
  </si>
  <si>
    <t>20'x18'</t>
  </si>
  <si>
    <t>Fortune's is very aromatic in late summer. Toothed foliage. Drought and shade tolerant</t>
  </si>
  <si>
    <r>
      <rPr>
        <b/>
        <sz val="10"/>
        <rFont val="Arial"/>
        <family val="2"/>
      </rPr>
      <t>Fragrant Tea Olive</t>
    </r>
    <r>
      <rPr>
        <sz val="10"/>
        <rFont val="Arial"/>
        <family val="2"/>
      </rPr>
      <t xml:space="preserve"> (white)</t>
    </r>
    <r>
      <rPr>
        <i/>
        <sz val="10"/>
        <rFont val="Arial"/>
        <family val="2"/>
      </rPr>
      <t xml:space="preserve"> Osmanthus fragrans</t>
    </r>
  </si>
  <si>
    <t>20'x15'</t>
  </si>
  <si>
    <t>Fragrant Tea Olive is very aromatic, starting with blooms in late winter, then sporadically over summer</t>
  </si>
  <si>
    <r>
      <rPr>
        <b/>
        <sz val="10"/>
        <rFont val="Arial"/>
        <family val="2"/>
      </rPr>
      <t>Oakland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Holly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Ilex x 'Magland' PP14417</t>
    </r>
  </si>
  <si>
    <t>2'</t>
  </si>
  <si>
    <t>Oakland has very oak leaf-shaped leaves. 'Perfect' flowers are both male &amp; female &amp; able to pollinate other Hollies</t>
  </si>
  <si>
    <t>Robin Holly foliage emerges maroon, then turns dark green. All female, it requires a nearby male plant to set berries</t>
  </si>
  <si>
    <r>
      <t>Empress of China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Dogwood</t>
    </r>
    <r>
      <rPr>
        <sz val="10"/>
        <rFont val="Arial"/>
        <family val="2"/>
      </rPr>
      <t xml:space="preserve"> (white)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Cornus kousa elliptica OR Cornus angustata 'Elsbry' PP14537</t>
    </r>
  </si>
  <si>
    <r>
      <rPr>
        <sz val="12"/>
        <color theme="9" tint="-0.249977111117893"/>
        <rFont val="Calibri"/>
        <family val="2"/>
        <scheme val="minor"/>
      </rPr>
      <t>🌤</t>
    </r>
    <r>
      <rPr>
        <sz val="12"/>
        <color theme="5" tint="-0.249977111117893"/>
        <rFont val="Calibri"/>
        <family val="2"/>
        <scheme val="minor"/>
      </rPr>
      <t>☁</t>
    </r>
    <r>
      <rPr>
        <sz val="10.5"/>
        <color theme="1"/>
        <rFont val="Calibri"/>
        <family val="2"/>
        <scheme val="minor"/>
      </rPr>
      <t>Part Sun to Shade</t>
    </r>
  </si>
  <si>
    <t>Empress is a late bloomer, often into June. May or may not retain foliage through winter</t>
  </si>
  <si>
    <r>
      <rPr>
        <sz val="10"/>
        <rFont val="Arial"/>
        <family val="2"/>
      </rPr>
      <t>🐦</t>
    </r>
    <r>
      <rPr>
        <sz val="9"/>
        <rFont val="Arial"/>
        <family val="2"/>
      </rPr>
      <t xml:space="preserve">birds </t>
    </r>
    <r>
      <rPr>
        <sz val="10"/>
        <rFont val="Arial"/>
        <family val="2"/>
      </rPr>
      <t>🦋</t>
    </r>
    <r>
      <rPr>
        <sz val="9"/>
        <rFont val="Arial"/>
        <family val="2"/>
      </rPr>
      <t>butterflies</t>
    </r>
    <r>
      <rPr>
        <b/>
        <sz val="11"/>
        <color theme="5" tint="-0.249977111117893"/>
        <rFont val="Arial"/>
        <family val="2"/>
      </rPr>
      <t>❤</t>
    </r>
  </si>
  <si>
    <r>
      <t>Acadiana Holly</t>
    </r>
    <r>
      <rPr>
        <i/>
        <sz val="10"/>
        <rFont val="Arial"/>
        <family val="2"/>
      </rPr>
      <t xml:space="preserve"> Ilex x 'Magiana'™ PP#14418</t>
    </r>
  </si>
  <si>
    <t>20'x12'</t>
  </si>
  <si>
    <t>Acadiana foliage is dark green and very tightly brandhed. Heavy orange-red fruit set. Self-pollinating</t>
  </si>
  <si>
    <t>20'x10'</t>
  </si>
  <si>
    <t>1.25'</t>
  </si>
  <si>
    <r>
      <rPr>
        <b/>
        <sz val="10"/>
        <rFont val="Arial"/>
        <family val="2"/>
      </rPr>
      <t>Oak Leaf</t>
    </r>
    <r>
      <rPr>
        <vertAlign val="superscript"/>
        <sz val="10"/>
        <rFont val="Arial"/>
        <family val="2"/>
      </rPr>
      <t>™</t>
    </r>
    <r>
      <rPr>
        <b/>
        <sz val="10"/>
        <rFont val="Arial"/>
        <family val="2"/>
      </rPr>
      <t xml:space="preserve"> Holly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Ilex x 'Conaf</t>
    </r>
  </si>
  <si>
    <t>20'x8'</t>
  </si>
  <si>
    <t>Oak Leaf self-pollinates, so no male is required. Foliage resembles Oak. Pyramidal shape</t>
  </si>
  <si>
    <r>
      <t>Spartan Juniper</t>
    </r>
    <r>
      <rPr>
        <i/>
        <sz val="10"/>
        <rFont val="Arial"/>
        <family val="2"/>
      </rPr>
      <t xml:space="preserve"> Juniperus chinensis 'Spartan'</t>
    </r>
  </si>
  <si>
    <t>20'x6'</t>
  </si>
  <si>
    <t>Spartan maintains a dense, narrow shape without shearing</t>
  </si>
  <si>
    <t>20'x5'</t>
  </si>
  <si>
    <t>Bonafide is a VERY new plant, with no Images to see, nor an accurate idea of ultimate height</t>
  </si>
  <si>
    <r>
      <rPr>
        <b/>
        <sz val="10"/>
        <rFont val="Arial"/>
        <family val="2"/>
      </rPr>
      <t>DeGroot's Spire Arborvitae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Thuja occidentalis 'DeGroot's Spire'</t>
    </r>
  </si>
  <si>
    <r>
      <t xml:space="preserve">Taylor Juniper </t>
    </r>
    <r>
      <rPr>
        <i/>
        <sz val="10"/>
        <rFont val="Arial"/>
        <family val="2"/>
      </rPr>
      <t>Juniperus virginiana 'Taylor'</t>
    </r>
  </si>
  <si>
    <t>20'x4'</t>
  </si>
  <si>
    <t>Taylor is a great substitute for Italian Cypress, with stronger roots. Silver blue-green foliage bronzes in winter</t>
  </si>
  <si>
    <t>18'x5'</t>
  </si>
  <si>
    <t>Forever Goldy maintains year-round yellow color better than any other similar Arborvitae</t>
  </si>
  <si>
    <r>
      <rPr>
        <b/>
        <sz val="10"/>
        <rFont val="Arial"/>
        <family val="2"/>
      </rPr>
      <t>Wavy Leaf Privet</t>
    </r>
    <r>
      <rPr>
        <sz val="10"/>
        <rFont val="Arial"/>
        <family val="2"/>
      </rPr>
      <t xml:space="preserve"> (white) </t>
    </r>
    <r>
      <rPr>
        <i/>
        <sz val="10"/>
        <rFont val="Arial"/>
        <family val="2"/>
      </rPr>
      <t>Ligustrum japonicum 'Recurvifolium'</t>
    </r>
  </si>
  <si>
    <t>15'x15'</t>
  </si>
  <si>
    <t>38"</t>
  </si>
  <si>
    <t>32"</t>
  </si>
  <si>
    <r>
      <rPr>
        <b/>
        <sz val="10"/>
        <rFont val="Arial"/>
        <family val="2"/>
      </rPr>
      <t>Wax Leaf Privet</t>
    </r>
    <r>
      <rPr>
        <sz val="10"/>
        <rFont val="Arial"/>
        <family val="2"/>
      </rPr>
      <t xml:space="preserve"> (white) </t>
    </r>
    <r>
      <rPr>
        <i/>
        <sz val="10"/>
        <rFont val="Arial"/>
        <family val="2"/>
      </rPr>
      <t>Ligustrum japonicum</t>
    </r>
  </si>
  <si>
    <t>Wavy Leaf &amp; Wax Leaf grow a little wild-looking, but take a hedge well</t>
  </si>
  <si>
    <r>
      <t>Burford Holly</t>
    </r>
    <r>
      <rPr>
        <sz val="10"/>
        <rFont val="Arial"/>
        <family val="2"/>
      </rPr>
      <t xml:space="preserve"> (white)</t>
    </r>
    <r>
      <rPr>
        <i/>
        <sz val="10"/>
        <rFont val="Arial"/>
        <family val="2"/>
      </rPr>
      <t xml:space="preserve"> Ilex cornuta 'Burfordii'</t>
    </r>
  </si>
  <si>
    <t>15'x10'</t>
  </si>
  <si>
    <t>6'x5'wide MSTF</t>
  </si>
  <si>
    <r>
      <rPr>
        <b/>
        <sz val="9"/>
        <color theme="1"/>
        <rFont val="Arial"/>
        <family val="2"/>
      </rPr>
      <t>MSTF</t>
    </r>
    <r>
      <rPr>
        <sz val="9"/>
        <color theme="1"/>
        <rFont val="Arial"/>
        <family val="2"/>
      </rPr>
      <t xml:space="preserve"> </t>
    </r>
    <r>
      <rPr>
        <i/>
        <sz val="9"/>
        <color theme="1"/>
        <rFont val="Arial"/>
        <family val="2"/>
      </rPr>
      <t>= Multi-Stem Tree Form</t>
    </r>
  </si>
  <si>
    <t>Burford often confused with Dwarf Burford. Both have bright red winter berry set</t>
  </si>
  <si>
    <r>
      <t>Hollywood Juniper</t>
    </r>
    <r>
      <rPr>
        <i/>
        <sz val="10"/>
        <rFont val="Arial"/>
        <family val="2"/>
      </rPr>
      <t xml:space="preserve"> Juniperus chinensis 'Kaizuka' or 'Torulosa'</t>
    </r>
  </si>
  <si>
    <t>Hollywood is native to Japan, but named due to heavy planting in Los Angeles area</t>
  </si>
  <si>
    <r>
      <t xml:space="preserve">Virginian Arborvitae </t>
    </r>
    <r>
      <rPr>
        <i/>
        <sz val="10"/>
        <rFont val="Arial"/>
        <family val="2"/>
      </rPr>
      <t>Thuja plicata x standishii 'Virginian'™</t>
    </r>
  </si>
  <si>
    <t>15'x7'</t>
  </si>
  <si>
    <t>6'</t>
  </si>
  <si>
    <t>Virginian resembles a miniature Green Giant Arborvitae, but not as fast growing. Bronzes heavily in winter</t>
  </si>
  <si>
    <r>
      <t>Emerald Arborvitae</t>
    </r>
    <r>
      <rPr>
        <i/>
        <sz val="10"/>
        <rFont val="Arial"/>
        <family val="2"/>
      </rPr>
      <t xml:space="preserve"> Thuja occidentalis ’Smaragd’</t>
    </r>
  </si>
  <si>
    <t>15'x6'</t>
  </si>
  <si>
    <t>40"</t>
  </si>
  <si>
    <t>Emerald is named for it's emerald green color, year-round. Less winter bronzing than other Arborvitae</t>
  </si>
  <si>
    <r>
      <t>Needlepoint Holly</t>
    </r>
    <r>
      <rPr>
        <i/>
        <sz val="10"/>
        <rFont val="Arial"/>
        <family val="2"/>
      </rPr>
      <t xml:space="preserve"> Ilex cornuta 'Needlepoint'</t>
    </r>
  </si>
  <si>
    <t>14'x14'</t>
  </si>
  <si>
    <t>Needlepoint is named for the prickly foliage, not the overall form. The most prolific berry producer. Self-pollinates</t>
  </si>
  <si>
    <t>12'x9'</t>
  </si>
  <si>
    <t>🐇hate</t>
  </si>
  <si>
    <r>
      <rPr>
        <b/>
        <sz val="10"/>
        <rFont val="Arial"/>
        <family val="2"/>
      </rPr>
      <t>Japanese Cleyera</t>
    </r>
    <r>
      <rPr>
        <sz val="10"/>
        <rFont val="Arial"/>
        <family val="2"/>
      </rPr>
      <t xml:space="preserve"> (white) </t>
    </r>
    <r>
      <rPr>
        <i/>
        <sz val="10"/>
        <rFont val="Arial"/>
        <family val="2"/>
      </rPr>
      <t>Ternstroemia gymnanthera</t>
    </r>
  </si>
  <si>
    <t>34"</t>
  </si>
  <si>
    <t>Cleyera foliage emerges deep red, turning blue-green, then burgundy fall. Mild fragrance, small fruit</t>
  </si>
  <si>
    <r>
      <t>Blue Point Juniper</t>
    </r>
    <r>
      <rPr>
        <i/>
        <sz val="10"/>
        <rFont val="Arial"/>
        <family val="2"/>
      </rPr>
      <t xml:space="preserve"> Juniperus chinensis 'Blue Point'</t>
    </r>
  </si>
  <si>
    <t>12'x8'</t>
  </si>
  <si>
    <t>Blue Point maintains a dense, pyramidal form, with very little pruning</t>
  </si>
  <si>
    <r>
      <t>Emerald Colonnade Holly</t>
    </r>
    <r>
      <rPr>
        <i/>
        <sz val="10"/>
        <rFont val="Arial"/>
        <family val="2"/>
      </rPr>
      <t xml:space="preserve"> Ilex x 'Emerald Colonnade'</t>
    </r>
  </si>
  <si>
    <t>4.5' 2-ball topiary</t>
  </si>
  <si>
    <t>Emerald Colonnade is dense and bright, with no berries. All males, they can pollinate female Hollies</t>
  </si>
  <si>
    <r>
      <rPr>
        <b/>
        <sz val="10"/>
        <rFont val="Arial"/>
        <family val="2"/>
      </rPr>
      <t>Christmas Jewel Holly</t>
    </r>
    <r>
      <rPr>
        <i/>
        <sz val="10"/>
        <rFont val="Arial"/>
        <family val="2"/>
      </rPr>
      <t xml:space="preserve"> Ilex x 'HL10-90 Christmas Jewel'</t>
    </r>
  </si>
  <si>
    <t>10'x8'</t>
  </si>
  <si>
    <t>Christmas Jewel has painless blunt spines. Self-pollinating female produces large berries by Christmas</t>
  </si>
  <si>
    <r>
      <rPr>
        <b/>
        <sz val="10"/>
        <rFont val="Arial"/>
        <family val="2"/>
      </rPr>
      <t>Upright Japanese Plum Yew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Cephalotaxus harringtonia 'Fastigiata'</t>
    </r>
  </si>
  <si>
    <r>
      <rPr>
        <sz val="12"/>
        <color theme="9" tint="-0.249977111117893"/>
        <rFont val="Calibri"/>
        <family val="2"/>
        <scheme val="minor"/>
      </rPr>
      <t>🌤</t>
    </r>
    <r>
      <rPr>
        <sz val="12"/>
        <color theme="5" tint="-0.249977111117893"/>
        <rFont val="Calibri"/>
        <family val="2"/>
        <scheme val="minor"/>
      </rPr>
      <t>☁</t>
    </r>
    <r>
      <rPr>
        <sz val="10.5"/>
        <color theme="1"/>
        <rFont val="Calibri"/>
        <family val="2"/>
        <scheme val="minor"/>
      </rPr>
      <t>Part Shade to Shade</t>
    </r>
  </si>
  <si>
    <t>low supply</t>
  </si>
  <si>
    <t>Plum Yew females can produce edible plum-like fruit if a male pollinator is present</t>
  </si>
  <si>
    <r>
      <t xml:space="preserve">Gyokuryu Japanese Cedar </t>
    </r>
    <r>
      <rPr>
        <i/>
        <sz val="10"/>
        <rFont val="Arial"/>
        <family val="2"/>
      </rPr>
      <t>Cryptomeria japonica 'Gyokuryu'</t>
    </r>
  </si>
  <si>
    <t>10'x7'</t>
  </si>
  <si>
    <t>Gyokuryu does not bronze in winter</t>
  </si>
  <si>
    <r>
      <t xml:space="preserve">Black Dragon Cryptomeria </t>
    </r>
    <r>
      <rPr>
        <i/>
        <sz val="10"/>
        <rFont val="Arial"/>
        <family val="2"/>
      </rPr>
      <t>Cryptomeria japonica 'Black Dragon'</t>
    </r>
  </si>
  <si>
    <t>10'x6'</t>
  </si>
  <si>
    <t>Black Dragon foliage emerges bright green, then changes from dark green to near black in winter</t>
  </si>
  <si>
    <r>
      <rPr>
        <b/>
        <sz val="10"/>
        <rFont val="Arial"/>
        <family val="2"/>
      </rPr>
      <t>Maki Japanese Yew</t>
    </r>
    <r>
      <rPr>
        <i/>
        <sz val="10"/>
        <rFont val="Arial"/>
        <family val="2"/>
      </rPr>
      <t xml:space="preserve"> Podocarpus macrophyllus 'Maki'</t>
    </r>
  </si>
  <si>
    <t>10'x5'</t>
  </si>
  <si>
    <t>Maki is dense, upright, and drought tolerant. Needle-like foliage is fragrant when crushed</t>
  </si>
  <si>
    <r>
      <rPr>
        <b/>
        <sz val="10"/>
        <rFont val="Arial"/>
        <family val="2"/>
      </rPr>
      <t>Miss Patricia Holly</t>
    </r>
    <r>
      <rPr>
        <i/>
        <sz val="10"/>
        <rFont val="Arial"/>
        <family val="2"/>
      </rPr>
      <t xml:space="preserve"> Ilex x latifolia 'Miss Patricia'</t>
    </r>
  </si>
  <si>
    <t>Miss Patricia glossy green foliage grows densly. Produces heavy red berry set</t>
  </si>
  <si>
    <r>
      <t xml:space="preserve">Yellow Ribbon Arborvitae </t>
    </r>
    <r>
      <rPr>
        <i/>
        <sz val="10"/>
        <rFont val="Arial"/>
        <family val="2"/>
      </rPr>
      <t>Thuja occidentalis 'Yellow Ribbon'</t>
    </r>
  </si>
  <si>
    <t>10'x4'</t>
  </si>
  <si>
    <t>Yellow Ribbon foliage emerges yellow-orange in spring, than matures to medium green</t>
  </si>
  <si>
    <r>
      <rPr>
        <b/>
        <sz val="10"/>
        <rFont val="Arial"/>
        <family val="2"/>
      </rPr>
      <t>Dwarf Palmetto Palm</t>
    </r>
    <r>
      <rPr>
        <i/>
        <sz val="10"/>
        <rFont val="Arial"/>
        <family val="2"/>
      </rPr>
      <t xml:space="preserve"> Sabal minor</t>
    </r>
    <r>
      <rPr>
        <sz val="10"/>
        <rFont val="Arial"/>
        <family val="2"/>
      </rPr>
      <t xml:space="preserve">  </t>
    </r>
    <r>
      <rPr>
        <b/>
        <sz val="10"/>
        <rFont val="Arial"/>
        <family val="2"/>
      </rPr>
      <t>💧wet sites OK</t>
    </r>
  </si>
  <si>
    <t>8'x8'</t>
  </si>
  <si>
    <t>Dwarf Palmetto is trunkless (except when grown in standing water), with leaf stalks emerging from ground</t>
  </si>
  <si>
    <r>
      <rPr>
        <b/>
        <sz val="10"/>
        <rFont val="Arial"/>
        <family val="2"/>
      </rPr>
      <t>Sky Pencil Holly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Ilex crenata 'Sky Pencil'</t>
    </r>
  </si>
  <si>
    <t>8'x3'</t>
  </si>
  <si>
    <t>Sky Pencil are all female, requiring a male Holly to bear the black fruit. Protect from wind &amp; late day sun</t>
  </si>
  <si>
    <t>Ctrl-F to search</t>
  </si>
  <si>
    <t xml:space="preserve"> Native=Grey N </t>
  </si>
  <si>
    <t>90'x90'</t>
  </si>
  <si>
    <r>
      <rPr>
        <sz val="12"/>
        <color rgb="FFFFFF00"/>
        <rFont val="Calibri"/>
        <family val="2"/>
        <scheme val="minor"/>
      </rPr>
      <t>☀</t>
    </r>
    <r>
      <rPr>
        <sz val="10.5"/>
        <color theme="1"/>
        <rFont val="Calibri"/>
        <family val="2"/>
        <scheme val="minor"/>
      </rPr>
      <t>Sun</t>
    </r>
  </si>
  <si>
    <r>
      <rPr>
        <b/>
        <sz val="10"/>
        <color theme="1"/>
        <rFont val="Arial"/>
        <family val="2"/>
      </rPr>
      <t>C</t>
    </r>
    <r>
      <rPr>
        <sz val="10"/>
        <color theme="1"/>
        <rFont val="Arial"/>
        <family val="2"/>
      </rPr>
      <t>🦌</t>
    </r>
    <r>
      <rPr>
        <b/>
        <sz val="9"/>
        <color theme="1"/>
        <rFont val="Arial"/>
        <family val="2"/>
      </rPr>
      <t>occasionally</t>
    </r>
  </si>
  <si>
    <t>8', 1.25"caliper</t>
  </si>
  <si>
    <t>8'</t>
  </si>
  <si>
    <t>10', 1.5"caliper</t>
  </si>
  <si>
    <t>10', 2"c. low supply</t>
  </si>
  <si>
    <t>White Oak (and Swamp White Oak) have very few surface roots, making it good for lawns (except for the acorns)</t>
  </si>
  <si>
    <r>
      <rPr>
        <sz val="10"/>
        <color theme="1"/>
        <rFont val="Arial"/>
        <family val="2"/>
      </rPr>
      <t>🐦</t>
    </r>
    <r>
      <rPr>
        <sz val="9"/>
        <color theme="1"/>
        <rFont val="Arial"/>
        <family val="2"/>
      </rPr>
      <t>birds</t>
    </r>
    <r>
      <rPr>
        <sz val="10"/>
        <color theme="1"/>
        <rFont val="Arial"/>
        <family val="2"/>
      </rPr>
      <t xml:space="preserve"> </t>
    </r>
    <r>
      <rPr>
        <sz val="10"/>
        <color rgb="FF0C7A86"/>
        <rFont val="Arial"/>
        <family val="2"/>
      </rPr>
      <t>🐾</t>
    </r>
    <r>
      <rPr>
        <sz val="9"/>
        <color theme="1"/>
        <rFont val="Arial"/>
        <family val="2"/>
      </rPr>
      <t>wildlife</t>
    </r>
    <r>
      <rPr>
        <b/>
        <sz val="11"/>
        <color theme="5" tint="-0.249977111117893"/>
        <rFont val="Arial"/>
        <family val="2"/>
      </rPr>
      <t>❤</t>
    </r>
  </si>
  <si>
    <r>
      <rPr>
        <b/>
        <sz val="10"/>
        <rFont val="Arial"/>
        <family val="2"/>
      </rPr>
      <t>Shagbark Hickory</t>
    </r>
    <r>
      <rPr>
        <i/>
        <sz val="10"/>
        <rFont val="Arial"/>
        <family val="2"/>
      </rPr>
      <t xml:space="preserve"> Carya ovata</t>
    </r>
  </si>
  <si>
    <t>90'x50'</t>
  </si>
  <si>
    <t>Shagbark Hickory has a very distinctive, exfoliating bark. Very slow growing</t>
  </si>
  <si>
    <r>
      <t xml:space="preserve">Bald Cypress </t>
    </r>
    <r>
      <rPr>
        <i/>
        <sz val="10"/>
        <color indexed="8"/>
        <rFont val="Arial"/>
        <family val="2"/>
      </rPr>
      <t>Taxodium distichum</t>
    </r>
    <r>
      <rPr>
        <b/>
        <sz val="10"/>
        <color indexed="8"/>
        <rFont val="Arial"/>
        <family val="2"/>
      </rPr>
      <t xml:space="preserve"> 💧wet sites OK</t>
    </r>
  </si>
  <si>
    <t>90'x30'</t>
  </si>
  <si>
    <t>8', 1.5"caliper</t>
  </si>
  <si>
    <t>8.5', 1.5"caliper</t>
  </si>
  <si>
    <t>Bald Cypress is the classic swamp tree, turning copper-red in the fall. It withstands dry to wet, heavy to light soils</t>
  </si>
  <si>
    <r>
      <rPr>
        <sz val="10"/>
        <rFont val="Arial"/>
        <family val="2"/>
      </rPr>
      <t>🐦</t>
    </r>
    <r>
      <rPr>
        <sz val="9"/>
        <rFont val="Arial"/>
        <family val="2"/>
      </rPr>
      <t>birds</t>
    </r>
    <r>
      <rPr>
        <b/>
        <sz val="11"/>
        <color theme="5" tint="-0.249977111117893"/>
        <rFont val="Arial"/>
        <family val="2"/>
      </rPr>
      <t>❤</t>
    </r>
  </si>
  <si>
    <t>80'x50'</t>
  </si>
  <si>
    <t>Nuttall is a dull, but versatile tree, able to tolerate a wide variety of soils &amp; growing conditions</t>
  </si>
  <si>
    <r>
      <rPr>
        <sz val="12"/>
        <color rgb="FFFFFF00"/>
        <rFont val="Calibri"/>
        <family val="2"/>
        <scheme val="minor"/>
      </rPr>
      <t>☀</t>
    </r>
    <r>
      <rPr>
        <sz val="10.5"/>
        <rFont val="Calibri"/>
        <family val="2"/>
        <scheme val="minor"/>
      </rPr>
      <t>Sun</t>
    </r>
  </si>
  <si>
    <t>Overcup is named for the bur-like acorn cup enclosing most of the nut. Yellow-orange-red fall foliage</t>
  </si>
  <si>
    <t>80'x25'</t>
  </si>
  <si>
    <t>10', 2.25"caliper</t>
  </si>
  <si>
    <t>Dawn Redwood is an endangered species, looking for a large, slightly moist, place to grow. Red-bronze fall foliage</t>
  </si>
  <si>
    <t>70'x70'</t>
  </si>
  <si>
    <t>American Beech has a wide canopy that holds onto much of its golden-bronze fall foliage well into the new year</t>
  </si>
  <si>
    <t>70'x40'</t>
  </si>
  <si>
    <t>7', 1"caliper</t>
  </si>
  <si>
    <t>Green Vase has a Narrow form and low maintenance (just some minor stick litter). Great for high shade, by driveways</t>
  </si>
  <si>
    <t>Pin Oak is named for stubs left behind when branches break, not for shape of leaves. Do not confuse with Willow Oak</t>
  </si>
  <si>
    <t>60'x60'</t>
  </si>
  <si>
    <t>8', 1"caliper</t>
  </si>
  <si>
    <t>10', 1.75"caliper</t>
  </si>
  <si>
    <t>Shumard is tolerant of poor conditions, fast growing, and has great fall color. Takes 25 years for acorns to appear</t>
  </si>
  <si>
    <t>9', 1.5"caliper</t>
  </si>
  <si>
    <t>Swamp White Oak has very few surface roots, making it good for lawns (except for the acorn thing)</t>
  </si>
  <si>
    <t>60'x50'</t>
  </si>
  <si>
    <t>Legacy is the only available Sugar Maple, which does not usually do well at our latitude. Can be tapped for syrup</t>
  </si>
  <si>
    <t>Allee Elm has arching branches in an upright form ~ all modern Elm very resistant to Dutch Elm disease ~</t>
  </si>
  <si>
    <r>
      <rPr>
        <b/>
        <sz val="10"/>
        <rFont val="Arial"/>
        <family val="2"/>
      </rPr>
      <t>Willow Oak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 xml:space="preserve">Quercus phellos  </t>
    </r>
    <r>
      <rPr>
        <b/>
        <sz val="10"/>
        <rFont val="Arial"/>
        <family val="2"/>
      </rPr>
      <t>💧wet sites OK</t>
    </r>
  </si>
  <si>
    <t>Willow Oak is named for it's willow-like leaves. Popular at our local campuses. Do not confuse with Pin Oak</t>
  </si>
  <si>
    <t>50'x40'</t>
  </si>
  <si>
    <r>
      <rPr>
        <b/>
        <sz val="10"/>
        <rFont val="Arial"/>
        <family val="2"/>
      </rPr>
      <t xml:space="preserve">Sun Valley Red Maple  💧wet sites OK 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Acer rubrum 'Sun Valley'</t>
    </r>
  </si>
  <si>
    <t>Sun Valley is a cross of 'Red Sunset' and 'Autumn Flame'. All males (seedless). Orange-red to brilliant red fall</t>
  </si>
  <si>
    <r>
      <rPr>
        <b/>
        <sz val="10"/>
        <rFont val="Arial"/>
        <family val="2"/>
      </rPr>
      <t>Yoshino Cherry</t>
    </r>
    <r>
      <rPr>
        <sz val="10"/>
        <rFont val="Arial"/>
        <family val="2"/>
      </rPr>
      <t xml:space="preserve"> (white to pink) </t>
    </r>
    <r>
      <rPr>
        <i/>
        <sz val="10"/>
        <rFont val="Arial"/>
        <family val="2"/>
      </rPr>
      <t>Prunus x yeodensis</t>
    </r>
  </si>
  <si>
    <t>Yoshino bloom early spring. Nice winter structure. Washington, D.C. tree (with 'Okame')</t>
  </si>
  <si>
    <t>Autumn Gold are all male, turning golden yellow in fall</t>
  </si>
  <si>
    <t>Black Tupelo (AKA 'Black Gum') is loved by birds, and will reward you with many shades of fall colors</t>
  </si>
  <si>
    <t>50'x25'</t>
  </si>
  <si>
    <t>7.5', 1.5"caliper</t>
  </si>
  <si>
    <t>Regal Prince is a cross of English Oak &amp; Swamp White Oak. Golden bronze fall foliage</t>
  </si>
  <si>
    <t>40'x30'</t>
  </si>
  <si>
    <t>8.5'', 1.25"caliper</t>
  </si>
  <si>
    <t>European Hornbeam has attractive dark green foliage. Hornbeam develop a distinctive smooth, grey, rippling bark</t>
  </si>
  <si>
    <r>
      <rPr>
        <b/>
        <sz val="10"/>
        <rFont val="Arial"/>
        <family val="2"/>
      </rPr>
      <t>Redpointe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Red Maple</t>
    </r>
    <r>
      <rPr>
        <sz val="10"/>
        <rFont val="Arial"/>
        <family val="2"/>
      </rPr>
      <t xml:space="preserve"> (greyed purple)  </t>
    </r>
    <r>
      <rPr>
        <b/>
        <sz val="10"/>
        <rFont val="Arial"/>
        <family val="2"/>
      </rPr>
      <t xml:space="preserve">💧wet sites OK 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Acer rubrum 'Frank Jr.' PP16769</t>
    </r>
  </si>
  <si>
    <t>Redpointe created for it's straight, slender form. Vigorous grower. Brilliant red fall foliage</t>
  </si>
  <si>
    <r>
      <rPr>
        <b/>
        <sz val="10"/>
        <rFont val="Arial"/>
        <family val="2"/>
      </rPr>
      <t>Chinese Pistachio</t>
    </r>
    <r>
      <rPr>
        <i/>
        <sz val="10"/>
        <rFont val="Arial"/>
        <family val="2"/>
      </rPr>
      <t xml:space="preserve"> Pistacia chinensis</t>
    </r>
  </si>
  <si>
    <t>40'x35'</t>
  </si>
  <si>
    <r>
      <rPr>
        <b/>
        <sz val="10"/>
        <rFont val="Arial"/>
        <family val="2"/>
      </rPr>
      <t>October Glory Red Maple</t>
    </r>
    <r>
      <rPr>
        <sz val="10"/>
        <rFont val="Arial"/>
        <family val="2"/>
      </rPr>
      <t xml:space="preserve"> (red)  </t>
    </r>
    <r>
      <rPr>
        <b/>
        <sz val="10"/>
        <rFont val="Arial"/>
        <family val="2"/>
      </rPr>
      <t xml:space="preserve">💧wet sites OK 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Acer rubrum 'October Glory'</t>
    </r>
  </si>
  <si>
    <t>October Glory are all female, and live up their name, with brilliant orange to red fall foliage</t>
  </si>
  <si>
    <r>
      <rPr>
        <b/>
        <sz val="10"/>
        <rFont val="Arial"/>
        <family val="2"/>
      </rPr>
      <t>Brandywine Red Maple</t>
    </r>
    <r>
      <rPr>
        <sz val="10"/>
        <rFont val="Arial"/>
        <family val="2"/>
      </rPr>
      <t xml:space="preserve"> (red) </t>
    </r>
    <r>
      <rPr>
        <b/>
        <sz val="10"/>
        <rFont val="Arial"/>
        <family val="2"/>
      </rPr>
      <t xml:space="preserve"> 💧wet sites OK 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Acer rubrum 'Brandywine'</t>
    </r>
  </si>
  <si>
    <t>Brandywine are all male (seedless). Long lasting red fall foliage</t>
  </si>
  <si>
    <t>5' MS</t>
  </si>
  <si>
    <t>Dura-Heat, as the name implies, can better withstand our intense heat. All Birch are Multi Stem, unless noted otherwise</t>
  </si>
  <si>
    <r>
      <t>Amber Glow</t>
    </r>
    <r>
      <rPr>
        <vertAlign val="superscript"/>
        <sz val="10"/>
        <rFont val="Arial"/>
        <family val="2"/>
      </rPr>
      <t>™</t>
    </r>
    <r>
      <rPr>
        <b/>
        <sz val="10"/>
        <rFont val="Arial"/>
        <family val="2"/>
      </rPr>
      <t xml:space="preserve"> Redwood  💧wet sites OK  </t>
    </r>
    <r>
      <rPr>
        <i/>
        <sz val="10"/>
        <rFont val="Arial"/>
        <family val="2"/>
      </rPr>
      <t>Metasequoia glyptostroboides 'WAH-08AG'</t>
    </r>
    <r>
      <rPr>
        <sz val="10"/>
        <rFont val="Arial"/>
        <family val="2"/>
      </rPr>
      <t xml:space="preserve"> PP29472</t>
    </r>
  </si>
  <si>
    <t>35'x25'</t>
  </si>
  <si>
    <t>Amberglow is a more compact size of Dawn Redwood, an endangered species</t>
  </si>
  <si>
    <r>
      <rPr>
        <b/>
        <sz val="10"/>
        <rFont val="Arial"/>
        <family val="2"/>
      </rPr>
      <t>Moonglow Magnolia</t>
    </r>
    <r>
      <rPr>
        <sz val="10"/>
        <rFont val="Arial"/>
        <family val="2"/>
      </rPr>
      <t xml:space="preserve"> (creamy white)  </t>
    </r>
    <r>
      <rPr>
        <b/>
        <sz val="10"/>
        <rFont val="Arial"/>
        <family val="2"/>
      </rPr>
      <t>💧wet sites OK</t>
    </r>
    <r>
      <rPr>
        <sz val="10"/>
        <rFont val="Arial"/>
        <family val="2"/>
      </rPr>
      <t xml:space="preserve">  </t>
    </r>
    <r>
      <rPr>
        <i/>
        <sz val="10"/>
        <rFont val="Arial"/>
        <family val="2"/>
      </rPr>
      <t>Magnolia virginiana 'Jim Wilson'</t>
    </r>
  </si>
  <si>
    <t>35'x20'</t>
  </si>
  <si>
    <t>Moonglow is an upright grower, with Lemony fragrant blooms mid-spring. Dark green leaves are silvery-green below</t>
  </si>
  <si>
    <r>
      <rPr>
        <sz val="10"/>
        <rFont val="Arial"/>
        <family val="2"/>
      </rPr>
      <t>🦋</t>
    </r>
    <r>
      <rPr>
        <sz val="9"/>
        <rFont val="Arial"/>
        <family val="2"/>
      </rPr>
      <t xml:space="preserve">butterflies </t>
    </r>
    <r>
      <rPr>
        <sz val="12"/>
        <color theme="3" tint="-0.249977111117893"/>
        <rFont val="Arial"/>
        <family val="2"/>
      </rPr>
      <t>🕊</t>
    </r>
    <r>
      <rPr>
        <sz val="9"/>
        <rFont val="Arial"/>
        <family val="2"/>
      </rPr>
      <t>hummingbirds</t>
    </r>
    <r>
      <rPr>
        <sz val="11"/>
        <color theme="5" tint="-0.249977111117893"/>
        <rFont val="Arial"/>
        <family val="2"/>
      </rPr>
      <t>❤</t>
    </r>
  </si>
  <si>
    <t>30'x30'</t>
  </si>
  <si>
    <t xml:space="preserve">American Hornbeam is AKA 'Ironwood' and 'Musclewood' due to the muscle-like texture of Hornbeam </t>
  </si>
  <si>
    <r>
      <t xml:space="preserve">Cherokee Brave Dogwood </t>
    </r>
    <r>
      <rPr>
        <sz val="10"/>
        <rFont val="Arial"/>
        <family val="2"/>
      </rPr>
      <t>(reddish-pink)</t>
    </r>
    <r>
      <rPr>
        <i/>
        <sz val="10"/>
        <rFont val="Arial"/>
        <family val="2"/>
      </rPr>
      <t xml:space="preserve"> Cornus florida 'Cherokee Brave'</t>
    </r>
  </si>
  <si>
    <t>Cherokee Brave very resistant to spot anthracnos. Burgundy spring foliage turns green, then maroon in fall</t>
  </si>
  <si>
    <r>
      <rPr>
        <sz val="10"/>
        <rFont val="Arial"/>
        <family val="2"/>
      </rPr>
      <t>🦋</t>
    </r>
    <r>
      <rPr>
        <sz val="9"/>
        <rFont val="Arial"/>
        <family val="2"/>
      </rPr>
      <t>butterflies</t>
    </r>
    <r>
      <rPr>
        <b/>
        <sz val="11"/>
        <color theme="5" tint="-0.249977111117893"/>
        <rFont val="Arial"/>
        <family val="2"/>
      </rPr>
      <t>❤</t>
    </r>
  </si>
  <si>
    <r>
      <t>Forest Pansy Redbud</t>
    </r>
    <r>
      <rPr>
        <sz val="10"/>
        <rFont val="Arial"/>
        <family val="2"/>
      </rPr>
      <t xml:space="preserve"> (rosy-pink)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 xml:space="preserve">Cercis canadensis 'Forest Pansy' </t>
    </r>
  </si>
  <si>
    <t>Forest Pansy heart-shaped foliage emerges red-purple, then turns shades of orange-bronze-red-purple in fall</t>
  </si>
  <si>
    <r>
      <t xml:space="preserve">Japanese Snowbell </t>
    </r>
    <r>
      <rPr>
        <sz val="10"/>
        <rFont val="Arial"/>
        <family val="2"/>
      </rPr>
      <t xml:space="preserve">(white) </t>
    </r>
    <r>
      <rPr>
        <i/>
        <sz val="10"/>
        <rFont val="Arial"/>
        <family val="2"/>
      </rPr>
      <t>Styrax japonicus</t>
    </r>
  </si>
  <si>
    <r>
      <t>Snowbell has pendulous clusters of fragrant bell-shaped flowers. Don't confuse with Snow</t>
    </r>
    <r>
      <rPr>
        <b/>
        <i/>
        <sz val="9"/>
        <color theme="1"/>
        <rFont val="Arial"/>
        <family val="2"/>
      </rPr>
      <t>ball</t>
    </r>
    <r>
      <rPr>
        <i/>
        <sz val="9"/>
        <color theme="1"/>
        <rFont val="Arial"/>
        <family val="2"/>
      </rPr>
      <t xml:space="preserve"> Viburnum</t>
    </r>
  </si>
  <si>
    <r>
      <rPr>
        <b/>
        <sz val="10"/>
        <rFont val="Arial"/>
        <family val="2"/>
      </rPr>
      <t>Pink Dogwood</t>
    </r>
    <r>
      <rPr>
        <sz val="10"/>
        <rFont val="Arial"/>
        <family val="2"/>
      </rPr>
      <t xml:space="preserve"> (pink to pinkish-red) </t>
    </r>
    <r>
      <rPr>
        <i/>
        <sz val="10"/>
        <rFont val="Arial"/>
        <family val="2"/>
      </rPr>
      <t>Cornus florida rubra</t>
    </r>
  </si>
  <si>
    <t>Pink Dogwood blooms give way to orange-red fruit. Green spring foliage turns maroon and scarlet in fall</t>
  </si>
  <si>
    <r>
      <rPr>
        <sz val="10"/>
        <color rgb="FF0C7A86"/>
        <rFont val="Arial"/>
        <family val="2"/>
      </rPr>
      <t>🐾</t>
    </r>
    <r>
      <rPr>
        <sz val="9"/>
        <color theme="1"/>
        <rFont val="Arial"/>
        <family val="2"/>
      </rPr>
      <t>wildlife</t>
    </r>
    <r>
      <rPr>
        <b/>
        <sz val="11"/>
        <color theme="5" tint="-0.249977111117893"/>
        <rFont val="Arial"/>
        <family val="2"/>
      </rPr>
      <t>❤</t>
    </r>
  </si>
  <si>
    <t>30'x25'</t>
  </si>
  <si>
    <r>
      <rPr>
        <b/>
        <sz val="10"/>
        <rFont val="Arial"/>
        <family val="2"/>
      </rPr>
      <t xml:space="preserve">Galaxy Magnolia </t>
    </r>
    <r>
      <rPr>
        <sz val="10"/>
        <rFont val="Arial"/>
        <family val="2"/>
      </rPr>
      <t xml:space="preserve">(reddish-purple) </t>
    </r>
    <r>
      <rPr>
        <i/>
        <sz val="10"/>
        <rFont val="Arial"/>
        <family val="2"/>
      </rPr>
      <t>Magnolia x 'Galaxy'</t>
    </r>
  </si>
  <si>
    <t>7' SS, 1.25"caliper</t>
  </si>
  <si>
    <t>Galaxy blooms mid-spring, on otherwise bare branches. Fragrant</t>
  </si>
  <si>
    <r>
      <rPr>
        <b/>
        <sz val="10"/>
        <rFont val="Arial"/>
        <family val="2"/>
      </rPr>
      <t>Muskogee Crape Myrtle</t>
    </r>
    <r>
      <rPr>
        <sz val="10"/>
        <rFont val="Arial"/>
        <family val="2"/>
      </rPr>
      <t xml:space="preserve"> (lavender) </t>
    </r>
    <r>
      <rPr>
        <i/>
        <sz val="10"/>
        <rFont val="Arial"/>
        <family val="2"/>
      </rPr>
      <t>Lagerstroemia indica 'Muskogee'</t>
    </r>
  </si>
  <si>
    <t>Muskogee &amp; Natchez are twins, with identical size, shape and bloom periods. Plant them together for a show</t>
  </si>
  <si>
    <r>
      <rPr>
        <b/>
        <sz val="10"/>
        <rFont val="Arial"/>
        <family val="2"/>
      </rPr>
      <t>Natchez Crape Myrtle</t>
    </r>
    <r>
      <rPr>
        <sz val="10"/>
        <rFont val="Arial"/>
        <family val="2"/>
      </rPr>
      <t xml:space="preserve"> (white) </t>
    </r>
    <r>
      <rPr>
        <i/>
        <sz val="10"/>
        <rFont val="Arial"/>
        <family val="2"/>
      </rPr>
      <t>Lagerstroemia indica x fauriei 'Natchez'</t>
    </r>
  </si>
  <si>
    <t>Natchez' cinnamon bark is considered the best of the Crape Myrtles</t>
  </si>
  <si>
    <t>Muskogee + Natchez together:</t>
  </si>
  <si>
    <t>photo</t>
  </si>
  <si>
    <t>Paperbark Maple bark exfoliates from copper-orange in summer to red-brown through the winter</t>
  </si>
  <si>
    <r>
      <rPr>
        <b/>
        <sz val="10"/>
        <rFont val="Arial"/>
        <family val="2"/>
      </rPr>
      <t>Starlight Dogwood</t>
    </r>
    <r>
      <rPr>
        <sz val="10"/>
        <rFont val="Arial"/>
        <family val="2"/>
      </rPr>
      <t xml:space="preserve"> (white) </t>
    </r>
    <r>
      <rPr>
        <i/>
        <sz val="10"/>
        <rFont val="Arial"/>
        <family val="2"/>
      </rPr>
      <t>Cornus x elwinortonii 'Starlight’</t>
    </r>
  </si>
  <si>
    <t>Starlight is a sturdy Dogwood, with good drought tolerance, and good insect and disease resistance</t>
  </si>
  <si>
    <r>
      <rPr>
        <b/>
        <sz val="10"/>
        <rFont val="Arial"/>
        <family val="2"/>
      </rPr>
      <t>First Lady Flowering Cherry</t>
    </r>
    <r>
      <rPr>
        <sz val="10"/>
        <rFont val="Arial"/>
        <family val="2"/>
      </rPr>
      <t xml:space="preserve"> (rose pink)</t>
    </r>
    <r>
      <rPr>
        <i/>
        <sz val="10"/>
        <rFont val="Arial"/>
        <family val="2"/>
      </rPr>
      <t xml:space="preserve"> Prunus x 'First Lady'</t>
    </r>
  </si>
  <si>
    <t>6.5'</t>
  </si>
  <si>
    <t>First Lady has abundant flowers, cold-hardiness, and an upright, narrow form that fits anywhere</t>
  </si>
  <si>
    <t>25'x25'</t>
  </si>
  <si>
    <t>Autumn Brilliance (and all seviceberry) are great for attracting birds. Edible fruit can make tasty jelly</t>
  </si>
  <si>
    <r>
      <rPr>
        <b/>
        <sz val="10"/>
        <rFont val="Arial"/>
        <family val="2"/>
      </rPr>
      <t>Coral Bark Japanese Maple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Acer palmatum 'Sango-kaku'</t>
    </r>
  </si>
  <si>
    <t>25'x20'</t>
  </si>
  <si>
    <t>Coral bark is great color in the summer, plus bark is a stunner in the winter-time</t>
  </si>
  <si>
    <r>
      <t>Krauter Vesuvius Purple Leaf Plum</t>
    </r>
    <r>
      <rPr>
        <sz val="10"/>
        <rFont val="Arial"/>
        <family val="2"/>
      </rPr>
      <t xml:space="preserve"> (pink)</t>
    </r>
    <r>
      <rPr>
        <i/>
        <sz val="10"/>
        <rFont val="Arial"/>
        <family val="2"/>
      </rPr>
      <t xml:space="preserve"> Prunus cerasifera 'Krauter Vesuvius’</t>
    </r>
  </si>
  <si>
    <r>
      <rPr>
        <b/>
        <sz val="10"/>
        <rFont val="Arial"/>
        <family val="2"/>
      </rPr>
      <t>Okame Cherry</t>
    </r>
    <r>
      <rPr>
        <sz val="10"/>
        <rFont val="Arial"/>
        <family val="2"/>
      </rPr>
      <t xml:space="preserve"> (pink) </t>
    </r>
    <r>
      <rPr>
        <i/>
        <sz val="10"/>
        <rFont val="Arial"/>
        <family val="2"/>
      </rPr>
      <t>Prunus x 'Okame'</t>
    </r>
  </si>
  <si>
    <t>Okame bloom early spring. Mild fragrance. Nice winter structure. A Washington, D.C. tree (with 'Yoshino')</t>
  </si>
  <si>
    <r>
      <rPr>
        <b/>
        <sz val="10"/>
        <rFont val="Arial"/>
        <family val="2"/>
      </rPr>
      <t>Seven-Son Flower Tree</t>
    </r>
    <r>
      <rPr>
        <sz val="10"/>
        <rFont val="Arial"/>
        <family val="2"/>
      </rPr>
      <t xml:space="preserve"> (white)</t>
    </r>
    <r>
      <rPr>
        <i/>
        <sz val="10"/>
        <rFont val="Arial"/>
        <family val="2"/>
      </rPr>
      <t xml:space="preserve"> Heptacodium miconioides</t>
    </r>
  </si>
  <si>
    <t>Seven-Son's fragrant July blooms are followed by cherry red sepals (around old blooms). Bark exfoliates nicely</t>
  </si>
  <si>
    <r>
      <rPr>
        <sz val="10"/>
        <rFont val="Arial"/>
        <family val="2"/>
      </rPr>
      <t>🦋</t>
    </r>
    <r>
      <rPr>
        <sz val="9"/>
        <rFont val="Arial"/>
        <family val="2"/>
      </rPr>
      <t xml:space="preserve">butterflies </t>
    </r>
    <r>
      <rPr>
        <sz val="10"/>
        <rFont val="Arial"/>
        <family val="2"/>
      </rPr>
      <t>🕊</t>
    </r>
    <r>
      <rPr>
        <sz val="9"/>
        <rFont val="Arial"/>
        <family val="2"/>
      </rPr>
      <t>hummingbirds</t>
    </r>
    <r>
      <rPr>
        <sz val="11"/>
        <color theme="5" tint="-0.249977111117893"/>
        <rFont val="Arial"/>
        <family val="2"/>
      </rPr>
      <t>❤</t>
    </r>
  </si>
  <si>
    <r>
      <rPr>
        <b/>
        <sz val="10"/>
        <rFont val="Arial"/>
        <family val="2"/>
      </rPr>
      <t>Chinese Fringetree</t>
    </r>
    <r>
      <rPr>
        <sz val="10"/>
        <rFont val="Arial"/>
        <family val="2"/>
      </rPr>
      <t xml:space="preserve"> (white)  </t>
    </r>
    <r>
      <rPr>
        <b/>
        <sz val="10"/>
        <rFont val="Arial"/>
        <family val="2"/>
      </rPr>
      <t>💧wet sites OK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 xml:space="preserve"> Chionanthus retusus</t>
    </r>
  </si>
  <si>
    <t>20'x25'</t>
  </si>
  <si>
    <t>Fringetree blooms May/June. Fragrant blooms will fall to ground, looking like a snowfall</t>
  </si>
  <si>
    <r>
      <t>Bloodgood Japanese Maple</t>
    </r>
    <r>
      <rPr>
        <sz val="10"/>
        <rFont val="Arial"/>
        <family val="2"/>
      </rPr>
      <t xml:space="preserve"> (reddish)</t>
    </r>
    <r>
      <rPr>
        <i/>
        <sz val="10"/>
        <rFont val="Arial"/>
        <family val="2"/>
      </rPr>
      <t xml:space="preserve"> Acer palmatum 'Bloodgood'</t>
    </r>
  </si>
  <si>
    <t>Bloodgood is one of the hardiest Japanese Maples, that can tolerate full sun the best. Afternoon shade helps</t>
  </si>
  <si>
    <r>
      <rPr>
        <b/>
        <sz val="10"/>
        <rFont val="Arial"/>
        <family val="2"/>
      </rPr>
      <t xml:space="preserve">Miss Frances Crape Myrtle </t>
    </r>
    <r>
      <rPr>
        <sz val="10"/>
        <rFont val="Arial"/>
        <family val="2"/>
      </rPr>
      <t>(red)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Lagerstroemia 'Miss Frances'</t>
    </r>
  </si>
  <si>
    <t>Miss Frances blooms from June to August, then displays a nice maroon fall foliage</t>
  </si>
  <si>
    <t>Greensleeves is an improved Kousa type that grows faster &amp; fuller. Dark green foliage turns reddish-purple in fall</t>
  </si>
  <si>
    <r>
      <rPr>
        <b/>
        <sz val="10"/>
        <rFont val="Arial"/>
        <family val="2"/>
      </rPr>
      <t>Red Rocket Crape Myrtle</t>
    </r>
    <r>
      <rPr>
        <sz val="10"/>
        <rFont val="Arial"/>
        <family val="2"/>
      </rPr>
      <t xml:space="preserve"> (cherry-red) </t>
    </r>
    <r>
      <rPr>
        <i/>
        <sz val="10"/>
        <rFont val="Arial"/>
        <family val="2"/>
      </rPr>
      <t>Lagerstroemia Whit IV 'Red Rocket'</t>
    </r>
  </si>
  <si>
    <t>Red Rocket one of the fastest growing Myrtles</t>
  </si>
  <si>
    <t>Customer photo of a Single Stem:</t>
  </si>
  <si>
    <t>Red Rocket</t>
  </si>
  <si>
    <r>
      <rPr>
        <b/>
        <sz val="10"/>
        <rFont val="Arial"/>
        <family val="2"/>
      </rPr>
      <t>Biloxi Crape Myrtle</t>
    </r>
    <r>
      <rPr>
        <sz val="10"/>
        <rFont val="Arial"/>
        <family val="2"/>
      </rPr>
      <t xml:space="preserve"> (light pink) </t>
    </r>
    <r>
      <rPr>
        <i/>
        <sz val="10"/>
        <rFont val="Arial"/>
        <family val="2"/>
      </rPr>
      <t>Lagerstroemia 'Biloxi'</t>
    </r>
  </si>
  <si>
    <t>Biloxi has dark green foliage, emerging coppery-bronze in spring. Oval leaves turn orange in fall</t>
  </si>
  <si>
    <r>
      <rPr>
        <b/>
        <sz val="10"/>
        <rFont val="Arial"/>
        <family val="2"/>
      </rPr>
      <t xml:space="preserve">Dynamite Crape Myrtle </t>
    </r>
    <r>
      <rPr>
        <sz val="10"/>
        <rFont val="Arial"/>
        <family val="2"/>
      </rPr>
      <t xml:space="preserve">(red) </t>
    </r>
    <r>
      <rPr>
        <i/>
        <sz val="10"/>
        <rFont val="Arial"/>
        <family val="2"/>
      </rPr>
      <t>Lagerstroemia indica 'Dynamite'</t>
    </r>
  </si>
  <si>
    <t>Dynamite looks like an explosion, with a little white mixed into the mainly red blooms</t>
  </si>
  <si>
    <t>6.5', 1.25"caliper</t>
  </si>
  <si>
    <r>
      <t>Royal Star Magnolia</t>
    </r>
    <r>
      <rPr>
        <sz val="10"/>
        <rFont val="Arial"/>
        <family val="2"/>
      </rPr>
      <t xml:space="preserve"> (white)</t>
    </r>
    <r>
      <rPr>
        <i/>
        <sz val="10"/>
        <rFont val="Arial"/>
        <family val="2"/>
      </rPr>
      <t xml:space="preserve"> Magnolia stellata 'Royal Star'</t>
    </r>
  </si>
  <si>
    <t>Royal Star has slightly larger and showier flowers than Star Magnolia. Fragrant blooms 2 weeks later, to avoid frost</t>
  </si>
  <si>
    <r>
      <rPr>
        <b/>
        <sz val="10"/>
        <rFont val="Arial"/>
        <family val="2"/>
      </rPr>
      <t>Sioux Crape Myrtle</t>
    </r>
    <r>
      <rPr>
        <sz val="10"/>
        <rFont val="Arial"/>
        <family val="2"/>
      </rPr>
      <t xml:space="preserve"> (dark pink) </t>
    </r>
    <r>
      <rPr>
        <i/>
        <sz val="10"/>
        <rFont val="Arial"/>
        <family val="2"/>
      </rPr>
      <t>Lagerstroemia x 'Sioux'</t>
    </r>
  </si>
  <si>
    <t>Sioux foliage emerges dark green, then turns to shades of red &amp; purple in fall. Bark exfoliates to dark brown</t>
  </si>
  <si>
    <r>
      <rPr>
        <b/>
        <sz val="10"/>
        <rFont val="Arial"/>
        <family val="2"/>
      </rPr>
      <t>Colorama Scarlet Crape Myrtle</t>
    </r>
    <r>
      <rPr>
        <sz val="10"/>
        <rFont val="Arial"/>
        <family val="2"/>
      </rPr>
      <t xml:space="preserve"> (red) Lagerstroemia </t>
    </r>
    <r>
      <rPr>
        <i/>
        <sz val="10"/>
        <rFont val="Arial"/>
        <family val="2"/>
      </rPr>
      <t>'Colorama Scarlet'</t>
    </r>
  </si>
  <si>
    <t>Colorama foliage emerges deep green, then turns to shades of orange &amp; red in fall. Bark exfoliates to grey-brown</t>
  </si>
  <si>
    <r>
      <rPr>
        <b/>
        <sz val="10"/>
        <rFont val="Arial"/>
        <family val="2"/>
      </rPr>
      <t xml:space="preserve">Autaugaville Purple Crape Myrtle </t>
    </r>
    <r>
      <rPr>
        <sz val="10"/>
        <rFont val="Arial"/>
        <family val="2"/>
      </rPr>
      <t>(purple)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Lagerstroemia 'Autaugaville Purple'</t>
    </r>
  </si>
  <si>
    <t>Autaugaville blooms all summer, turning to orange-red fall foliage</t>
  </si>
  <si>
    <r>
      <t>Emperor 1 Japanese Maple</t>
    </r>
    <r>
      <rPr>
        <sz val="10"/>
        <rFont val="Arial"/>
        <family val="2"/>
      </rPr>
      <t xml:space="preserve"> (reddish-purple)</t>
    </r>
    <r>
      <rPr>
        <i/>
        <sz val="10"/>
        <rFont val="Arial"/>
        <family val="2"/>
      </rPr>
      <t xml:space="preserve"> Acer palmatum 'Emperor I'</t>
    </r>
  </si>
  <si>
    <t>Emperor 1 is rich dark Red in summer turning brilliant scarlet in fall</t>
  </si>
  <si>
    <r>
      <rPr>
        <b/>
        <sz val="10"/>
        <rFont val="Arial"/>
        <family val="2"/>
      </rPr>
      <t xml:space="preserve">Kay's Early Hope Redbud </t>
    </r>
    <r>
      <rPr>
        <sz val="10"/>
        <rFont val="Arial"/>
        <family val="2"/>
      </rPr>
      <t xml:space="preserve">(pinkish lavender) </t>
    </r>
    <r>
      <rPr>
        <i/>
        <sz val="10"/>
        <rFont val="Arial"/>
        <family val="2"/>
      </rPr>
      <t>Cercis chinensis 'Kay's Early Hope'</t>
    </r>
  </si>
  <si>
    <t>Named after Kay Yow, NCSU Women's Basketball Coach. Blooms same time as tournament. From JC Raulston</t>
  </si>
  <si>
    <r>
      <t>Merlot Redbud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>(pink)</t>
    </r>
    <r>
      <rPr>
        <i/>
        <sz val="10"/>
        <rFont val="Arial"/>
        <family val="2"/>
      </rPr>
      <t xml:space="preserve"> Cercis x 'Merlot' </t>
    </r>
  </si>
  <si>
    <t>Merlot foliage is color of wine by same name. Keeps color longer than most Redbuds.</t>
  </si>
  <si>
    <r>
      <rPr>
        <b/>
        <sz val="10"/>
        <rFont val="Arial"/>
        <family val="2"/>
      </rPr>
      <t xml:space="preserve">Catawba Crape Myrtle </t>
    </r>
    <r>
      <rPr>
        <sz val="10"/>
        <rFont val="Arial"/>
        <family val="2"/>
      </rPr>
      <t xml:space="preserve">(dark purple) </t>
    </r>
    <r>
      <rPr>
        <i/>
        <sz val="10"/>
        <rFont val="Arial"/>
        <family val="2"/>
      </rPr>
      <t>Lagerstroemia indica 'Catawba'</t>
    </r>
  </si>
  <si>
    <t>15'x12'</t>
  </si>
  <si>
    <t>Catawba foliage is bright green, then turns to vibrant orange-red in fall. Multi-colored bark</t>
  </si>
  <si>
    <r>
      <t>Jane Magnolia</t>
    </r>
    <r>
      <rPr>
        <sz val="10"/>
        <rFont val="Arial"/>
        <family val="2"/>
      </rPr>
      <t xml:space="preserve"> (pink) </t>
    </r>
    <r>
      <rPr>
        <i/>
        <sz val="10"/>
        <rFont val="Arial"/>
        <family val="2"/>
      </rPr>
      <t>Magnolia x 'Jane'</t>
    </r>
  </si>
  <si>
    <t>Jane is one of the 8 'Little Girl' Magnolias developed in the 1950s to bloom later in season, avoiding frost damage</t>
  </si>
  <si>
    <r>
      <rPr>
        <b/>
        <sz val="10"/>
        <rFont val="Arial"/>
        <family val="2"/>
      </rPr>
      <t>Royal Purple Smoketree</t>
    </r>
    <r>
      <rPr>
        <sz val="10"/>
        <rFont val="Arial"/>
        <family val="2"/>
      </rPr>
      <t xml:space="preserve"> (pink)</t>
    </r>
    <r>
      <rPr>
        <i/>
        <sz val="10"/>
        <rFont val="Arial"/>
        <family val="2"/>
      </rPr>
      <t xml:space="preserve"> Cotinus coggygria 'Royal Purple'</t>
    </r>
  </si>
  <si>
    <t>Royal Purple combines rich, maroon-red foliage (turning redder in fall) with large feathery 'smoky' flower plumes</t>
  </si>
  <si>
    <r>
      <t xml:space="preserve">Shoal Creek Chaste Tree </t>
    </r>
    <r>
      <rPr>
        <sz val="10"/>
        <rFont val="Arial"/>
        <family val="2"/>
      </rPr>
      <t>(purple)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Vitex agnus-castus 'Shoal Creek'</t>
    </r>
  </si>
  <si>
    <t>Shoal Creek is a multi-trunk, long blooming tree or shrub. Aromatic green foliage with silver-blue caste</t>
  </si>
  <si>
    <r>
      <t xml:space="preserve">Evening Light Japanese Snowbell </t>
    </r>
    <r>
      <rPr>
        <sz val="10"/>
        <rFont val="Arial"/>
        <family val="2"/>
      </rPr>
      <t xml:space="preserve">(white) </t>
    </r>
    <r>
      <rPr>
        <i/>
        <sz val="10"/>
        <rFont val="Arial"/>
        <family val="2"/>
      </rPr>
      <t>Styrax japonicus 'Evening Light'</t>
    </r>
  </si>
  <si>
    <r>
      <rPr>
        <b/>
        <sz val="10"/>
        <rFont val="Arial"/>
        <family val="2"/>
      </rPr>
      <t>Jade Butterflies Ginkgo</t>
    </r>
    <r>
      <rPr>
        <sz val="10"/>
        <rFont val="Arial"/>
        <family val="2"/>
      </rPr>
      <t xml:space="preserve"> (green) </t>
    </r>
    <r>
      <rPr>
        <i/>
        <sz val="10"/>
        <rFont val="Arial"/>
        <family val="2"/>
      </rPr>
      <t>Ginkgo biloba 'Jade Butterflies'</t>
    </r>
  </si>
  <si>
    <t>Jade is named for butterfly-shaped leaf. All male clones, not stinky</t>
  </si>
  <si>
    <r>
      <t xml:space="preserve">Tonto Crape Myrtle </t>
    </r>
    <r>
      <rPr>
        <sz val="10"/>
        <rFont val="Arial"/>
        <family val="2"/>
      </rPr>
      <t>(magenta)</t>
    </r>
    <r>
      <rPr>
        <i/>
        <sz val="10"/>
        <rFont val="Arial"/>
        <family val="2"/>
      </rPr>
      <t xml:space="preserve"> Lagerstroemia indica 'Tonto'</t>
    </r>
  </si>
  <si>
    <t>Tonto foliage is dark green, dull red to purple in fall. Beige bark exfoliates</t>
  </si>
  <si>
    <r>
      <t>Fireglow Japanese Maple</t>
    </r>
    <r>
      <rPr>
        <i/>
        <sz val="10"/>
        <rFont val="Arial"/>
        <family val="2"/>
      </rPr>
      <t xml:space="preserve"> Acer palmatum 'Fireglow'</t>
    </r>
  </si>
  <si>
    <t>12'x12'</t>
  </si>
  <si>
    <t>Fireglow foliage emerges burgundy, turning shades of purple, scarlet, and crimson in fall. Named for glow you see looking up from below</t>
  </si>
  <si>
    <r>
      <rPr>
        <b/>
        <sz val="10"/>
        <rFont val="Arial"/>
        <family val="2"/>
      </rPr>
      <t>Pink Velour Crape Myrtle</t>
    </r>
    <r>
      <rPr>
        <sz val="10"/>
        <rFont val="Arial"/>
        <family val="2"/>
      </rPr>
      <t xml:space="preserve"> (magenta pink) </t>
    </r>
    <r>
      <rPr>
        <i/>
        <sz val="10"/>
        <rFont val="Arial"/>
        <family val="2"/>
      </rPr>
      <t>Lagerstroemia indica 'Whit III'</t>
    </r>
  </si>
  <si>
    <t>Pink Velour foliage emerges as deep wine red, turns purplish-green in summer, then orange-brown in fall. Greyish-brown bark exfoliates</t>
  </si>
  <si>
    <r>
      <rPr>
        <b/>
        <sz val="10"/>
        <rFont val="Arial"/>
        <family val="2"/>
      </rPr>
      <t xml:space="preserve">Purely Purple Crape Myrtle </t>
    </r>
    <r>
      <rPr>
        <sz val="10"/>
        <rFont val="Arial"/>
        <family val="2"/>
      </rPr>
      <t>(purple)</t>
    </r>
    <r>
      <rPr>
        <i/>
        <sz val="10"/>
        <rFont val="Arial"/>
        <family val="2"/>
      </rPr>
      <t xml:space="preserve"> Lagerstroemia Black Diamond 'Purely Purple'</t>
    </r>
  </si>
  <si>
    <t>Purely Purple is a Black Diamond brand, named for the dark purple, almost black foliage</t>
  </si>
  <si>
    <r>
      <rPr>
        <b/>
        <sz val="10"/>
        <rFont val="Arial"/>
        <family val="2"/>
      </rPr>
      <t xml:space="preserve">Acoma Crape Myrtle </t>
    </r>
    <r>
      <rPr>
        <sz val="10"/>
        <rFont val="Arial"/>
        <family val="2"/>
      </rPr>
      <t>(white)</t>
    </r>
    <r>
      <rPr>
        <i/>
        <sz val="10"/>
        <rFont val="Arial"/>
        <family val="2"/>
      </rPr>
      <t xml:space="preserve"> Lagerstroemia 'Acoma'</t>
    </r>
  </si>
  <si>
    <t>10'x10'</t>
  </si>
  <si>
    <t>Acoma foliage is green, with red/orange highlights. Red/purple foliage in fall. Grey bark exfoliates</t>
  </si>
  <si>
    <r>
      <rPr>
        <b/>
        <sz val="10"/>
        <rFont val="Arial"/>
        <family val="2"/>
      </rPr>
      <t>Bailey Red Twig Dogwood</t>
    </r>
    <r>
      <rPr>
        <sz val="10"/>
        <rFont val="Arial"/>
        <family val="2"/>
      </rPr>
      <t xml:space="preserve"> (white)  </t>
    </r>
    <r>
      <rPr>
        <b/>
        <sz val="10"/>
        <rFont val="Arial"/>
        <family val="2"/>
      </rPr>
      <t>💧wet sites OK</t>
    </r>
    <r>
      <rPr>
        <i/>
        <sz val="10"/>
        <rFont val="Arial"/>
        <family val="2"/>
      </rPr>
      <t xml:space="preserve">  Cornus sericea 'Baileyi'</t>
    </r>
    <r>
      <rPr>
        <sz val="10"/>
        <rFont val="Arial"/>
        <family val="2"/>
      </rPr>
      <t/>
    </r>
  </si>
  <si>
    <t>36" MS</t>
  </si>
  <si>
    <t>Bailey (and other Red Twig) are known for their bright red winter stems</t>
  </si>
  <si>
    <r>
      <t>Peve Minaret Dwarf Bald Cypress  💧wet sites OK</t>
    </r>
    <r>
      <rPr>
        <i/>
        <sz val="10"/>
        <color indexed="8"/>
        <rFont val="Arial"/>
        <family val="2"/>
      </rPr>
      <t xml:space="preserve">  Taxodium distichum ‘P.M.’ </t>
    </r>
  </si>
  <si>
    <t>Peve Minaret foliage is feathery dark green, rust color in fall. Chestnut-red bark</t>
  </si>
  <si>
    <r>
      <rPr>
        <b/>
        <sz val="10"/>
        <rFont val="Arial"/>
        <family val="2"/>
      </rPr>
      <t xml:space="preserve">Purple Magic Crape Myrtle </t>
    </r>
    <r>
      <rPr>
        <sz val="10"/>
        <rFont val="Arial"/>
        <family val="2"/>
      </rPr>
      <t>(purple)</t>
    </r>
    <r>
      <rPr>
        <i/>
        <sz val="10"/>
        <rFont val="Arial"/>
        <family val="2"/>
      </rPr>
      <t xml:space="preserve"> Lagerstroemia 'Purple Magic' PP28905</t>
    </r>
  </si>
  <si>
    <t>Purple Magic foliage is a glossy red/green, turning orange/red in fall. Tan bark exfoliates</t>
  </si>
  <si>
    <r>
      <t>Flip Side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Chaste Tree</t>
    </r>
    <r>
      <rPr>
        <sz val="10"/>
        <rFont val="Arial"/>
        <family val="2"/>
      </rPr>
      <t xml:space="preserve"> (purple blooms &amp; foliage) </t>
    </r>
    <r>
      <rPr>
        <i/>
        <sz val="10"/>
        <rFont val="Arial"/>
        <family val="2"/>
      </rPr>
      <t>Vitex x 'Bailtexone' PP30283</t>
    </r>
  </si>
  <si>
    <t>8'x10'</t>
  </si>
  <si>
    <t>Flip Side is named for the olive-green-mauve leaves, purple below. Any breeze will expose this as a purple plant</t>
  </si>
  <si>
    <t>6'x6'</t>
  </si>
  <si>
    <t>Midnight Magic has a purple-maroon foliage that really shows off the blooms</t>
  </si>
  <si>
    <r>
      <t>Summertime Blues</t>
    </r>
    <r>
      <rPr>
        <vertAlign val="superscript"/>
        <sz val="10"/>
        <rFont val="Arial"/>
        <family val="2"/>
      </rPr>
      <t>™</t>
    </r>
    <r>
      <rPr>
        <b/>
        <sz val="10"/>
        <rFont val="Arial"/>
        <family val="2"/>
      </rPr>
      <t xml:space="preserve"> Chaste Tree</t>
    </r>
    <r>
      <rPr>
        <sz val="10"/>
        <rFont val="Arial"/>
        <family val="2"/>
      </rPr>
      <t xml:space="preserve"> (lavender-purple) </t>
    </r>
    <r>
      <rPr>
        <i/>
        <sz val="10"/>
        <rFont val="Arial"/>
        <family val="2"/>
      </rPr>
      <t>Vitex x 'Helen Froehlich'</t>
    </r>
  </si>
  <si>
    <t>6'x5'</t>
  </si>
  <si>
    <t>Summertime Blues is new, with black stems, larger flowers, a longer bloom season, and no invasive tendencies</t>
  </si>
  <si>
    <r>
      <rPr>
        <b/>
        <sz val="10"/>
        <rFont val="Arial"/>
        <family val="2"/>
      </rPr>
      <t xml:space="preserve">Goblin Zelkova </t>
    </r>
    <r>
      <rPr>
        <i/>
        <sz val="10"/>
        <rFont val="Arial"/>
        <family val="2"/>
      </rPr>
      <t xml:space="preserve">Zelkova serrata 'Goblin'  </t>
    </r>
    <r>
      <rPr>
        <b/>
        <sz val="10"/>
        <rFont val="Arial"/>
        <family val="2"/>
      </rPr>
      <t>💧wet sites OK</t>
    </r>
  </si>
  <si>
    <t>6'x3'</t>
  </si>
  <si>
    <t>Goblin' narrow green leaves turn orange-yellow to reddish-purple in fall. Exfoliating bark</t>
  </si>
  <si>
    <t>4'x3'</t>
  </si>
  <si>
    <r>
      <t xml:space="preserve"> EVERGREEN SHRUBS</t>
    </r>
    <r>
      <rPr>
        <b/>
        <sz val="9"/>
        <color theme="0"/>
        <rFont val="Arial"/>
        <family val="2"/>
      </rPr>
      <t xml:space="preserve"> (bloom color)</t>
    </r>
  </si>
  <si>
    <r>
      <rPr>
        <b/>
        <sz val="10"/>
        <color theme="1"/>
        <rFont val="Arial"/>
        <family val="2"/>
      </rPr>
      <t>D</t>
    </r>
    <r>
      <rPr>
        <sz val="10"/>
        <color theme="1"/>
        <rFont val="Arial"/>
        <family val="2"/>
      </rPr>
      <t>🦌</t>
    </r>
    <r>
      <rPr>
        <b/>
        <sz val="9"/>
        <color theme="1"/>
        <rFont val="Arial"/>
        <family val="2"/>
      </rPr>
      <t>frequently</t>
    </r>
    <r>
      <rPr>
        <sz val="9"/>
        <color theme="1"/>
        <rFont val="Arial"/>
        <family val="2"/>
      </rPr>
      <t xml:space="preserve"> harm</t>
    </r>
  </si>
  <si>
    <t>typical 3g price</t>
  </si>
  <si>
    <t>some in this size</t>
  </si>
  <si>
    <t>Encores are available in a wide variety of different colors and sizes. Please see Grower 2 for most:</t>
  </si>
  <si>
    <r>
      <rPr>
        <sz val="10"/>
        <rFont val="Arial"/>
        <family val="2"/>
      </rPr>
      <t>🦋</t>
    </r>
    <r>
      <rPr>
        <sz val="9"/>
        <rFont val="Arial"/>
        <family val="2"/>
      </rPr>
      <t xml:space="preserve">butterflies </t>
    </r>
    <r>
      <rPr>
        <sz val="10"/>
        <rFont val="Arial"/>
        <family val="2"/>
      </rPr>
      <t>🕊</t>
    </r>
    <r>
      <rPr>
        <sz val="9"/>
        <rFont val="Arial"/>
        <family val="2"/>
      </rPr>
      <t>hummingbirds</t>
    </r>
    <r>
      <rPr>
        <b/>
        <sz val="11"/>
        <color rgb="FFCA6664"/>
        <rFont val="Arial"/>
        <family val="2"/>
      </rPr>
      <t>❤</t>
    </r>
  </si>
  <si>
    <r>
      <t xml:space="preserve">Hardy Anise Shrub </t>
    </r>
    <r>
      <rPr>
        <sz val="10"/>
        <rFont val="Arial"/>
        <family val="2"/>
      </rPr>
      <t xml:space="preserve">(chartreuse)  </t>
    </r>
    <r>
      <rPr>
        <b/>
        <sz val="10"/>
        <rFont val="Arial"/>
        <family val="2"/>
      </rPr>
      <t xml:space="preserve">💧wet sites OK </t>
    </r>
    <r>
      <rPr>
        <i/>
        <sz val="10"/>
        <rFont val="Arial"/>
        <family val="2"/>
      </rPr>
      <t xml:space="preserve"> Illicium parviflorum</t>
    </r>
  </si>
  <si>
    <t>Hardy Anise has both foliage and flowers with a yellow-green color. Licorice scent is offensive to deer</t>
  </si>
  <si>
    <r>
      <t>Hardy Banana</t>
    </r>
    <r>
      <rPr>
        <sz val="10"/>
        <rFont val="Arial"/>
        <family val="2"/>
      </rPr>
      <t xml:space="preserve"> (light yellow) </t>
    </r>
    <r>
      <rPr>
        <i/>
        <sz val="10"/>
        <rFont val="Arial"/>
        <family val="2"/>
      </rPr>
      <t>Musa basjoo</t>
    </r>
  </si>
  <si>
    <t>Hardy Banana is very cold-tolerant, to -20F, so it does not need to overwinter inside.  Fruit inedible, very bitter &amp; dry</t>
  </si>
  <si>
    <r>
      <rPr>
        <b/>
        <sz val="10"/>
        <rFont val="Arial"/>
        <family val="2"/>
      </rPr>
      <t>Zhuzhou Loropetalum</t>
    </r>
    <r>
      <rPr>
        <sz val="10"/>
        <rFont val="Arial"/>
        <family val="2"/>
      </rPr>
      <t xml:space="preserve"> (fuchsia pink)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Loropetalum chinense rubrum 'Zhuzhou Fuchsia'</t>
    </r>
  </si>
  <si>
    <t>Zhuzhou makes great Vase shaped ~ all Loropetalum are semi-evergreen, so may lose foliage in colder winters ~</t>
  </si>
  <si>
    <r>
      <rPr>
        <b/>
        <sz val="10"/>
        <rFont val="Arial"/>
        <family val="2"/>
      </rPr>
      <t xml:space="preserve">Serendipity Magnolia </t>
    </r>
    <r>
      <rPr>
        <sz val="10"/>
        <rFont val="Arial"/>
        <family val="2"/>
      </rPr>
      <t>(creamy yellow)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Magnolia figo 'Serendipity'</t>
    </r>
  </si>
  <si>
    <t>15'x8'</t>
  </si>
  <si>
    <t>Serendipity &amp; Stellar Ruby formerly known as banana shrubs. Blooms smell like bananas, late spring to summer</t>
  </si>
  <si>
    <r>
      <rPr>
        <sz val="10"/>
        <rFont val="Arial"/>
        <family val="2"/>
      </rPr>
      <t>🐦</t>
    </r>
    <r>
      <rPr>
        <sz val="9"/>
        <rFont val="Arial"/>
        <family val="2"/>
      </rPr>
      <t>birds</t>
    </r>
    <r>
      <rPr>
        <sz val="10"/>
        <rFont val="Arial"/>
        <family val="2"/>
      </rPr>
      <t xml:space="preserve"> 🦋</t>
    </r>
    <r>
      <rPr>
        <sz val="9"/>
        <rFont val="Arial"/>
        <family val="2"/>
      </rPr>
      <t>butterflies</t>
    </r>
    <r>
      <rPr>
        <b/>
        <sz val="11"/>
        <color rgb="FFCA6664"/>
        <rFont val="Arial"/>
        <family val="2"/>
      </rPr>
      <t>❤</t>
    </r>
  </si>
  <si>
    <r>
      <rPr>
        <b/>
        <sz val="10"/>
        <rFont val="Arial"/>
        <family val="2"/>
      </rPr>
      <t>Stellar Ruby</t>
    </r>
    <r>
      <rPr>
        <b/>
        <sz val="10"/>
        <rFont val="Arial"/>
        <family val="2"/>
      </rPr>
      <t xml:space="preserve"> Magnolia</t>
    </r>
    <r>
      <rPr>
        <sz val="10"/>
        <rFont val="Arial"/>
        <family val="2"/>
      </rPr>
      <t xml:space="preserve"> (ruby)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Magnolia x figo 'Stellar Ruby' PP29778</t>
    </r>
  </si>
  <si>
    <t>Stellar Ruby is vigorous &amp; hardy. Blooms &amp; reblooms from early spring through summer</t>
  </si>
  <si>
    <r>
      <t>Ebbing's Silverberry Elaeagnus</t>
    </r>
    <r>
      <rPr>
        <sz val="10"/>
        <rFont val="Arial"/>
        <family val="2"/>
      </rPr>
      <t xml:space="preserve"> (creamy white) </t>
    </r>
    <r>
      <rPr>
        <i/>
        <sz val="10"/>
        <rFont val="Arial"/>
        <family val="2"/>
      </rPr>
      <t>Elaeagnus x ebbingei 'Ebbing's Silverberry'</t>
    </r>
  </si>
  <si>
    <t>Ebbing's is thornless, with silver-scaled foliage. Elaeagnus is a vigorous grower, often seen as invasive</t>
  </si>
  <si>
    <r>
      <rPr>
        <b/>
        <sz val="10"/>
        <rFont val="Arial"/>
        <family val="2"/>
      </rPr>
      <t>Yuletide Camellia</t>
    </r>
    <r>
      <rPr>
        <sz val="10"/>
        <rFont val="Arial"/>
        <family val="2"/>
      </rPr>
      <t xml:space="preserve"> (bright red, yellow center)</t>
    </r>
    <r>
      <rPr>
        <i/>
        <sz val="10"/>
        <rFont val="Arial"/>
        <family val="2"/>
      </rPr>
      <t xml:space="preserve"> Camellia sasanqua 'Yuletide'</t>
    </r>
  </si>
  <si>
    <t>26"</t>
  </si>
  <si>
    <t>Yuletide named for it's reliable blooms at Christmas time</t>
  </si>
  <si>
    <r>
      <t>Skip Laurel</t>
    </r>
    <r>
      <rPr>
        <sz val="10"/>
        <rFont val="Arial"/>
        <family val="2"/>
      </rPr>
      <t xml:space="preserve"> (creamy white)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Prunus laurocerasus 'West Coast Schipkaensis'</t>
    </r>
  </si>
  <si>
    <t>Skip foliage is dark green on top, light green on bottom. Fragrant flowers are followed by small black drupes</t>
  </si>
  <si>
    <r>
      <rPr>
        <b/>
        <sz val="10"/>
        <rFont val="Arial"/>
        <family val="2"/>
      </rPr>
      <t>Aucuba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 xml:space="preserve">Aucuba japonica </t>
    </r>
  </si>
  <si>
    <t>Aucuba will thrive in a problem spot: dry shade. Plain Aucuba should have no speckles - Google Images will lead you astray</t>
  </si>
  <si>
    <r>
      <rPr>
        <b/>
        <sz val="10"/>
        <rFont val="Arial"/>
        <family val="2"/>
      </rPr>
      <t>Gold Dust Aucuba</t>
    </r>
    <r>
      <rPr>
        <i/>
        <sz val="10"/>
        <rFont val="Arial"/>
        <family val="2"/>
      </rPr>
      <t xml:space="preserve"> Aucuba japonica 'Gold Dust' (or 'Variegata')</t>
    </r>
  </si>
  <si>
    <t>Gold Dust is speckled with gold. For fall berries, plant a male nearby (Mr. Goldstrike, Crassifolia, Golden King, or Lance Leaf)</t>
  </si>
  <si>
    <r>
      <rPr>
        <b/>
        <sz val="10"/>
        <rFont val="Arial"/>
        <family val="2"/>
      </rPr>
      <t>Kanjiro Camellia</t>
    </r>
    <r>
      <rPr>
        <sz val="10"/>
        <rFont val="Arial"/>
        <family val="2"/>
      </rPr>
      <t xml:space="preserve"> (pink)</t>
    </r>
    <r>
      <rPr>
        <i/>
        <sz val="10"/>
        <rFont val="Arial"/>
        <family val="2"/>
      </rPr>
      <t xml:space="preserve"> Camellia sasanqua 'Kanjiro'</t>
    </r>
  </si>
  <si>
    <t>Kanjiro is a rare 'taller than wide' Camellia. Fragrant</t>
  </si>
  <si>
    <r>
      <rPr>
        <b/>
        <sz val="10"/>
        <rFont val="Arial"/>
        <family val="2"/>
      </rPr>
      <t>Dee Runk Boxwood</t>
    </r>
    <r>
      <rPr>
        <i/>
        <sz val="10"/>
        <rFont val="Arial"/>
        <family val="2"/>
      </rPr>
      <t xml:space="preserve"> Buxus sempervirens 'Dee Runk'</t>
    </r>
  </si>
  <si>
    <t>10'x3'</t>
  </si>
  <si>
    <t>Dee Runk grows as a narrow pyramid. Dark green leaves the size of a pinky nail</t>
  </si>
  <si>
    <t>8'x9'</t>
  </si>
  <si>
    <t>Emerald Heights, like all Distylium, are durable once established. Tolerant of drought, shade, and wildlife</t>
  </si>
  <si>
    <r>
      <t>Ruby Loropetalum</t>
    </r>
    <r>
      <rPr>
        <sz val="10"/>
        <rFont val="Arial"/>
        <family val="2"/>
      </rPr>
      <t xml:space="preserve"> (pink)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Loropetalum chinense 'Ruby'</t>
    </r>
  </si>
  <si>
    <t>15"wide</t>
  </si>
  <si>
    <t>12"wide</t>
  </si>
  <si>
    <t>Loropetalum is semi-evergreen ~ all Loro bloom sporadically after spring flush, surprising you late season ~</t>
  </si>
  <si>
    <r>
      <t xml:space="preserve">Woodland Ruby Anise </t>
    </r>
    <r>
      <rPr>
        <sz val="10"/>
        <rFont val="Arial"/>
        <family val="2"/>
      </rPr>
      <t xml:space="preserve">(purple-red)  </t>
    </r>
    <r>
      <rPr>
        <b/>
        <sz val="10"/>
        <rFont val="Arial"/>
        <family val="2"/>
      </rPr>
      <t xml:space="preserve">💧wet sites OK </t>
    </r>
    <r>
      <rPr>
        <i/>
        <sz val="10"/>
        <rFont val="Arial"/>
        <family val="2"/>
      </rPr>
      <t xml:space="preserve"> Illicium x 'Woodland Ruby'</t>
    </r>
  </si>
  <si>
    <t>Woodland Ruby fragrant spring to mid-summer. Parts are toxic to people &amp; pets, Anise spice made from 'Illicium verum' only</t>
  </si>
  <si>
    <r>
      <t>Curly Leaf Privet</t>
    </r>
    <r>
      <rPr>
        <sz val="10"/>
        <rFont val="Arial"/>
        <family val="2"/>
      </rPr>
      <t xml:space="preserve"> (white) </t>
    </r>
    <r>
      <rPr>
        <i/>
        <sz val="10"/>
        <rFont val="Arial"/>
        <family val="2"/>
      </rPr>
      <t>Ligustrum japonicum 'Rotundifolium'</t>
    </r>
  </si>
  <si>
    <t>8'x6'</t>
  </si>
  <si>
    <t>Curly Leaf blooms late spring to early summer. Curled foliage resembles a Jade plant</t>
  </si>
  <si>
    <r>
      <t>Golden Euonymus</t>
    </r>
    <r>
      <rPr>
        <sz val="10"/>
        <rFont val="Arial"/>
        <family val="2"/>
      </rPr>
      <t xml:space="preserve"> (greenish-white)</t>
    </r>
    <r>
      <rPr>
        <i/>
        <sz val="10"/>
        <rFont val="Arial"/>
        <family val="2"/>
      </rPr>
      <t xml:space="preserve"> Euonymus japonicus 'Aureo-marginatus'</t>
    </r>
  </si>
  <si>
    <t>Golden Euonymus is dense and sturdy. Inconspicuous spring blooms. Can be sheared</t>
  </si>
  <si>
    <r>
      <rPr>
        <b/>
        <sz val="10"/>
        <rFont val="Arial"/>
        <family val="2"/>
      </rPr>
      <t>Steeds Holly</t>
    </r>
    <r>
      <rPr>
        <sz val="10"/>
        <rFont val="Arial"/>
        <family val="2"/>
      </rPr>
      <t xml:space="preserve"> (white)</t>
    </r>
    <r>
      <rPr>
        <i/>
        <sz val="10"/>
        <rFont val="Arial"/>
        <family val="2"/>
      </rPr>
      <t xml:space="preserve"> Ilex crenata 'Steeds'</t>
    </r>
  </si>
  <si>
    <t>Steeds is a dense, lustrous, upright pyramidal shrub that shears well. Tiny flowers produce ornamental winter black berries</t>
  </si>
  <si>
    <r>
      <rPr>
        <b/>
        <sz val="10"/>
        <rFont val="Arial"/>
        <family val="2"/>
      </rPr>
      <t>Greenspire Euonymus</t>
    </r>
    <r>
      <rPr>
        <sz val="10"/>
        <rFont val="Arial"/>
        <family val="2"/>
      </rPr>
      <t xml:space="preserve"> (white)</t>
    </r>
    <r>
      <rPr>
        <i/>
        <sz val="10"/>
        <rFont val="Arial"/>
        <family val="2"/>
      </rPr>
      <t xml:space="preserve"> Euonymus japonicus 'Green Spire'</t>
    </r>
  </si>
  <si>
    <t>8'x4'</t>
  </si>
  <si>
    <t>Greenspire flowers are inconspicuous. Grows dense and irregular. Can be trimmed without damage anytime</t>
  </si>
  <si>
    <r>
      <rPr>
        <b/>
        <sz val="10"/>
        <rFont val="Arial"/>
        <family val="2"/>
      </rPr>
      <t>Marmorata Aucuba</t>
    </r>
    <r>
      <rPr>
        <i/>
        <sz val="10"/>
        <rFont val="Arial"/>
        <family val="2"/>
      </rPr>
      <t xml:space="preserve"> Aucuba japonica 'Marmorata'</t>
    </r>
  </si>
  <si>
    <t>Marmorata may have the brightest gold speckling of the Aucubas. Narrow form</t>
  </si>
  <si>
    <r>
      <rPr>
        <b/>
        <sz val="10"/>
        <rFont val="Arial"/>
        <family val="2"/>
      </rPr>
      <t xml:space="preserve">Angelica Blue Juniper </t>
    </r>
    <r>
      <rPr>
        <i/>
        <sz val="10"/>
        <rFont val="Arial"/>
        <family val="2"/>
      </rPr>
      <t>Juniperus chinensis 'Angelica Blue'</t>
    </r>
  </si>
  <si>
    <t>6'x8'</t>
  </si>
  <si>
    <t>Angelica Blue maintains a blue color year-round on soft feathery foliage</t>
  </si>
  <si>
    <r>
      <rPr>
        <b/>
        <sz val="10"/>
        <rFont val="Arial"/>
        <family val="2"/>
      </rPr>
      <t>Compacta Japanese Holly</t>
    </r>
    <r>
      <rPr>
        <i/>
        <sz val="10"/>
        <rFont val="Arial"/>
        <family val="2"/>
      </rPr>
      <t xml:space="preserve"> Ilex crenata 'Compacta'</t>
    </r>
  </si>
  <si>
    <t>Compacta is best in full sun, as a hedge or foundation plant. Good substitute for Boxwood</t>
  </si>
  <si>
    <r>
      <rPr>
        <b/>
        <sz val="10"/>
        <rFont val="Arial"/>
        <family val="2"/>
      </rPr>
      <t>Dark Fire Loropetalum</t>
    </r>
    <r>
      <rPr>
        <sz val="10"/>
        <rFont val="Arial"/>
        <family val="2"/>
      </rPr>
      <t xml:space="preserve"> (neon pink) </t>
    </r>
    <r>
      <rPr>
        <i/>
        <sz val="10"/>
        <rFont val="Arial"/>
        <family val="2"/>
      </rPr>
      <t>Loropetalum chinensis var. rubrum 'Dark Fire'</t>
    </r>
  </si>
  <si>
    <t>15"x18"wide</t>
  </si>
  <si>
    <t>Dark Fire are DARK, and, an exception to dictum: ~ all Loro foliage turns greener over course of the hot season ~</t>
  </si>
  <si>
    <r>
      <rPr>
        <b/>
        <sz val="10"/>
        <rFont val="Arial"/>
        <family val="2"/>
      </rPr>
      <t>Dwarf Burford Holly</t>
    </r>
    <r>
      <rPr>
        <sz val="10"/>
        <rFont val="Arial"/>
        <family val="2"/>
      </rPr>
      <t xml:space="preserve"> (white) </t>
    </r>
    <r>
      <rPr>
        <i/>
        <sz val="10"/>
        <rFont val="Arial"/>
        <family val="2"/>
      </rPr>
      <t>Ilex cornuta 'Burfordii Nana'</t>
    </r>
  </si>
  <si>
    <t>Dwarf Burford springtime flower clusters are fragrant, somewhat showy. Self-pollinates for bright red berries in winter</t>
  </si>
  <si>
    <r>
      <rPr>
        <b/>
        <sz val="10"/>
        <rFont val="Arial"/>
        <family val="2"/>
      </rPr>
      <t>Gold Mop Cypress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Chamaecyparis pisifera 'Golden Mop'</t>
    </r>
  </si>
  <si>
    <t>5.5' staked tree form</t>
  </si>
  <si>
    <t>Gold Mop does look like a mop! Leave room for this plant to get rather wide at base</t>
  </si>
  <si>
    <r>
      <t>Goshiki Osmanthus</t>
    </r>
    <r>
      <rPr>
        <sz val="10"/>
        <rFont val="Arial"/>
        <family val="2"/>
      </rPr>
      <t xml:space="preserve"> (white)</t>
    </r>
    <r>
      <rPr>
        <i/>
        <sz val="10"/>
        <rFont val="Arial"/>
        <family val="2"/>
      </rPr>
      <t xml:space="preserve"> Osmanthus heterophyllus 'Goshiki'</t>
    </r>
  </si>
  <si>
    <t>Goshiki means '5 colors' in Japanese. Foliage emerges pink/red, then quickly turns green, with white, gold and bronze variegation</t>
  </si>
  <si>
    <r>
      <t>Spring Bouquet Viburnum</t>
    </r>
    <r>
      <rPr>
        <sz val="10"/>
        <rFont val="Arial"/>
        <family val="2"/>
      </rPr>
      <t xml:space="preserve"> (pink fades to white)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Viburnum tinus 'Compactum'</t>
    </r>
  </si>
  <si>
    <t>Spring Bouquet honey-scented blooms give way to attractive lavender/blue berries</t>
  </si>
  <si>
    <r>
      <t>Jazz Hands Variegated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Loropetalum</t>
    </r>
    <r>
      <rPr>
        <sz val="10"/>
        <rFont val="Arial"/>
        <family val="2"/>
      </rPr>
      <t xml:space="preserve"> (pink)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Loropetalum chinense 'Irodori' PP27713</t>
    </r>
  </si>
  <si>
    <t>Jazz Hands Variegated sports pink and white variegation in foliage</t>
  </si>
  <si>
    <r>
      <rPr>
        <b/>
        <sz val="10"/>
        <rFont val="Arial"/>
        <family val="2"/>
      </rPr>
      <t xml:space="preserve">Sunshine Privet </t>
    </r>
    <r>
      <rPr>
        <sz val="10"/>
        <rFont val="Arial"/>
        <family val="2"/>
      </rPr>
      <t>(white)</t>
    </r>
    <r>
      <rPr>
        <i/>
        <sz val="10"/>
        <rFont val="Arial"/>
        <family val="2"/>
      </rPr>
      <t xml:space="preserve"> Ligustrum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sinense 'Sunshine' PP20379</t>
    </r>
  </si>
  <si>
    <t>pruned</t>
  </si>
  <si>
    <r>
      <t>August Beauty Gardenia</t>
    </r>
    <r>
      <rPr>
        <sz val="10"/>
        <rFont val="Arial"/>
        <family val="2"/>
      </rPr>
      <t xml:space="preserve"> (white)</t>
    </r>
    <r>
      <rPr>
        <i/>
        <sz val="10"/>
        <rFont val="Arial"/>
        <family val="2"/>
      </rPr>
      <t xml:space="preserve"> Gardenia jasminoides 'August Beauty'</t>
    </r>
  </si>
  <si>
    <t>6'x4'</t>
  </si>
  <si>
    <t>August Beauty is named for it's 3-month bloom cycle, reaching into August. Fragrant</t>
  </si>
  <si>
    <r>
      <t>Dwarf Hinoki Falsecypress</t>
    </r>
    <r>
      <rPr>
        <i/>
        <sz val="10"/>
        <rFont val="Arial"/>
        <family val="2"/>
      </rPr>
      <t xml:space="preserve"> Chamaecyparis obtusa 'Nana Gracilis'</t>
    </r>
  </si>
  <si>
    <t>3"</t>
  </si>
  <si>
    <t>Dwarf Hinoki is VERY slow growing, maybe 3' in 10 years, then, eventually, even taller than the posted 6' height</t>
  </si>
  <si>
    <r>
      <t>Otto Luyken Laurel</t>
    </r>
    <r>
      <rPr>
        <sz val="10"/>
        <rFont val="Arial"/>
        <family val="2"/>
      </rPr>
      <t xml:space="preserve"> (white)</t>
    </r>
    <r>
      <rPr>
        <i/>
        <sz val="10"/>
        <rFont val="Arial"/>
        <family val="2"/>
      </rPr>
      <t xml:space="preserve"> Prunus Laurocerasus 'Otto Luyken'</t>
    </r>
  </si>
  <si>
    <t>5'x8'</t>
  </si>
  <si>
    <t>Otto Luyken is more pest resistant than other Prunus. Fragrant blooms followed by small black fruit</t>
  </si>
  <si>
    <r>
      <rPr>
        <b/>
        <sz val="10"/>
        <rFont val="Arial"/>
        <family val="2"/>
      </rPr>
      <t>Shishigashira Camellia</t>
    </r>
    <r>
      <rPr>
        <sz val="10"/>
        <rFont val="Arial"/>
        <family val="2"/>
      </rPr>
      <t xml:space="preserve"> (pink) </t>
    </r>
    <r>
      <rPr>
        <i/>
        <sz val="10"/>
        <rFont val="Arial"/>
        <family val="2"/>
      </rPr>
      <t>Camellia sasanqua 'Shishigashira'</t>
    </r>
  </si>
  <si>
    <t>Shishigashira translates to 'Lion's Head', with a double bloom and a yellow center</t>
  </si>
  <si>
    <t>5'x6'</t>
  </si>
  <si>
    <r>
      <t>Eastbay Privet</t>
    </r>
    <r>
      <rPr>
        <sz val="10"/>
        <rFont val="Arial"/>
        <family val="2"/>
      </rPr>
      <t xml:space="preserve"> (white)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Ligustrum japonicum 'East Bay'</t>
    </r>
  </si>
  <si>
    <t>Eastbay fragrant blooms appear in May. Salt, sun, shade and hedging tolerant</t>
  </si>
  <si>
    <r>
      <t xml:space="preserve">Globosa Nana Cryptomeria </t>
    </r>
    <r>
      <rPr>
        <i/>
        <sz val="10"/>
        <rFont val="Arial"/>
        <family val="2"/>
      </rPr>
      <t>Cryptomeria 'Globosa Nana'</t>
    </r>
  </si>
  <si>
    <t>5'x5'</t>
  </si>
  <si>
    <t>18"wide</t>
  </si>
  <si>
    <t>Globosa Nana grows naturally into a dense, dome shape. Bluish-green foliage turns rusty-red in winter</t>
  </si>
  <si>
    <r>
      <t>Frostproof Gardenia</t>
    </r>
    <r>
      <rPr>
        <sz val="10"/>
        <rFont val="Arial"/>
        <family val="2"/>
      </rPr>
      <t xml:space="preserve"> (white)</t>
    </r>
    <r>
      <rPr>
        <i/>
        <sz val="10"/>
        <rFont val="Arial"/>
        <family val="2"/>
      </rPr>
      <t xml:space="preserve"> Gardenia jasminoides 'Frostproof'</t>
    </r>
  </si>
  <si>
    <t>5'x4'</t>
  </si>
  <si>
    <t>Frostproof resists late spring frosts. Fragrant blooms are more abundant than other Gardenia</t>
  </si>
  <si>
    <r>
      <rPr>
        <b/>
        <sz val="10"/>
        <rFont val="Arial"/>
        <family val="2"/>
      </rPr>
      <t>Florida Sunshine</t>
    </r>
    <r>
      <rPr>
        <b/>
        <sz val="10"/>
        <rFont val="Arial"/>
        <family val="2"/>
      </rPr>
      <t xml:space="preserve"> Anise</t>
    </r>
    <r>
      <rPr>
        <sz val="10"/>
        <rFont val="Arial"/>
        <family val="2"/>
      </rPr>
      <t xml:space="preserve"> (chartreuse) </t>
    </r>
    <r>
      <rPr>
        <b/>
        <sz val="10"/>
        <rFont val="Arial"/>
        <family val="2"/>
      </rPr>
      <t>💧wet sites OK</t>
    </r>
    <r>
      <rPr>
        <i/>
        <sz val="10"/>
        <rFont val="Arial"/>
        <family val="2"/>
      </rPr>
      <t xml:space="preserve"> Illicium parviflorum 'Florida Sunshine'</t>
    </r>
  </si>
  <si>
    <t>5'x3'</t>
  </si>
  <si>
    <r>
      <rPr>
        <sz val="12"/>
        <color rgb="FFFF9900"/>
        <rFont val="Calibri"/>
        <family val="2"/>
        <scheme val="minor"/>
      </rPr>
      <t>🌤</t>
    </r>
    <r>
      <rPr>
        <sz val="10.5"/>
        <color theme="1"/>
        <rFont val="Calibri"/>
        <family val="2"/>
        <scheme val="minor"/>
      </rPr>
      <t>Part Shade</t>
    </r>
  </si>
  <si>
    <t>Florida Sunshine brightens shady spots. Fragrant. Stems turn reddish in winter. Introduced by Plant Delights of Raleigh</t>
  </si>
  <si>
    <t>4'x8'</t>
  </si>
  <si>
    <r>
      <t>Carissa Holly</t>
    </r>
    <r>
      <rPr>
        <sz val="10"/>
        <rFont val="Arial"/>
        <family val="2"/>
      </rPr>
      <t xml:space="preserve"> (white) </t>
    </r>
    <r>
      <rPr>
        <i/>
        <sz val="10"/>
        <rFont val="Arial"/>
        <family val="2"/>
      </rPr>
      <t>Ilex cornuta 'Carissa'</t>
    </r>
  </si>
  <si>
    <t>4'x5'</t>
  </si>
  <si>
    <t>1.5'wide</t>
  </si>
  <si>
    <t>2'wide</t>
  </si>
  <si>
    <t>Carissa are sharp. Use to keep kids &amp; pets out of an area. Fragrant, showy blooms are followed by bright red berries</t>
  </si>
  <si>
    <r>
      <t>Dwarf Yaupon Holly</t>
    </r>
    <r>
      <rPr>
        <i/>
        <sz val="10"/>
        <rFont val="Arial"/>
        <family val="2"/>
      </rPr>
      <t xml:space="preserve"> Ilex vomitoria 'Nana' </t>
    </r>
    <r>
      <rPr>
        <b/>
        <sz val="10"/>
        <rFont val="Arial"/>
        <family val="2"/>
      </rPr>
      <t>💧wet sites OK</t>
    </r>
  </si>
  <si>
    <t>10"</t>
  </si>
  <si>
    <r>
      <t>Helleri Holly</t>
    </r>
    <r>
      <rPr>
        <i/>
        <sz val="10"/>
        <rFont val="Arial"/>
        <family val="2"/>
      </rPr>
      <t xml:space="preserve"> Ilex crenata 'Helleri'</t>
    </r>
  </si>
  <si>
    <t>Helleri is naturally a nice shape, with no pruning. A female plant, requiring a male to bloom, but insignificant blooms &amp; black berries anyway</t>
  </si>
  <si>
    <r>
      <t>Moonlit Lace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Viburnum</t>
    </r>
    <r>
      <rPr>
        <sz val="10"/>
        <rFont val="Arial"/>
        <family val="2"/>
      </rPr>
      <t xml:space="preserve"> (white)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Viburnum x 'sPg-3-024'</t>
    </r>
  </si>
  <si>
    <t>20"</t>
  </si>
  <si>
    <t>Moonlit Lace has fragrant white spring flowers. Glossy, green foliage (on burgundy stems) turns burgundy in fall</t>
  </si>
  <si>
    <r>
      <t>Scorpio Anise</t>
    </r>
    <r>
      <rPr>
        <sz val="10"/>
        <rFont val="Arial"/>
        <family val="2"/>
      </rPr>
      <t xml:space="preserve"> (red)  </t>
    </r>
    <r>
      <rPr>
        <b/>
        <sz val="10"/>
        <rFont val="Arial"/>
        <family val="2"/>
      </rPr>
      <t>💧wet sites OK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 xml:space="preserve"> Illicium x 'NCH1' PP29,939</t>
    </r>
  </si>
  <si>
    <t>Scorpio may bloom throughout year. Fragrant. Introduced by NCSU</t>
  </si>
  <si>
    <t>4'x4'</t>
  </si>
  <si>
    <t>Blue Cascade' blue-green foliage layers nicely. Spider-like flowers emerge late winter. Heat and drought tolerant</t>
  </si>
  <si>
    <r>
      <t>Golden Globe Arborvitae</t>
    </r>
    <r>
      <rPr>
        <i/>
        <sz val="10"/>
        <rFont val="Arial"/>
        <family val="2"/>
      </rPr>
      <t xml:space="preserve"> Thuja occidentalis 'Golden Globe'</t>
    </r>
  </si>
  <si>
    <t>Golden Globe naturally forms a golden yellow globe</t>
  </si>
  <si>
    <r>
      <t>Hetz Midget Arborvitae</t>
    </r>
    <r>
      <rPr>
        <i/>
        <sz val="10"/>
        <rFont val="Arial"/>
        <family val="2"/>
      </rPr>
      <t xml:space="preserve"> Thuja occidentalis 'Hetz Midget'</t>
    </r>
  </si>
  <si>
    <t>Hetz Midget naturally forms a rich green globe, with a purple cast in winter</t>
  </si>
  <si>
    <r>
      <t>Lemon Lime</t>
    </r>
    <r>
      <rPr>
        <b/>
        <sz val="10"/>
        <rFont val="Arial"/>
        <family val="2"/>
      </rPr>
      <t xml:space="preserve"> Nandina </t>
    </r>
    <r>
      <rPr>
        <i/>
        <sz val="10"/>
        <rFont val="Arial"/>
        <family val="2"/>
      </rPr>
      <t>Nandina domestica 'Lemon Lime' PP24749</t>
    </r>
  </si>
  <si>
    <t>18" low supply</t>
  </si>
  <si>
    <t>Lemon Lime is unique among Nandina with it's bright citrus hue. It does not turn red in winter, as most Nandina do</t>
  </si>
  <si>
    <r>
      <t>Vintage Gold Falsecypress</t>
    </r>
    <r>
      <rPr>
        <i/>
        <sz val="10"/>
        <rFont val="Arial"/>
        <family val="2"/>
      </rPr>
      <t xml:space="preserve"> Chamaecyparis pisifera 'Vintage Gold'</t>
    </r>
  </si>
  <si>
    <t>Vintage Gold' feathery gold foliage is not sharp. A good moderate-size alternate to 'Gold Mop'. Good winter color</t>
  </si>
  <si>
    <r>
      <t xml:space="preserve">Winter Gem Boxwood </t>
    </r>
    <r>
      <rPr>
        <i/>
        <sz val="10"/>
        <rFont val="Arial"/>
        <family val="2"/>
      </rPr>
      <t>Buxus microphylla 'Winter Gem'</t>
    </r>
  </si>
  <si>
    <t>Winter Gem is one of the hardiest of the small-leaved boxwoods. Bronze hue in winter</t>
  </si>
  <si>
    <r>
      <t>Wintergreen Boxwood</t>
    </r>
    <r>
      <rPr>
        <i/>
        <sz val="10"/>
        <rFont val="Arial"/>
        <family val="2"/>
      </rPr>
      <t xml:space="preserve"> Buxus microphyla 'Wintergreen'</t>
    </r>
  </si>
  <si>
    <r>
      <t>John Baldwin Boxwood</t>
    </r>
    <r>
      <rPr>
        <i/>
        <sz val="10"/>
        <rFont val="Arial"/>
        <family val="2"/>
      </rPr>
      <t xml:space="preserve"> Buxus microphylla 'John Baldwin'</t>
    </r>
  </si>
  <si>
    <t>John Baldwin should maintain a true conical shape with minimal pruning. Hint of blue in new foliage</t>
  </si>
  <si>
    <r>
      <rPr>
        <b/>
        <sz val="10"/>
        <rFont val="Arial"/>
        <family val="2"/>
      </rPr>
      <t>Grey Owl Juniper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Juniperus virginiana 'Grey Owl'</t>
    </r>
  </si>
  <si>
    <t>3'x6'</t>
  </si>
  <si>
    <t xml:space="preserve">Grey Owl is a female, producing blue berry-like cones that birds enjoy. Arching branches of silver-grey foliage. </t>
  </si>
  <si>
    <r>
      <t>Radiance</t>
    </r>
    <r>
      <rPr>
        <b/>
        <sz val="10"/>
        <rFont val="Arial"/>
        <family val="2"/>
      </rPr>
      <t xml:space="preserve"> Abelia</t>
    </r>
    <r>
      <rPr>
        <sz val="10"/>
        <rFont val="Arial"/>
        <family val="2"/>
      </rPr>
      <t xml:space="preserve"> (white)</t>
    </r>
    <r>
      <rPr>
        <i/>
        <sz val="10"/>
        <rFont val="Arial"/>
        <family val="2"/>
      </rPr>
      <t xml:space="preserve"> Abelia x grandiflora 'Radiance' PP21929</t>
    </r>
  </si>
  <si>
    <t>3'x5'</t>
  </si>
  <si>
    <t>Radiance holds it's color through winter. Red stems contrast with the green/yellow foliage. Fragrant flowers</t>
  </si>
  <si>
    <t>3'x4'</t>
  </si>
  <si>
    <t>Cinnamon Girl has smaller leaves . All distylium are very tolerant of heat, drought, and wet soil, as well as disease and insect resistant</t>
  </si>
  <si>
    <r>
      <t>Daruma Loropetalum</t>
    </r>
    <r>
      <rPr>
        <sz val="10"/>
        <rFont val="Arial"/>
        <family val="2"/>
      </rPr>
      <t xml:space="preserve"> (hot pink)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Loropetalum chinense var. rubrum 'Daruma'</t>
    </r>
  </si>
  <si>
    <t>Daruma is a compact sport of the Ruby Loro.</t>
  </si>
  <si>
    <r>
      <t>Golden Soft Touch Holly</t>
    </r>
    <r>
      <rPr>
        <i/>
        <sz val="10"/>
        <rFont val="Arial"/>
        <family val="2"/>
      </rPr>
      <t xml:space="preserve"> Ilex crenata 'Golden Soft Touch'</t>
    </r>
  </si>
  <si>
    <t>Golden Soft Touch is indeed soft to the touch. Not drought tolerant</t>
  </si>
  <si>
    <t>Kaleidoscope foliage is a palette of color, changing over seasons. The longest blooming of the Abelias</t>
  </si>
  <si>
    <r>
      <t>Little Richard Abelia</t>
    </r>
    <r>
      <rPr>
        <sz val="10"/>
        <rFont val="Arial"/>
        <family val="2"/>
      </rPr>
      <t xml:space="preserve"> (white)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Abelia x grandiflora 'Little Richard'</t>
    </r>
  </si>
  <si>
    <t>20"wide</t>
  </si>
  <si>
    <t>Little Richard foliage is green with copper edges, then changes to orange-pink hue in winter. Blooms May to frost</t>
  </si>
  <si>
    <r>
      <t xml:space="preserve">Prostrate Japanese Plum Yew </t>
    </r>
    <r>
      <rPr>
        <i/>
        <sz val="10"/>
        <rFont val="Arial"/>
        <family val="2"/>
      </rPr>
      <t>Cephalotaxus harringtonia 'Prostrata'</t>
    </r>
  </si>
  <si>
    <t>Prostrate Yew is your solution for a shady area. Needle-like foliage. Not for 100% sun area, as foliage may yellow</t>
  </si>
  <si>
    <r>
      <t>Purple Daydream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Loropetalum</t>
    </r>
    <r>
      <rPr>
        <sz val="10"/>
        <rFont val="Arial"/>
        <family val="2"/>
      </rPr>
      <t xml:space="preserve"> (pink) </t>
    </r>
    <r>
      <rPr>
        <i/>
        <sz val="10"/>
        <rFont val="Arial"/>
        <family val="2"/>
      </rPr>
      <t>Loropetalum chinense 'PIILC-III' PP25471</t>
    </r>
  </si>
  <si>
    <t>Purple Daydream retains it's color very well year-round</t>
  </si>
  <si>
    <r>
      <t>Soft Touch Holly</t>
    </r>
    <r>
      <rPr>
        <i/>
        <sz val="10"/>
        <rFont val="Arial"/>
        <family val="2"/>
      </rPr>
      <t xml:space="preserve"> Ilex crenata 'Soft Touch'</t>
    </r>
  </si>
  <si>
    <t>Soft Touch is indeed soft to the touch. Deep green foliage with a silver mid-vein. Lustrous black berries in fall. Not drought tolerant</t>
  </si>
  <si>
    <r>
      <t>Wolfpack Red Azalea</t>
    </r>
    <r>
      <rPr>
        <sz val="10"/>
        <rFont val="Arial"/>
        <family val="2"/>
      </rPr>
      <t xml:space="preserve"> (NC State red) </t>
    </r>
    <r>
      <rPr>
        <i/>
        <sz val="10"/>
        <rFont val="Arial"/>
        <family val="2"/>
      </rPr>
      <t>Rhododendron 'Wolfpack Red'</t>
    </r>
  </si>
  <si>
    <t>Wolfpack is a great homage to NCSU, and was indeed released by NCSU</t>
  </si>
  <si>
    <r>
      <t>🕊hummingbirds</t>
    </r>
    <r>
      <rPr>
        <b/>
        <sz val="11"/>
        <color rgb="FFCA6664"/>
        <rFont val="Arial"/>
        <family val="2"/>
      </rPr>
      <t>❤</t>
    </r>
  </si>
  <si>
    <r>
      <t>Baby Gem</t>
    </r>
    <r>
      <rPr>
        <vertAlign val="superscript"/>
        <sz val="10"/>
        <rFont val="Arial"/>
        <family val="2"/>
      </rPr>
      <t>™</t>
    </r>
    <r>
      <rPr>
        <b/>
        <sz val="10"/>
        <rFont val="Arial"/>
        <family val="2"/>
      </rPr>
      <t xml:space="preserve"> Boxwood</t>
    </r>
    <r>
      <rPr>
        <i/>
        <sz val="10"/>
        <rFont val="Arial"/>
        <family val="2"/>
      </rPr>
      <t xml:space="preserve"> Buxus microphylla japonica 'Gregem' PP21159</t>
    </r>
  </si>
  <si>
    <t>3'x3'</t>
  </si>
  <si>
    <t>Baby Gem is year-round dark green, holding it's color in winter</t>
  </si>
  <si>
    <r>
      <t>Color Guard Yucca</t>
    </r>
    <r>
      <rPr>
        <sz val="10"/>
        <rFont val="Arial"/>
        <family val="2"/>
      </rPr>
      <t xml:space="preserve"> (ivory)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Yucca filamentosa 'Color Guard'</t>
    </r>
  </si>
  <si>
    <t>Color Guard will get much taller (up to 12') in late spring when a flowering stalk rises from center of each rosette</t>
  </si>
  <si>
    <r>
      <t>Crimson Fire</t>
    </r>
    <r>
      <rPr>
        <vertAlign val="superscript"/>
        <sz val="10"/>
        <rFont val="Arial"/>
        <family val="2"/>
      </rPr>
      <t>™</t>
    </r>
    <r>
      <rPr>
        <b/>
        <sz val="10"/>
        <rFont val="Arial"/>
        <family val="2"/>
      </rPr>
      <t xml:space="preserve"> Loropetalum</t>
    </r>
    <r>
      <rPr>
        <sz val="10"/>
        <rFont val="Arial"/>
        <family val="2"/>
      </rPr>
      <t xml:space="preserve"> (pink)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Loropetalum chinense 'PIILC-`' PP25534</t>
    </r>
  </si>
  <si>
    <t>Crimson Fire retains it's color very well year-round</t>
  </si>
  <si>
    <r>
      <t xml:space="preserve">Gulf Stream Nandina </t>
    </r>
    <r>
      <rPr>
        <i/>
        <sz val="10"/>
        <rFont val="Arial"/>
        <family val="2"/>
      </rPr>
      <t>Nandina domestica 'Gulf Stream'</t>
    </r>
  </si>
  <si>
    <t>Gulf Stream foliage emerges scarlet red, matures to blue-green, then turns brilliant red in fall. Almost fruitless cultivar</t>
  </si>
  <si>
    <r>
      <t>Kleim's Hardy Gardenia</t>
    </r>
    <r>
      <rPr>
        <sz val="10"/>
        <rFont val="Arial"/>
        <family val="2"/>
      </rPr>
      <t xml:space="preserve"> (white)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Gardenia jasminoides 'Kleim's Hardy'</t>
    </r>
  </si>
  <si>
    <t>Kleim's Hardy is cold-resistant, fragrant, and has a traditional gardenia 'look' (unlike skinny foliage of  'Frostproof')</t>
  </si>
  <si>
    <t>Strawberry Shortcake is a dwarf sport of 'Suwanee Elf'. Fragrant. Very few pictures exist of this new plant</t>
  </si>
  <si>
    <r>
      <t>Flirt</t>
    </r>
    <r>
      <rPr>
        <vertAlign val="superscript"/>
        <sz val="10"/>
        <rFont val="Arial"/>
        <family val="2"/>
      </rPr>
      <t>™</t>
    </r>
    <r>
      <rPr>
        <b/>
        <sz val="10"/>
        <rFont val="Arial"/>
        <family val="2"/>
      </rPr>
      <t xml:space="preserve"> Nandina </t>
    </r>
    <r>
      <rPr>
        <i/>
        <sz val="10"/>
        <rFont val="Arial"/>
        <family val="2"/>
      </rPr>
      <t>Nandina domestica 'Murasaki' PP21391</t>
    </r>
  </si>
  <si>
    <t>3'x2'</t>
  </si>
  <si>
    <t>Flirt seems to 'wink' at you as the bright red topside of the foliage interplays with the green underside. Mike's Nandina pick</t>
  </si>
  <si>
    <r>
      <t>Purple Pixie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Loropetalum</t>
    </r>
    <r>
      <rPr>
        <sz val="10"/>
        <rFont val="Arial"/>
        <family val="2"/>
      </rPr>
      <t xml:space="preserve"> (pink)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Loropetalum chinense 'Purple Pixie' PP18441</t>
    </r>
  </si>
  <si>
    <t>2'x5'</t>
  </si>
  <si>
    <r>
      <t>Trailing Dwarf Gardenia</t>
    </r>
    <r>
      <rPr>
        <sz val="10"/>
        <rFont val="Arial"/>
        <family val="2"/>
      </rPr>
      <t xml:space="preserve"> (white)</t>
    </r>
    <r>
      <rPr>
        <i/>
        <sz val="10"/>
        <rFont val="Arial"/>
        <family val="2"/>
      </rPr>
      <t xml:space="preserve"> Gardenia jasminoides 'Radicans'</t>
    </r>
  </si>
  <si>
    <t>2'x4'</t>
  </si>
  <si>
    <t>Trailing Dwarf blooms in spring, then sporadically in summer, with fragrant, double flowers. Orange fall fruit</t>
  </si>
  <si>
    <t>2'x3'</t>
  </si>
  <si>
    <r>
      <rPr>
        <sz val="10"/>
        <rFont val="Arial"/>
        <family val="2"/>
      </rPr>
      <t>🦋</t>
    </r>
    <r>
      <rPr>
        <sz val="9"/>
        <rFont val="Arial"/>
        <family val="2"/>
      </rPr>
      <t xml:space="preserve">butterflies </t>
    </r>
    <r>
      <rPr>
        <sz val="12"/>
        <color theme="3" tint="-0.249977111117893"/>
        <rFont val="Arial"/>
        <family val="2"/>
      </rPr>
      <t>🕊</t>
    </r>
    <r>
      <rPr>
        <sz val="9"/>
        <rFont val="Arial"/>
        <family val="2"/>
      </rPr>
      <t>hummingbirds</t>
    </r>
    <r>
      <rPr>
        <sz val="11"/>
        <color rgb="FFCA6664"/>
        <rFont val="Arial"/>
        <family val="2"/>
      </rPr>
      <t>❤</t>
    </r>
  </si>
  <si>
    <r>
      <t xml:space="preserve">Firepower Nandina </t>
    </r>
    <r>
      <rPr>
        <i/>
        <sz val="10"/>
        <rFont val="Arial"/>
        <family val="2"/>
      </rPr>
      <t>Nandina domestica 'Firepower'</t>
    </r>
  </si>
  <si>
    <t>2'x2'</t>
  </si>
  <si>
    <t>Firepower named for it's brilliant red fall foliage, after a green, with red-tinged, summer</t>
  </si>
  <si>
    <r>
      <t xml:space="preserve"> DECIDUOUS SHRUBS</t>
    </r>
    <r>
      <rPr>
        <b/>
        <sz val="9"/>
        <color theme="0"/>
        <rFont val="Arial"/>
        <family val="2"/>
      </rPr>
      <t xml:space="preserve"> (bloom color)</t>
    </r>
  </si>
  <si>
    <r>
      <t>Arnold Promise Witch Hazel</t>
    </r>
    <r>
      <rPr>
        <sz val="10"/>
        <rFont val="Arial"/>
        <family val="2"/>
      </rPr>
      <t xml:space="preserve"> (yellow)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Hamamelis x intermedia 'Arnold Promise'</t>
    </r>
  </si>
  <si>
    <t>Arnold Promise reaches upward with flowers from late winter to early spring. Fragrant</t>
  </si>
  <si>
    <t>9'x9'</t>
  </si>
  <si>
    <t>9'x7'</t>
  </si>
  <si>
    <t>Miss Kim dark green foliage turns burgundy in fall. Fragrant</t>
  </si>
  <si>
    <r>
      <t>Shasta Viburnum</t>
    </r>
    <r>
      <rPr>
        <sz val="10"/>
        <rFont val="Arial"/>
        <family val="2"/>
      </rPr>
      <t xml:space="preserve"> (white)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Viburnum plicatum f. tomentosum 'Shasta'</t>
    </r>
  </si>
  <si>
    <t>8'x12'</t>
  </si>
  <si>
    <t>Shasta has large flower clusters in spring, followed by attractive red fruit, maturing to black, which birds love</t>
  </si>
  <si>
    <r>
      <t>Limelight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Hydrangea</t>
    </r>
    <r>
      <rPr>
        <sz val="10"/>
        <rFont val="Arial"/>
        <family val="2"/>
      </rPr>
      <t xml:space="preserve"> (lime green) </t>
    </r>
    <r>
      <rPr>
        <i/>
        <sz val="10"/>
        <rFont val="Arial"/>
        <family val="2"/>
      </rPr>
      <t>Hydrangea paniculata 'Limelight' PP12874</t>
    </r>
  </si>
  <si>
    <t>Limelight blooms turn to hues of cream, pink, and red with age, lasting until frost. Blooms on current year's growth</t>
  </si>
  <si>
    <r>
      <t>Aphrodite Sweetshrub</t>
    </r>
    <r>
      <rPr>
        <sz val="10"/>
        <color indexed="8"/>
        <rFont val="Arial"/>
        <family val="2"/>
      </rPr>
      <t xml:space="preserve"> (red)</t>
    </r>
    <r>
      <rPr>
        <b/>
        <sz val="10"/>
        <color indexed="8"/>
        <rFont val="Arial"/>
        <family val="2"/>
      </rPr>
      <t xml:space="preserve">  💧wet sites OK  </t>
    </r>
    <r>
      <rPr>
        <i/>
        <sz val="10"/>
        <color indexed="8"/>
        <rFont val="Arial"/>
        <family val="2"/>
      </rPr>
      <t>Calycanthus 'Aphrodite' PP24014</t>
    </r>
  </si>
  <si>
    <t>Aphrodite is known for it's enormous, long-lasting flowers. Fruity fragrance. More fragrant with high heat</t>
  </si>
  <si>
    <r>
      <rPr>
        <sz val="10"/>
        <rFont val="Arial"/>
        <family val="2"/>
      </rPr>
      <t>🦋</t>
    </r>
    <r>
      <rPr>
        <sz val="9"/>
        <rFont val="Arial"/>
        <family val="2"/>
      </rPr>
      <t xml:space="preserve">butterflies </t>
    </r>
    <r>
      <rPr>
        <sz val="11"/>
        <color theme="8" tint="-0.499984740745262"/>
        <rFont val="Arial"/>
        <family val="2"/>
      </rPr>
      <t>🕊</t>
    </r>
    <r>
      <rPr>
        <sz val="9"/>
        <rFont val="Arial"/>
        <family val="2"/>
      </rPr>
      <t>hummingbirds</t>
    </r>
    <r>
      <rPr>
        <sz val="11"/>
        <color theme="5" tint="-0.249977111117893"/>
        <rFont val="Arial"/>
        <family val="2"/>
      </rPr>
      <t>❤</t>
    </r>
  </si>
  <si>
    <r>
      <t>Black Knight Butterfly Bush</t>
    </r>
    <r>
      <rPr>
        <sz val="10"/>
        <rFont val="Arial"/>
        <family val="2"/>
      </rPr>
      <t xml:space="preserve"> (dark purple)</t>
    </r>
    <r>
      <rPr>
        <i/>
        <sz val="10"/>
        <rFont val="Arial"/>
        <family val="2"/>
      </rPr>
      <t xml:space="preserve"> Buddleia davidii 'Black Knight'</t>
    </r>
  </si>
  <si>
    <t>Black Knight (&amp; other BB) will grow to just half this height (4' here) if pruned hard each winter</t>
  </si>
  <si>
    <r>
      <t>Vanilla Strawberry</t>
    </r>
    <r>
      <rPr>
        <vertAlign val="superscript"/>
        <sz val="10"/>
        <rFont val="Arial"/>
        <family val="2"/>
      </rPr>
      <t>™</t>
    </r>
    <r>
      <rPr>
        <b/>
        <sz val="10"/>
        <rFont val="Arial"/>
        <family val="2"/>
      </rPr>
      <t xml:space="preserve"> Hydrangea</t>
    </r>
    <r>
      <rPr>
        <sz val="10"/>
        <rFont val="Arial"/>
        <family val="2"/>
      </rPr>
      <t xml:space="preserve"> (pink-strawberry)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Hydrangea paniculata 'Renhy' PP20670</t>
    </r>
  </si>
  <si>
    <t>8'x5'</t>
  </si>
  <si>
    <t>Vanilla Strawberry blooms emerge mid-summer as creamy-white, then finds it's color. Red stems also showy</t>
  </si>
  <si>
    <r>
      <rPr>
        <sz val="10"/>
        <rFont val="Arial"/>
        <family val="2"/>
      </rPr>
      <t>🦋</t>
    </r>
    <r>
      <rPr>
        <sz val="9"/>
        <rFont val="Arial"/>
        <family val="2"/>
      </rPr>
      <t xml:space="preserve">butterflies </t>
    </r>
    <r>
      <rPr>
        <sz val="11"/>
        <color theme="3" tint="-0.249977111117893"/>
        <rFont val="Arial"/>
        <family val="2"/>
      </rPr>
      <t>🕊</t>
    </r>
    <r>
      <rPr>
        <sz val="9"/>
        <rFont val="Arial"/>
        <family val="2"/>
      </rPr>
      <t>hummingbirds</t>
    </r>
    <r>
      <rPr>
        <sz val="11"/>
        <color theme="5" tint="-0.249977111117893"/>
        <rFont val="Arial"/>
        <family val="2"/>
      </rPr>
      <t>❤</t>
    </r>
  </si>
  <si>
    <r>
      <t xml:space="preserve">Paperbush </t>
    </r>
    <r>
      <rPr>
        <sz val="10"/>
        <color rgb="FF000000"/>
        <rFont val="Arial"/>
        <family val="2"/>
      </rPr>
      <t>(golden yellow)</t>
    </r>
    <r>
      <rPr>
        <b/>
        <sz val="10"/>
        <color indexed="8"/>
        <rFont val="Arial"/>
        <family val="2"/>
      </rPr>
      <t xml:space="preserve"> </t>
    </r>
    <r>
      <rPr>
        <i/>
        <sz val="10"/>
        <color rgb="FF000000"/>
        <rFont val="Arial"/>
        <family val="2"/>
      </rPr>
      <t>Edgeworthia chrysantha</t>
    </r>
  </si>
  <si>
    <t>7'x7'</t>
  </si>
  <si>
    <t xml:space="preserve">Paper Bush starts blooming in December, and on through winter. Small fragrant blooms perch on bare stalks </t>
  </si>
  <si>
    <t>7'x6'</t>
  </si>
  <si>
    <r>
      <rPr>
        <sz val="10"/>
        <rFont val="Arial"/>
        <family val="2"/>
      </rPr>
      <t>🦋</t>
    </r>
    <r>
      <rPr>
        <sz val="9"/>
        <rFont val="Arial"/>
        <family val="2"/>
      </rPr>
      <t xml:space="preserve">butterflies </t>
    </r>
    <r>
      <rPr>
        <sz val="12"/>
        <color theme="3" tint="0.39997558519241921"/>
        <rFont val="Arial"/>
        <family val="2"/>
      </rPr>
      <t>🕊</t>
    </r>
    <r>
      <rPr>
        <sz val="9"/>
        <rFont val="Arial"/>
        <family val="2"/>
      </rPr>
      <t>hummingbirds</t>
    </r>
    <r>
      <rPr>
        <sz val="11"/>
        <color theme="5" tint="-0.249977111117893"/>
        <rFont val="Arial"/>
        <family val="2"/>
      </rPr>
      <t>❤</t>
    </r>
  </si>
  <si>
    <r>
      <t>Henry's Garnet Virginia Sweetspire</t>
    </r>
    <r>
      <rPr>
        <sz val="10"/>
        <color indexed="8"/>
        <rFont val="Arial"/>
        <family val="2"/>
      </rPr>
      <t xml:space="preserve"> (white)</t>
    </r>
    <r>
      <rPr>
        <b/>
        <sz val="10"/>
        <color indexed="8"/>
        <rFont val="Arial"/>
        <family val="2"/>
      </rPr>
      <t xml:space="preserve">  💧wet sites OK  </t>
    </r>
    <r>
      <rPr>
        <i/>
        <sz val="10"/>
        <color indexed="8"/>
        <rFont val="Arial"/>
        <family val="2"/>
      </rPr>
      <t>Itea virginica 'Henry's Garnet'</t>
    </r>
  </si>
  <si>
    <t>6'x7'</t>
  </si>
  <si>
    <t>Henry's has larger flowers and better fall color than other Sweetspire. Fragrant blooms spring into summer</t>
  </si>
  <si>
    <r>
      <rPr>
        <b/>
        <sz val="10"/>
        <rFont val="Arial"/>
        <family val="2"/>
      </rPr>
      <t>Double Pink Knock Out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Rose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Rosa 'Radtkopink' PP18507 CPBR3757</t>
    </r>
  </si>
  <si>
    <t>Double Pink produces self-cleaning, double flowers with a slight spicy fragrance, against mossy-green foliage</t>
  </si>
  <si>
    <r>
      <rPr>
        <b/>
        <sz val="10"/>
        <rFont val="Arial"/>
        <family val="2"/>
      </rPr>
      <t>Double Red Knock Out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Rose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Rosa 'Radtko' PP16202 CPBR3104</t>
    </r>
  </si>
  <si>
    <t>tree form</t>
  </si>
  <si>
    <t>Double Red produces durable flowers that don't fade in heat, with a slight spicy fragrance until frost</t>
  </si>
  <si>
    <r>
      <rPr>
        <b/>
        <sz val="10"/>
        <rFont val="Arial"/>
        <family val="2"/>
      </rPr>
      <t>Miss Huff Lantana</t>
    </r>
    <r>
      <rPr>
        <sz val="10"/>
        <rFont val="Arial"/>
        <family val="2"/>
      </rPr>
      <t xml:space="preserve"> (orange-pink-yellow)</t>
    </r>
    <r>
      <rPr>
        <i/>
        <sz val="10"/>
        <rFont val="Arial"/>
        <family val="2"/>
      </rPr>
      <t xml:space="preserve"> Lantana camara 'Miss Huff'</t>
    </r>
  </si>
  <si>
    <t>Miss Huff is the most cold hardy Lantana. May be evergreen in warm climates; an annual in cold climes</t>
  </si>
  <si>
    <r>
      <rPr>
        <sz val="10"/>
        <rFont val="Arial"/>
        <family val="2"/>
      </rPr>
      <t>🦋</t>
    </r>
    <r>
      <rPr>
        <sz val="9"/>
        <rFont val="Arial"/>
        <family val="2"/>
      </rPr>
      <t xml:space="preserve">butterflies </t>
    </r>
    <r>
      <rPr>
        <sz val="10"/>
        <color rgb="FF215967"/>
        <rFont val="Arial"/>
        <family val="2"/>
      </rPr>
      <t>🕊</t>
    </r>
    <r>
      <rPr>
        <sz val="9"/>
        <rFont val="Arial"/>
        <family val="2"/>
      </rPr>
      <t>hummingbirds</t>
    </r>
    <r>
      <rPr>
        <sz val="11"/>
        <color theme="5" tint="-0.249977111117893"/>
        <rFont val="Arial"/>
        <family val="2"/>
      </rPr>
      <t>❤</t>
    </r>
  </si>
  <si>
    <r>
      <t>Nikko Blue Hydrangea</t>
    </r>
    <r>
      <rPr>
        <sz val="10"/>
        <rFont val="Arial"/>
        <family val="2"/>
      </rPr>
      <t xml:space="preserve"> (blue to pink)</t>
    </r>
    <r>
      <rPr>
        <i/>
        <sz val="10"/>
        <rFont val="Arial"/>
        <family val="2"/>
      </rPr>
      <t xml:space="preserve"> Hydrangea macrophylla 'Nikko Blue'</t>
    </r>
  </si>
  <si>
    <t>Nikko Blue blooms June &amp; July, on previous year's growth. Will bloom blue in acidic soil, pink in alkaline soil</t>
  </si>
  <si>
    <t>White Profusion named for prolific, mildly fragrant blooms, from June through September on current growth</t>
  </si>
  <si>
    <r>
      <t>Crimson Doll Lilac</t>
    </r>
    <r>
      <rPr>
        <sz val="10"/>
        <color indexed="8"/>
        <rFont val="Arial"/>
        <family val="2"/>
      </rPr>
      <t xml:space="preserve"> (reddish-pink) </t>
    </r>
    <r>
      <rPr>
        <i/>
        <sz val="10"/>
        <color indexed="8"/>
        <rFont val="Arial"/>
        <family val="2"/>
      </rPr>
      <t xml:space="preserve">Syringa x Grecrimdoll 'Crimson Doll'  </t>
    </r>
  </si>
  <si>
    <t>Crimson Doll green foliage turns yellow in fall. Fragrant. Smooth tan bark.</t>
  </si>
  <si>
    <r>
      <t>Endless Summer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Hydrangea</t>
    </r>
    <r>
      <rPr>
        <sz val="10"/>
        <rFont val="Arial"/>
        <family val="2"/>
      </rPr>
      <t xml:space="preserve"> (pink to violet to blue)</t>
    </r>
    <r>
      <rPr>
        <i/>
        <sz val="10"/>
        <rFont val="Arial"/>
        <family val="2"/>
      </rPr>
      <t xml:space="preserve"> Hydrangea macrophylla 'Bailmer' PP15298, CPBR2305</t>
    </r>
  </si>
  <si>
    <t>four</t>
  </si>
  <si>
    <t>quart</t>
  </si>
  <si>
    <t>Endless Summer is both cold and heat tolerant. Ruby red stems. Bloom color depends on soil pH</t>
  </si>
  <si>
    <r>
      <t>Little Lime</t>
    </r>
    <r>
      <rPr>
        <vertAlign val="superscript"/>
        <sz val="10"/>
        <color indexed="8"/>
        <rFont val="Arial"/>
        <family val="2"/>
      </rPr>
      <t>®</t>
    </r>
    <r>
      <rPr>
        <b/>
        <sz val="10"/>
        <color indexed="8"/>
        <rFont val="Arial"/>
        <family val="2"/>
      </rPr>
      <t xml:space="preserve"> Hydrangea</t>
    </r>
    <r>
      <rPr>
        <sz val="10"/>
        <color indexed="8"/>
        <rFont val="Arial"/>
        <family val="2"/>
      </rPr>
      <t xml:space="preserve"> (lime green)</t>
    </r>
    <r>
      <rPr>
        <i/>
        <sz val="10"/>
        <color indexed="8"/>
        <rFont val="Arial"/>
        <family val="2"/>
      </rPr>
      <t xml:space="preserve"> Hydrangea paniculata 'Jane' PP22330</t>
    </r>
  </si>
  <si>
    <t>Little Lime was bred as a mini 'Limelight'. Blooms mature to pink and burgundy. Sturdy stems make for good cuttings</t>
  </si>
  <si>
    <r>
      <t>Miss Molly Butterfly Bush</t>
    </r>
    <r>
      <rPr>
        <sz val="10"/>
        <rFont val="Arial"/>
        <family val="2"/>
      </rPr>
      <t xml:space="preserve"> (red-purple)</t>
    </r>
    <r>
      <rPr>
        <i/>
        <sz val="10"/>
        <rFont val="Arial"/>
        <family val="2"/>
      </rPr>
      <t xml:space="preserve"> Buddleia x 'Miss Molly'</t>
    </r>
  </si>
  <si>
    <t>Miss Molly often called a 'Summer Lilac'. Fragrant blooms appear on new wood each season</t>
  </si>
  <si>
    <r>
      <t>Penny Mac Hydrangea</t>
    </r>
    <r>
      <rPr>
        <sz val="10"/>
        <rFont val="Arial"/>
        <family val="2"/>
      </rPr>
      <t xml:space="preserve"> (pink to blue)</t>
    </r>
    <r>
      <rPr>
        <i/>
        <sz val="10"/>
        <rFont val="Arial"/>
        <family val="2"/>
      </rPr>
      <t xml:space="preserve"> Hydrangea macrophylla 'Penny Mac'</t>
    </r>
  </si>
  <si>
    <t>Penny is more cold-hardy than other Hyd. More blue in acidic soil, pink in alkaline</t>
  </si>
  <si>
    <r>
      <t>Wine &amp; Roses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Weigela</t>
    </r>
    <r>
      <rPr>
        <sz val="10"/>
        <rFont val="Arial"/>
        <family val="2"/>
      </rPr>
      <t xml:space="preserve"> (rosy pink)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Weigela florida 'Alexandra' PP10772</t>
    </r>
  </si>
  <si>
    <t>Wine &amp; Roses dark glossy foliage (the 'Wine' part) set off the trumpet-like, summer-long flowers</t>
  </si>
  <si>
    <r>
      <rPr>
        <sz val="10"/>
        <color rgb="FF08CE53"/>
        <rFont val="Arial"/>
        <family val="2"/>
      </rPr>
      <t>🕊</t>
    </r>
    <r>
      <rPr>
        <sz val="9"/>
        <rFont val="Arial"/>
        <family val="2"/>
      </rPr>
      <t>hummingbirds</t>
    </r>
    <r>
      <rPr>
        <b/>
        <sz val="11"/>
        <color theme="5" tint="-0.249977111117893"/>
        <rFont val="Arial"/>
        <family val="2"/>
      </rPr>
      <t>❤</t>
    </r>
  </si>
  <si>
    <t>Bloomstruck is cold-hardy and will re-bloom all summer. Bloom color depends on soil pH</t>
  </si>
  <si>
    <r>
      <t>Golden Barberry</t>
    </r>
    <r>
      <rPr>
        <sz val="10"/>
        <rFont val="Arial"/>
        <family val="2"/>
      </rPr>
      <t xml:space="preserve"> (yellow)</t>
    </r>
    <r>
      <rPr>
        <i/>
        <sz val="10"/>
        <rFont val="Arial"/>
        <family val="2"/>
      </rPr>
      <t xml:space="preserve"> Berberis thunbergii 'Aurea'</t>
    </r>
  </si>
  <si>
    <t>Golden Barberry is sharp, beware. Foliage emerges bright yellow, then turns to a green late summer</t>
  </si>
  <si>
    <r>
      <t>L.A. Dreamin'</t>
    </r>
    <r>
      <rPr>
        <b/>
        <vertAlign val="superscript"/>
        <sz val="10"/>
        <color indexed="8"/>
        <rFont val="Arial"/>
        <family val="2"/>
      </rPr>
      <t>®</t>
    </r>
    <r>
      <rPr>
        <b/>
        <sz val="10"/>
        <color indexed="8"/>
        <rFont val="Arial"/>
        <family val="2"/>
      </rPr>
      <t xml:space="preserve"> Hydrangea</t>
    </r>
    <r>
      <rPr>
        <sz val="10"/>
        <color indexed="8"/>
        <rFont val="Arial"/>
        <family val="2"/>
      </rPr>
      <t xml:space="preserve"> (pink to violet to blue) </t>
    </r>
    <r>
      <rPr>
        <i/>
        <sz val="10"/>
        <color rgb="FF000000"/>
        <rFont val="Arial"/>
        <family val="2"/>
      </rPr>
      <t>Hydrangea macrophylla 'Lindsey Ann' PP26249</t>
    </r>
  </si>
  <si>
    <t>L.A. Driamin' blooms multicolored, from blue to purple to pink, on old and new growth</t>
  </si>
  <si>
    <r>
      <t>Afterglow Weigela</t>
    </r>
    <r>
      <rPr>
        <sz val="10"/>
        <rFont val="Arial"/>
        <family val="2"/>
      </rPr>
      <t xml:space="preserve"> (cream-pink)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Weigela x 'Afterglow'</t>
    </r>
  </si>
  <si>
    <r>
      <t xml:space="preserve">Afterglow's dark foliage really sets off the bell-shaped flowers </t>
    </r>
    <r>
      <rPr>
        <sz val="9"/>
        <color indexed="8"/>
        <rFont val="Arial"/>
        <family val="2"/>
      </rPr>
      <t/>
    </r>
  </si>
  <si>
    <r>
      <t>Desire Hibiscus</t>
    </r>
    <r>
      <rPr>
        <sz val="10"/>
        <rFont val="Arial"/>
        <family val="2"/>
      </rPr>
      <t xml:space="preserve"> (red) </t>
    </r>
    <r>
      <rPr>
        <i/>
        <sz val="10"/>
        <rFont val="Arial"/>
        <family val="2"/>
      </rPr>
      <t>Head Over Heels</t>
    </r>
    <r>
      <rPr>
        <i/>
        <vertAlign val="superscript"/>
        <sz val="10"/>
        <rFont val="Arial"/>
        <family val="2"/>
      </rPr>
      <t>®</t>
    </r>
    <r>
      <rPr>
        <i/>
        <sz val="10"/>
        <rFont val="Arial"/>
        <family val="2"/>
      </rPr>
      <t xml:space="preserve"> Hibiscus moscheutos 'RutHib4'</t>
    </r>
  </si>
  <si>
    <t>Desire, like other Head Over Heels® Hibiscus, is better branched than other Hibiscus</t>
  </si>
  <si>
    <t>Sunburst's large blooms look great against blue-tinged green foliage &amp; exfoliating cinnamon-brown bark</t>
  </si>
  <si>
    <r>
      <rPr>
        <b/>
        <sz val="10"/>
        <rFont val="Arial"/>
        <family val="2"/>
      </rPr>
      <t>New Gold Lantana</t>
    </r>
    <r>
      <rPr>
        <sz val="10"/>
        <rFont val="Arial"/>
        <family val="2"/>
      </rPr>
      <t xml:space="preserve"> (yellow) </t>
    </r>
    <r>
      <rPr>
        <i/>
        <sz val="10"/>
        <rFont val="Arial"/>
        <family val="2"/>
      </rPr>
      <t>Lantana camara 'New Gold'</t>
    </r>
  </si>
  <si>
    <t>New Gold may bloom into October. Easy to keep this low-growing spreader to 2' tall</t>
  </si>
  <si>
    <r>
      <t>Purple Haze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Butterfly Bush</t>
    </r>
    <r>
      <rPr>
        <sz val="10"/>
        <rFont val="Arial"/>
        <family val="2"/>
      </rPr>
      <t xml:space="preserve"> (purple-blue)</t>
    </r>
    <r>
      <rPr>
        <b/>
        <i/>
        <sz val="10"/>
        <rFont val="Arial"/>
        <family val="2"/>
      </rPr>
      <t xml:space="preserve"> </t>
    </r>
    <r>
      <rPr>
        <i/>
        <sz val="10"/>
        <rFont val="Arial"/>
        <family val="2"/>
      </rPr>
      <t>Buddleia Lo and Behold</t>
    </r>
    <r>
      <rPr>
        <i/>
        <vertAlign val="superscript"/>
        <sz val="10"/>
        <rFont val="Arial"/>
        <family val="2"/>
      </rPr>
      <t>®</t>
    </r>
    <r>
      <rPr>
        <i/>
        <sz val="10"/>
        <rFont val="Arial"/>
        <family val="2"/>
      </rPr>
      <t xml:space="preserve"> 'Purple Haze' PP24514</t>
    </r>
  </si>
  <si>
    <t>Purple Haze is a rare BB that does not produce unwanted seedlings</t>
  </si>
  <si>
    <r>
      <t>Crimson Pygmy Barberry</t>
    </r>
    <r>
      <rPr>
        <sz val="10"/>
        <rFont val="Arial"/>
        <family val="2"/>
      </rPr>
      <t xml:space="preserve"> (yellow)</t>
    </r>
    <r>
      <rPr>
        <i/>
        <sz val="10"/>
        <rFont val="Arial"/>
        <family val="2"/>
      </rPr>
      <t xml:space="preserve"> Berberis thunbergii 'Crimson Pygmy'</t>
    </r>
  </si>
  <si>
    <t>Crimson Pygmy is sharp, beware. Tiny yellow flowers pale in comparison to the crimson foliage, followed by bright red berries in fall, for birds</t>
  </si>
  <si>
    <r>
      <t>Little Henry</t>
    </r>
    <r>
      <rPr>
        <b/>
        <vertAlign val="superscript"/>
        <sz val="10"/>
        <color rgb="FF000000"/>
        <rFont val="Arial"/>
        <family val="2"/>
      </rPr>
      <t>®</t>
    </r>
    <r>
      <rPr>
        <b/>
        <sz val="10"/>
        <color indexed="8"/>
        <rFont val="Arial"/>
        <family val="2"/>
      </rPr>
      <t xml:space="preserve"> Virginia Sweetspire</t>
    </r>
    <r>
      <rPr>
        <sz val="10"/>
        <color rgb="FF000000"/>
        <rFont val="Arial"/>
        <family val="2"/>
      </rPr>
      <t xml:space="preserve"> (white) </t>
    </r>
    <r>
      <rPr>
        <b/>
        <sz val="10"/>
        <color indexed="8"/>
        <rFont val="Arial"/>
        <family val="2"/>
      </rPr>
      <t xml:space="preserve"> 💧wet sites OK </t>
    </r>
    <r>
      <rPr>
        <i/>
        <sz val="10"/>
        <color rgb="FF000000"/>
        <rFont val="Arial"/>
        <family val="2"/>
      </rPr>
      <t xml:space="preserve"> Itea virginica Proven Winners</t>
    </r>
    <r>
      <rPr>
        <i/>
        <vertAlign val="superscript"/>
        <sz val="10"/>
        <color rgb="FF000000"/>
        <rFont val="Arial"/>
        <family val="2"/>
      </rPr>
      <t>®</t>
    </r>
    <r>
      <rPr>
        <i/>
        <sz val="10"/>
        <color rgb="FF000000"/>
        <rFont val="Arial"/>
        <family val="2"/>
      </rPr>
      <t xml:space="preserve"> ColorChoice</t>
    </r>
    <r>
      <rPr>
        <i/>
        <vertAlign val="superscript"/>
        <sz val="10"/>
        <color rgb="FF000000"/>
        <rFont val="Arial"/>
        <family val="2"/>
      </rPr>
      <t>®</t>
    </r>
    <r>
      <rPr>
        <i/>
        <sz val="10"/>
        <color rgb="FF000000"/>
        <rFont val="Arial"/>
        <family val="2"/>
      </rPr>
      <t xml:space="preserve"> Little Henry</t>
    </r>
    <r>
      <rPr>
        <i/>
        <vertAlign val="superscript"/>
        <sz val="10"/>
        <color rgb="FF000000"/>
        <rFont val="Arial"/>
        <family val="2"/>
      </rPr>
      <t>®</t>
    </r>
    <r>
      <rPr>
        <i/>
        <sz val="10"/>
        <color rgb="FF000000"/>
        <rFont val="Arial"/>
        <family val="2"/>
      </rPr>
      <t xml:space="preserve"> Itea virginica 'Sprich' PP10988</t>
    </r>
  </si>
  <si>
    <t>Little Henry is a dwarf cultivar, with arching branches that adorn with blooms late spring into summer. Fragrant</t>
  </si>
  <si>
    <r>
      <t>Passion Hibiscus</t>
    </r>
    <r>
      <rPr>
        <sz val="10"/>
        <rFont val="Arial"/>
        <family val="2"/>
      </rPr>
      <t xml:space="preserve"> (pink) </t>
    </r>
    <r>
      <rPr>
        <i/>
        <sz val="10"/>
        <rFont val="Arial"/>
        <family val="2"/>
      </rPr>
      <t>Head Over Heels</t>
    </r>
    <r>
      <rPr>
        <i/>
        <vertAlign val="superscript"/>
        <sz val="10"/>
        <rFont val="Arial"/>
        <family val="2"/>
      </rPr>
      <t>®</t>
    </r>
    <r>
      <rPr>
        <i/>
        <sz val="10"/>
        <rFont val="Arial"/>
        <family val="2"/>
      </rPr>
      <t xml:space="preserve"> Hibiscus moscheutos 'RutHib2' PP 30,853</t>
    </r>
  </si>
  <si>
    <t>Passion's vibrant blooms really pop out against the rich burgundy foliage</t>
  </si>
  <si>
    <r>
      <t>Summer Crush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Hydrangea</t>
    </r>
    <r>
      <rPr>
        <sz val="10"/>
        <rFont val="Arial"/>
        <family val="2"/>
      </rPr>
      <t xml:space="preserve"> (raspberry red to purple)</t>
    </r>
    <r>
      <rPr>
        <i/>
        <sz val="10"/>
        <rFont val="Arial"/>
        <family val="2"/>
      </rPr>
      <t xml:space="preserve"> Hydrangea Macrophylla 'Bailmactive' PP30359, CPBRAF</t>
    </r>
  </si>
  <si>
    <t>Summer Crush blooms on both old and new wood. Forest green foliage turns burgundy-red in fall</t>
  </si>
  <si>
    <r>
      <rPr>
        <b/>
        <sz val="10"/>
        <rFont val="Arial"/>
        <family val="2"/>
      </rPr>
      <t>Chapel Hill Yellow Lantana</t>
    </r>
    <r>
      <rPr>
        <sz val="10"/>
        <rFont val="Arial"/>
        <family val="2"/>
      </rPr>
      <t xml:space="preserve"> (yellow) </t>
    </r>
    <r>
      <rPr>
        <i/>
        <sz val="10"/>
        <rFont val="Arial"/>
        <family val="2"/>
      </rPr>
      <t>Lantana camara 'Chapel Hill Yellow'</t>
    </r>
  </si>
  <si>
    <t>2'x8'</t>
  </si>
  <si>
    <t>Chapel Hill Yellow is accidental hybrid, with excellent cold-hardiness. Fragrant foliage</t>
  </si>
  <si>
    <r>
      <t>Electric Love Weigela</t>
    </r>
    <r>
      <rPr>
        <sz val="10"/>
        <rFont val="Arial"/>
        <family val="2"/>
      </rPr>
      <t xml:space="preserve"> (red)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Weigela x 'Electric Love'</t>
    </r>
  </si>
  <si>
    <t>Electric is named for the high energy contrast of vivid red trumpet-shaped blooms against dark foliage</t>
  </si>
  <si>
    <r>
      <rPr>
        <b/>
        <sz val="10"/>
        <rFont val="Arial"/>
        <family val="2"/>
      </rPr>
      <t>Coral Drift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Rose</t>
    </r>
    <r>
      <rPr>
        <sz val="10"/>
        <rFont val="Arial"/>
        <family val="2"/>
      </rPr>
      <t xml:space="preserve"> (coral-orange) </t>
    </r>
    <r>
      <rPr>
        <i/>
        <sz val="10"/>
        <rFont val="Arial"/>
        <family val="2"/>
      </rPr>
      <t>Rosa 'Meidrifora' PP19148</t>
    </r>
  </si>
  <si>
    <t>Coral, like all Drift Rose, are only mildly fragrant</t>
  </si>
  <si>
    <r>
      <rPr>
        <b/>
        <sz val="10"/>
        <rFont val="Arial"/>
        <family val="2"/>
      </rPr>
      <t>Peach Drift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Rose</t>
    </r>
    <r>
      <rPr>
        <sz val="10"/>
        <rFont val="Arial"/>
        <family val="2"/>
      </rPr>
      <t xml:space="preserve"> (peach) </t>
    </r>
    <r>
      <rPr>
        <i/>
        <sz val="10"/>
        <rFont val="Arial"/>
        <family val="2"/>
      </rPr>
      <t>Rosa 'Meiggili' PP18542</t>
    </r>
  </si>
  <si>
    <t>Peach, like all Drift Rose, grow more sideways than up, hence the 'drift' title. Drift Rose will spill over a wall</t>
  </si>
  <si>
    <r>
      <rPr>
        <b/>
        <sz val="10"/>
        <rFont val="Arial"/>
        <family val="2"/>
      </rPr>
      <t>Pink Drift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Rose</t>
    </r>
    <r>
      <rPr>
        <sz val="10"/>
        <rFont val="Arial"/>
        <family val="2"/>
      </rPr>
      <t xml:space="preserve"> (pink, white center) </t>
    </r>
    <r>
      <rPr>
        <i/>
        <sz val="10"/>
        <rFont val="Arial"/>
        <family val="2"/>
      </rPr>
      <t>Rosa 'Meijocos' PP18874</t>
    </r>
  </si>
  <si>
    <t>Pink, like all Drift Rose, are more disease-resistant than other Rose options</t>
  </si>
  <si>
    <r>
      <rPr>
        <b/>
        <sz val="10"/>
        <rFont val="Arial"/>
        <family val="2"/>
      </rPr>
      <t>Popcorn Drift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Rose</t>
    </r>
    <r>
      <rPr>
        <sz val="10"/>
        <rFont val="Arial"/>
        <family val="2"/>
      </rPr>
      <t xml:space="preserve"> (yellow fades to white, some pink) </t>
    </r>
    <r>
      <rPr>
        <i/>
        <sz val="10"/>
        <rFont val="Arial"/>
        <family val="2"/>
      </rPr>
      <t>Rosa 'Novarospop' PP24773</t>
    </r>
  </si>
  <si>
    <t>Popcorn is a strong resemblance to a buttered bowl of popcorn. Nice fragrance, too</t>
  </si>
  <si>
    <r>
      <rPr>
        <b/>
        <sz val="10"/>
        <rFont val="Arial"/>
        <family val="2"/>
      </rPr>
      <t>Red Drift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Rose</t>
    </r>
    <r>
      <rPr>
        <sz val="10"/>
        <rFont val="Arial"/>
        <family val="2"/>
      </rPr>
      <t xml:space="preserve"> (scarlet red)</t>
    </r>
    <r>
      <rPr>
        <i/>
        <sz val="10"/>
        <rFont val="Arial"/>
        <family val="2"/>
      </rPr>
      <t xml:space="preserve"> Rosa 'Meigalpio' PP17877</t>
    </r>
  </si>
  <si>
    <t>Red, like all Drift Rose, are 'self-cleaning', with no need to dead-head (unless you really want to)</t>
  </si>
  <si>
    <r>
      <rPr>
        <b/>
        <sz val="10"/>
        <rFont val="Arial"/>
        <family val="2"/>
      </rPr>
      <t>Sweet Drift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Rose</t>
    </r>
    <r>
      <rPr>
        <sz val="10"/>
        <rFont val="Arial"/>
        <family val="2"/>
      </rPr>
      <t xml:space="preserve"> (pastel pink) </t>
    </r>
    <r>
      <rPr>
        <i/>
        <sz val="10"/>
        <rFont val="Arial"/>
        <family val="2"/>
      </rPr>
      <t>Rosa 'Meiswetdom' PP21612</t>
    </r>
  </si>
  <si>
    <t>Sweet is the most fragrant of all the Drift Rose, as well as the best double bloom set</t>
  </si>
  <si>
    <r>
      <rPr>
        <b/>
        <sz val="10"/>
        <rFont val="Arial"/>
        <family val="2"/>
      </rPr>
      <t>White Drift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Rose</t>
    </r>
    <r>
      <rPr>
        <sz val="10"/>
        <rFont val="Arial"/>
        <family val="2"/>
      </rPr>
      <t xml:space="preserve"> (bright white)</t>
    </r>
    <r>
      <rPr>
        <i/>
        <sz val="10"/>
        <rFont val="Arial"/>
        <family val="2"/>
      </rPr>
      <t xml:space="preserve"> Rosa 'Meizorland' PP28054</t>
    </r>
  </si>
  <si>
    <t>White, like all Drift Rose, has nice dark green foliage, but not much fall color to speak of</t>
  </si>
  <si>
    <t>2'x2.5'</t>
  </si>
  <si>
    <t>Amethyst, like all Pugster, has vary large, full flowers, for a rather small plant</t>
  </si>
  <si>
    <t>top of page</t>
  </si>
  <si>
    <t>Blue, like all Pugster, has a sweet honey fragrance</t>
  </si>
  <si>
    <t>Pinker, like all Pugster (and other BB), resist deer and rabbits. "Pinker" has replaced "Pink" - sturdier now</t>
  </si>
  <si>
    <r>
      <t>Tiny Tuff Stuff</t>
    </r>
    <r>
      <rPr>
        <vertAlign val="superscript"/>
        <sz val="10"/>
        <color indexed="8"/>
        <rFont val="Arial"/>
        <family val="2"/>
      </rPr>
      <t>™</t>
    </r>
    <r>
      <rPr>
        <b/>
        <sz val="10"/>
        <color indexed="8"/>
        <rFont val="Arial"/>
        <family val="2"/>
      </rPr>
      <t xml:space="preserve"> Mountain Hydrangea</t>
    </r>
    <r>
      <rPr>
        <sz val="10"/>
        <color indexed="8"/>
        <rFont val="Arial"/>
        <family val="2"/>
      </rPr>
      <t xml:space="preserve"> (blue to pink to white) </t>
    </r>
    <r>
      <rPr>
        <i/>
        <sz val="10"/>
        <color indexed="8"/>
        <rFont val="Arial"/>
        <family val="2"/>
      </rPr>
      <t>Hydrangea serrata 'MAKD' PP24842</t>
    </r>
  </si>
  <si>
    <t>Tiny Tuff is named for it's tolerance of cold temperatures. Blooms summer to frost, both old and new wood</t>
  </si>
  <si>
    <r>
      <t xml:space="preserve"> WEEPING PLANTS</t>
    </r>
    <r>
      <rPr>
        <sz val="9"/>
        <color theme="0"/>
        <rFont val="Arial"/>
        <family val="2"/>
      </rPr>
      <t xml:space="preserve"> </t>
    </r>
    <r>
      <rPr>
        <b/>
        <sz val="9"/>
        <color theme="0"/>
        <rFont val="Arial"/>
        <family val="2"/>
      </rPr>
      <t>(bloom color)</t>
    </r>
  </si>
  <si>
    <r>
      <t xml:space="preserve">Weeping Willow </t>
    </r>
    <r>
      <rPr>
        <i/>
        <sz val="10"/>
        <rFont val="Arial"/>
        <family val="2"/>
      </rPr>
      <t xml:space="preserve">Salix babylonica  </t>
    </r>
    <r>
      <rPr>
        <b/>
        <sz val="10"/>
        <rFont val="Arial"/>
        <family val="2"/>
      </rPr>
      <t>💧wet sites best</t>
    </r>
  </si>
  <si>
    <t>40'x40'</t>
  </si>
  <si>
    <t>Weeping Willow should be planted near streams/lakes, well away from hardscaps or septic/water lines. Hard to prine back, it will get large</t>
  </si>
  <si>
    <r>
      <t>Scarlet Curls Willow</t>
    </r>
    <r>
      <rPr>
        <b/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Salix x 'Scarlet Curls'</t>
    </r>
    <r>
      <rPr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💧wet sites OK</t>
    </r>
  </si>
  <si>
    <t>8.5'</t>
  </si>
  <si>
    <t>Scarlet Curls is great year-round, with interesting contorted stems. New wood is scarlet red, turning yellow. Roots can be invasive</t>
  </si>
  <si>
    <r>
      <t>Chocolate Fountain Mimosa</t>
    </r>
    <r>
      <rPr>
        <sz val="10"/>
        <rFont val="Arial"/>
        <family val="2"/>
      </rPr>
      <t xml:space="preserve"> (pink) </t>
    </r>
    <r>
      <rPr>
        <i/>
        <sz val="10"/>
        <rFont val="Arial"/>
        <family val="2"/>
      </rPr>
      <t>Albizia julibrissin 'Chocolate Fountain'</t>
    </r>
  </si>
  <si>
    <t>Chocoate Fountain foliage emerges btonze-greem, then mature to purple. Fragrant blooms. Can be invasive</t>
  </si>
  <si>
    <r>
      <rPr>
        <b/>
        <sz val="10"/>
        <rFont val="Arial"/>
        <family val="2"/>
      </rPr>
      <t>Snow Fountains Weeping Cherry</t>
    </r>
    <r>
      <rPr>
        <sz val="10"/>
        <rFont val="Arial"/>
        <family val="2"/>
      </rPr>
      <t xml:space="preserve"> (white)</t>
    </r>
    <r>
      <rPr>
        <i/>
        <sz val="10"/>
        <rFont val="Arial"/>
        <family val="2"/>
      </rPr>
      <t xml:space="preserve"> Prunus x 'Snofozam'</t>
    </r>
  </si>
  <si>
    <t>Snow Fountains starts with fragrant flowers on pink buds, then dark green foliage, turning-yellow to orange in fall</t>
  </si>
  <si>
    <r>
      <rPr>
        <b/>
        <sz val="10"/>
        <rFont val="Arial"/>
        <family val="2"/>
      </rPr>
      <t>Lace Parasol Winged Elm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Ulmus alata 'Lace Parasol'</t>
    </r>
  </si>
  <si>
    <t>10'x15'</t>
  </si>
  <si>
    <t>6'x7'wide, 3.5"caliper</t>
  </si>
  <si>
    <t>Original Lace Parasol moved to JCRA. Dramatic look, even in winter, with winged bark</t>
  </si>
  <si>
    <t>Golden Falls foliage tinged with orange in spring, then a bright gold that persists all season</t>
  </si>
  <si>
    <r>
      <t>Crimson Queen Laceleaf J. Maple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(purple) </t>
    </r>
    <r>
      <rPr>
        <i/>
        <sz val="10"/>
        <rFont val="Arial"/>
        <family val="2"/>
      </rPr>
      <t>Acer palmatum var. dis. 'Crimson Queen'</t>
    </r>
  </si>
  <si>
    <t>G9</t>
  </si>
  <si>
    <t>6'x4'wide, 3"caliper</t>
  </si>
  <si>
    <t>6'x5'wide, 4"caliper</t>
  </si>
  <si>
    <t>Crimson Queen holds it crimson color well, turning bright scarlet in fall. Very slow grower</t>
  </si>
  <si>
    <r>
      <t>Tamukeyama Cutleaf J. Maple</t>
    </r>
    <r>
      <rPr>
        <sz val="10"/>
        <rFont val="Arial"/>
        <family val="2"/>
      </rPr>
      <t xml:space="preserve"> (reddish-purple)</t>
    </r>
    <r>
      <rPr>
        <i/>
        <sz val="10"/>
        <rFont val="Arial"/>
        <family val="2"/>
      </rPr>
      <t xml:space="preserve"> Acer palmatum var. dis. 'Tamukeyama'</t>
    </r>
  </si>
  <si>
    <t>Tamukeyama foliage is purple-red through summer, turning bright red in fall. Deep red bark</t>
  </si>
  <si>
    <r>
      <t>Ruby Falls Weeping Redbud</t>
    </r>
    <r>
      <rPr>
        <sz val="10"/>
        <rFont val="Arial"/>
        <family val="2"/>
      </rPr>
      <t xml:space="preserve"> (dark rose) </t>
    </r>
    <r>
      <rPr>
        <i/>
        <sz val="10"/>
        <rFont val="Arial"/>
        <family val="2"/>
      </rPr>
      <t>Cercis canadensis 'Ruby Falls'</t>
    </r>
  </si>
  <si>
    <t>Ruby Falls heart-shaped foliage starts maroon, then burgundy, then matures to green in late summer</t>
  </si>
  <si>
    <r>
      <t xml:space="preserve"> EDIBLES</t>
    </r>
    <r>
      <rPr>
        <b/>
        <sz val="9"/>
        <color theme="0"/>
        <rFont val="Arial"/>
        <family val="2"/>
      </rPr>
      <t xml:space="preserve"> (bloom color)</t>
    </r>
  </si>
  <si>
    <r>
      <t>Pawpaw Tree</t>
    </r>
    <r>
      <rPr>
        <sz val="10"/>
        <color indexed="8"/>
        <rFont val="Arial"/>
        <family val="2"/>
      </rPr>
      <t xml:space="preserve"> (purple)  </t>
    </r>
    <r>
      <rPr>
        <b/>
        <sz val="10"/>
        <color indexed="8"/>
        <rFont val="Arial"/>
        <family val="2"/>
      </rPr>
      <t>💧wet sites OK</t>
    </r>
    <r>
      <rPr>
        <sz val="10"/>
        <color indexed="8"/>
        <rFont val="Arial"/>
        <family val="2"/>
      </rPr>
      <t xml:space="preserve">  </t>
    </r>
    <r>
      <rPr>
        <i/>
        <sz val="10"/>
        <color indexed="8"/>
        <rFont val="Arial"/>
        <family val="2"/>
      </rPr>
      <t>Asimina triloba</t>
    </r>
  </si>
  <si>
    <t>Pawpaw (AKA 'Indiana Banana') produces banana-like fruit, prized by wildlife. Fragrant. Does not self-pollinate</t>
  </si>
  <si>
    <r>
      <t>Brown Turkey Fig</t>
    </r>
    <r>
      <rPr>
        <sz val="10"/>
        <color indexed="8"/>
        <rFont val="Arial"/>
        <family val="2"/>
      </rPr>
      <t xml:space="preserve"> (greenish)</t>
    </r>
    <r>
      <rPr>
        <b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Ficus carica 'Brown Turkey'</t>
    </r>
  </si>
  <si>
    <t>Brown Turkey is an attractive tree, with the tastiest fig, Self-pollinating, it will double-crop in good conditions</t>
  </si>
  <si>
    <r>
      <rPr>
        <sz val="10"/>
        <rFont val="Arial"/>
        <family val="2"/>
      </rPr>
      <t>🐦</t>
    </r>
    <r>
      <rPr>
        <sz val="9"/>
        <rFont val="Arial"/>
        <family val="2"/>
      </rPr>
      <t xml:space="preserve">birds </t>
    </r>
    <r>
      <rPr>
        <sz val="10"/>
        <rFont val="Arial"/>
        <family val="2"/>
      </rPr>
      <t>🦇</t>
    </r>
    <r>
      <rPr>
        <sz val="9"/>
        <rFont val="Arial"/>
        <family val="2"/>
      </rPr>
      <t>bats</t>
    </r>
    <r>
      <rPr>
        <b/>
        <sz val="11"/>
        <color theme="5" tint="-0.249977111117893"/>
        <rFont val="Arial"/>
        <family val="2"/>
      </rPr>
      <t>❤</t>
    </r>
  </si>
  <si>
    <r>
      <rPr>
        <b/>
        <sz val="10"/>
        <color theme="1"/>
        <rFont val="Arial"/>
        <family val="2"/>
      </rPr>
      <t>A</t>
    </r>
    <r>
      <rPr>
        <sz val="10"/>
        <color theme="1"/>
        <rFont val="Arial"/>
        <family val="2"/>
      </rPr>
      <t xml:space="preserve">🦌deer </t>
    </r>
    <r>
      <rPr>
        <b/>
        <sz val="10"/>
        <color theme="1"/>
        <rFont val="Arial"/>
        <family val="2"/>
      </rPr>
      <t>rarely</t>
    </r>
    <r>
      <rPr>
        <sz val="10"/>
        <color theme="1"/>
        <rFont val="Arial"/>
        <family val="2"/>
      </rPr>
      <t xml:space="preserve"> harm</t>
    </r>
  </si>
  <si>
    <r>
      <t xml:space="preserve">Chicago Hardy Fig </t>
    </r>
    <r>
      <rPr>
        <i/>
        <sz val="10"/>
        <color indexed="8"/>
        <rFont val="Arial"/>
        <family val="2"/>
      </rPr>
      <t>Ficus carica 'Chicago Hardy'</t>
    </r>
  </si>
  <si>
    <t>Chicago Hardy is considered the hardiest of the fig options. Self-pollinating, late summer fruit</t>
  </si>
  <si>
    <r>
      <t>Climax Blueberry</t>
    </r>
    <r>
      <rPr>
        <sz val="10"/>
        <color indexed="8"/>
        <rFont val="Arial"/>
        <family val="2"/>
      </rPr>
      <t xml:space="preserve"> (white to pink)  </t>
    </r>
    <r>
      <rPr>
        <b/>
        <sz val="10"/>
        <color indexed="8"/>
        <rFont val="Arial"/>
        <family val="2"/>
      </rPr>
      <t xml:space="preserve">💧wet sites OK  </t>
    </r>
    <r>
      <rPr>
        <i/>
        <sz val="10"/>
        <color indexed="8"/>
        <rFont val="Arial"/>
        <family val="2"/>
      </rPr>
      <t>Vaccinium corymbosum 'Climax'</t>
    </r>
  </si>
  <si>
    <t>Climax is an early producer of large, dark berries. Best pollinator of other blueberry, but needs cross-pollination</t>
  </si>
  <si>
    <r>
      <t>Legacy Blueberry</t>
    </r>
    <r>
      <rPr>
        <sz val="10"/>
        <color indexed="8"/>
        <rFont val="Arial"/>
        <family val="2"/>
      </rPr>
      <t xml:space="preserve"> (pink)  </t>
    </r>
    <r>
      <rPr>
        <b/>
        <sz val="10"/>
        <color indexed="8"/>
        <rFont val="Arial"/>
        <family val="2"/>
      </rPr>
      <t xml:space="preserve">💧wet sites OK </t>
    </r>
    <r>
      <rPr>
        <b/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Vaccinium virgatum 'Legacy'</t>
    </r>
  </si>
  <si>
    <t>Legacy is a mid-season producer of light blue berries. One of the best tasting. Needs cross-pollination</t>
  </si>
  <si>
    <r>
      <t xml:space="preserve">Powderblue Blueberry 💧wet sites OK  </t>
    </r>
    <r>
      <rPr>
        <i/>
        <sz val="10"/>
        <color indexed="8"/>
        <rFont val="Arial"/>
        <family val="2"/>
      </rPr>
      <t xml:space="preserve">Vaccinium corymbosum 'Powderblue' </t>
    </r>
    <r>
      <rPr>
        <b/>
        <sz val="10"/>
        <color indexed="8"/>
        <rFont val="Arial"/>
        <family val="2"/>
      </rPr>
      <t>Late season</t>
    </r>
  </si>
  <si>
    <t>Powderblue is a high-yield, mid-season producer of large, light-blue, sweet berries. Needs cross-pollination</t>
  </si>
  <si>
    <r>
      <t>Premier Blueberry</t>
    </r>
    <r>
      <rPr>
        <sz val="10"/>
        <color indexed="8"/>
        <rFont val="Arial"/>
        <family val="2"/>
      </rPr>
      <t xml:space="preserve"> (white to pink)  </t>
    </r>
    <r>
      <rPr>
        <b/>
        <sz val="10"/>
        <color indexed="8"/>
        <rFont val="Arial"/>
        <family val="2"/>
      </rPr>
      <t xml:space="preserve">💧wet sites OK  </t>
    </r>
    <r>
      <rPr>
        <i/>
        <sz val="10"/>
        <color indexed="8"/>
        <rFont val="Arial"/>
        <family val="2"/>
      </rPr>
      <t>Vaccinium corymbosum 'Premier'</t>
    </r>
  </si>
  <si>
    <t>Premier is an early-season producer of large, light-blue, tasty berries. Needs cross-pollination</t>
  </si>
  <si>
    <r>
      <t>Tifblue Blueberry</t>
    </r>
    <r>
      <rPr>
        <sz val="10"/>
        <color indexed="8"/>
        <rFont val="Arial"/>
        <family val="2"/>
      </rPr>
      <t xml:space="preserve"> (white)</t>
    </r>
    <r>
      <rPr>
        <b/>
        <sz val="10"/>
        <color indexed="8"/>
        <rFont val="Arial"/>
        <family val="2"/>
      </rPr>
      <t xml:space="preserve">  💧wet sites OK  </t>
    </r>
    <r>
      <rPr>
        <i/>
        <sz val="10"/>
        <color indexed="8"/>
        <rFont val="Arial"/>
        <family val="2"/>
      </rPr>
      <t>Vaccinium corymbosum 'Tifblue'</t>
    </r>
  </si>
  <si>
    <t>Tifblue is a mid to late season producer of large, light blue, sweet &amp; tart berries. Needs cross-pollination</t>
  </si>
  <si>
    <r>
      <t>American Beautyberry</t>
    </r>
    <r>
      <rPr>
        <sz val="10"/>
        <color indexed="8"/>
        <rFont val="Arial"/>
        <family val="2"/>
      </rPr>
      <t xml:space="preserve"> (pink) </t>
    </r>
    <r>
      <rPr>
        <b/>
        <sz val="10"/>
        <color indexed="8"/>
        <rFont val="Arial"/>
        <family val="2"/>
      </rPr>
      <t xml:space="preserve"> 💧wet sites OK  </t>
    </r>
    <r>
      <rPr>
        <i/>
        <sz val="10"/>
        <color indexed="8"/>
        <rFont val="Arial"/>
        <family val="2"/>
      </rPr>
      <t>Callicarpa americana</t>
    </r>
  </si>
  <si>
    <t>Beautyberry is edible raw to humans, but it is not tasty. Mostly it is made into jelly or wine</t>
  </si>
  <si>
    <r>
      <t>Rebel Blueberry</t>
    </r>
    <r>
      <rPr>
        <sz val="10"/>
        <color indexed="8"/>
        <rFont val="Arial"/>
        <family val="2"/>
      </rPr>
      <t xml:space="preserve"> (white)  </t>
    </r>
    <r>
      <rPr>
        <b/>
        <sz val="10"/>
        <color indexed="8"/>
        <rFont val="Arial"/>
        <family val="2"/>
      </rPr>
      <t xml:space="preserve">💧wet sites OK </t>
    </r>
    <r>
      <rPr>
        <b/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Vaccinium  sp. Hybrid</t>
    </r>
  </si>
  <si>
    <t>Rebel is an early season producer of large light blue berries. Mild flavor. Needs cross-pollination</t>
  </si>
  <si>
    <r>
      <t xml:space="preserve">Little Miss Figgy Fig </t>
    </r>
    <r>
      <rPr>
        <i/>
        <sz val="10"/>
        <color indexed="8"/>
        <rFont val="Arial"/>
        <family val="2"/>
      </rPr>
      <t>Ficus carica 'Little Miss Figgy'</t>
    </r>
  </si>
  <si>
    <t>Little Miss make a great option for containerized growing in a tight space. Sweet, deep burgundy fruit.</t>
  </si>
  <si>
    <t>Cameo fruit (quince) is mainly for preserves and jellies, but can be eaten raw if set out to ripen</t>
  </si>
  <si>
    <t>Arp Rosemary is a natural, fragrant, mosquito deterrent</t>
  </si>
  <si>
    <r>
      <t>Baby Cakes</t>
    </r>
    <r>
      <rPr>
        <vertAlign val="superscript"/>
        <sz val="10"/>
        <color indexed="8"/>
        <rFont val="Arial"/>
        <family val="2"/>
      </rPr>
      <t>®</t>
    </r>
    <r>
      <rPr>
        <b/>
        <sz val="10"/>
        <color indexed="8"/>
        <rFont val="Arial"/>
        <family val="2"/>
      </rPr>
      <t xml:space="preserve"> Blackberry</t>
    </r>
    <r>
      <rPr>
        <sz val="10"/>
        <color indexed="8"/>
        <rFont val="Arial"/>
        <family val="2"/>
      </rPr>
      <t xml:space="preserve"> (white)</t>
    </r>
    <r>
      <rPr>
        <b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Bushel and Berry® Rubus 'APF-236T' PP27032</t>
    </r>
  </si>
  <si>
    <r>
      <rPr>
        <b/>
        <sz val="10"/>
        <rFont val="Arial"/>
        <family val="2"/>
      </rPr>
      <t>Rosa's Blush Dwarf Blueberry</t>
    </r>
    <r>
      <rPr>
        <sz val="10"/>
        <rFont val="Arial"/>
        <family val="2"/>
      </rPr>
      <t xml:space="preserve"> (white to pink) </t>
    </r>
    <r>
      <rPr>
        <i/>
        <sz val="10"/>
        <rFont val="Arial"/>
        <family val="2"/>
      </rPr>
      <t>Vaccinium darrowii 'Rosa's Blush'</t>
    </r>
  </si>
  <si>
    <t>Rosa's Blush named for lovely variegated blue-green foliage. Small, blue-black berries. Best with cross-pollination</t>
  </si>
  <si>
    <r>
      <t xml:space="preserve"> EVERGREEN GROUNDCOVER </t>
    </r>
    <r>
      <rPr>
        <b/>
        <sz val="10"/>
        <color theme="0"/>
        <rFont val="Arial"/>
        <family val="2"/>
      </rPr>
      <t>+ Grasses, Vines, etc.</t>
    </r>
    <r>
      <rPr>
        <b/>
        <sz val="11"/>
        <color theme="0"/>
        <rFont val="Arial"/>
        <family val="2"/>
      </rPr>
      <t xml:space="preserve"> </t>
    </r>
    <r>
      <rPr>
        <b/>
        <sz val="8"/>
        <color theme="0"/>
        <rFont val="Arial"/>
        <family val="2"/>
      </rPr>
      <t>(bloom)</t>
    </r>
  </si>
  <si>
    <r>
      <t>Tangerine Beauty Cross-Vine</t>
    </r>
    <r>
      <rPr>
        <sz val="10"/>
        <color indexed="8"/>
        <rFont val="Arial"/>
        <family val="2"/>
      </rPr>
      <t xml:space="preserve"> (tangerine) </t>
    </r>
    <r>
      <rPr>
        <i/>
        <sz val="10"/>
        <color indexed="8"/>
        <rFont val="Arial"/>
        <family val="2"/>
      </rPr>
      <t>Bignonia capreolata 'Tangerine Beauty'</t>
    </r>
  </si>
  <si>
    <t>30'x9'</t>
  </si>
  <si>
    <t>Tangerine Beauty' trumpet-shaped flowers are fragrant and very showy (best in full sun). May defoliate in freeze</t>
  </si>
  <si>
    <r>
      <t>Confederate Jasmine Vine</t>
    </r>
    <r>
      <rPr>
        <sz val="10"/>
        <color indexed="8"/>
        <rFont val="Arial"/>
        <family val="2"/>
      </rPr>
      <t xml:space="preserve"> (white) </t>
    </r>
    <r>
      <rPr>
        <i/>
        <sz val="10"/>
        <color indexed="8"/>
        <rFont val="Arial"/>
        <family val="2"/>
      </rPr>
      <t>Trachelospermum jasminoides</t>
    </r>
  </si>
  <si>
    <r>
      <rPr>
        <sz val="12"/>
        <color rgb="FFFFFF00"/>
        <rFont val="Calibri"/>
        <family val="2"/>
        <scheme val="minor"/>
      </rPr>
      <t>☀</t>
    </r>
    <r>
      <rPr>
        <sz val="12"/>
        <color theme="5" tint="-0.249977111117893"/>
        <rFont val="Calibri"/>
        <family val="2"/>
        <scheme val="minor"/>
      </rPr>
      <t>☁</t>
    </r>
    <r>
      <rPr>
        <sz val="10.5"/>
        <color theme="1"/>
        <rFont val="Calibri"/>
        <family val="2"/>
        <scheme val="minor"/>
      </rPr>
      <t>Sun to Shade</t>
    </r>
  </si>
  <si>
    <t>Confederate (AKA 'Star') Jasmine has shiny green leaves that are attractive even after the fragrant blooms pass</t>
  </si>
  <si>
    <r>
      <t xml:space="preserve">Variegated Sweet Flag  💧wet sites OK  </t>
    </r>
    <r>
      <rPr>
        <i/>
        <sz val="10"/>
        <color rgb="FF000000"/>
        <rFont val="Arial"/>
        <family val="2"/>
      </rPr>
      <t>Acorus calamus ‘Variegatus’</t>
    </r>
  </si>
  <si>
    <t>4'x2'</t>
  </si>
  <si>
    <t>Variegated Sweet Flag must be in moist soil. Great for standing water. Fragrant</t>
  </si>
  <si>
    <r>
      <t xml:space="preserve">Holly Fern  💧wet sites OK </t>
    </r>
    <r>
      <rPr>
        <i/>
        <sz val="10"/>
        <color theme="1"/>
        <rFont val="Arial"/>
        <family val="2"/>
      </rPr>
      <t xml:space="preserve"> Cyrtomium falcatum 'Rochfordianum'</t>
    </r>
  </si>
  <si>
    <t>Holly Fern named for it's glossy, dark green, holly-like fronds. Pet friendly</t>
  </si>
  <si>
    <r>
      <t xml:space="preserve">Autumn Fern </t>
    </r>
    <r>
      <rPr>
        <i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💧wet sites OK</t>
    </r>
    <r>
      <rPr>
        <i/>
        <sz val="10"/>
        <color theme="1"/>
        <rFont val="Arial"/>
        <family val="2"/>
      </rPr>
      <t xml:space="preserve">  Dryopteris erythrosora</t>
    </r>
  </si>
  <si>
    <t>Autumn Fern is noted for its copper, pink, and bronze fronds</t>
  </si>
  <si>
    <r>
      <t xml:space="preserve">Brilliance Autumn Fern </t>
    </r>
    <r>
      <rPr>
        <i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💧wet sites OK</t>
    </r>
    <r>
      <rPr>
        <i/>
        <sz val="10"/>
        <color theme="1"/>
        <rFont val="Arial"/>
        <family val="2"/>
      </rPr>
      <t xml:space="preserve">  Dryopteris erythrosora 'Brilliance'</t>
    </r>
  </si>
  <si>
    <t>Brilliance is noted for its red spring frond color, which often reappears in the fall</t>
  </si>
  <si>
    <r>
      <rPr>
        <b/>
        <sz val="10"/>
        <rFont val="Arial"/>
        <family val="2"/>
      </rPr>
      <t>Blue Pacific Juniper</t>
    </r>
    <r>
      <rPr>
        <i/>
        <sz val="10"/>
        <rFont val="Arial"/>
        <family val="2"/>
      </rPr>
      <t xml:space="preserve"> Juniperus conferta 'Blue Pacific'</t>
    </r>
  </si>
  <si>
    <t>12"x72"</t>
  </si>
  <si>
    <t>Blue Pacific (AKA 'Shore') Juniper will grow on almost anything. Dense, blue-green foliage is aromatic</t>
  </si>
  <si>
    <r>
      <rPr>
        <b/>
        <sz val="10"/>
        <rFont val="Arial"/>
        <family val="2"/>
      </rPr>
      <t>Dwarf Japanese Garden Juniper</t>
    </r>
    <r>
      <rPr>
        <i/>
        <sz val="10"/>
        <rFont val="Arial"/>
        <family val="2"/>
      </rPr>
      <t xml:space="preserve"> Juniperus procumbens 'Nana'</t>
    </r>
  </si>
  <si>
    <t>Dwarf J. Juniper foliage emerges green, then matures to blue-green. Purple winter tinge. Great for bonsai</t>
  </si>
  <si>
    <r>
      <t>Homestead Purple Verbena</t>
    </r>
    <r>
      <rPr>
        <sz val="10"/>
        <color theme="1"/>
        <rFont val="Arial"/>
        <family val="2"/>
      </rPr>
      <t xml:space="preserve"> (purple)</t>
    </r>
    <r>
      <rPr>
        <i/>
        <sz val="10"/>
        <color theme="1"/>
        <rFont val="Arial"/>
        <family val="2"/>
      </rPr>
      <t xml:space="preserve"> Verbena 'Homestead Purple'</t>
    </r>
  </si>
  <si>
    <t>12"x36"</t>
  </si>
  <si>
    <r>
      <t>Big Blue Liriope</t>
    </r>
    <r>
      <rPr>
        <sz val="10"/>
        <color theme="1"/>
        <rFont val="Arial"/>
        <family val="2"/>
      </rPr>
      <t xml:space="preserve"> (lilac-purple)  </t>
    </r>
    <r>
      <rPr>
        <b/>
        <sz val="10"/>
        <color theme="1"/>
        <rFont val="Arial"/>
        <family val="2"/>
      </rPr>
      <t>💧wet sites OK</t>
    </r>
    <r>
      <rPr>
        <sz val="10"/>
        <color theme="1"/>
        <rFont val="Arial"/>
        <family val="2"/>
      </rPr>
      <t xml:space="preserve">  </t>
    </r>
    <r>
      <rPr>
        <i/>
        <sz val="10"/>
        <color theme="1"/>
        <rFont val="Arial"/>
        <family val="2"/>
      </rPr>
      <t>Liriope muscari 'Big Blue'</t>
    </r>
  </si>
  <si>
    <t>12"x24"</t>
  </si>
  <si>
    <t>18 in</t>
  </si>
  <si>
    <t>flat</t>
  </si>
  <si>
    <t>Big Blue blooms in late summer, followed by shiny black berries that persist into winter</t>
  </si>
  <si>
    <r>
      <t>Silver Dragon Liriope</t>
    </r>
    <r>
      <rPr>
        <sz val="10"/>
        <color theme="1"/>
        <rFont val="Arial"/>
        <family val="2"/>
      </rPr>
      <t xml:space="preserve"> (pale Lavender)  </t>
    </r>
    <r>
      <rPr>
        <b/>
        <sz val="10"/>
        <color theme="1"/>
        <rFont val="Arial"/>
        <family val="2"/>
      </rPr>
      <t xml:space="preserve">💧wet sites OK </t>
    </r>
    <r>
      <rPr>
        <i/>
        <sz val="10"/>
        <color theme="1"/>
        <rFont val="Arial"/>
        <family val="2"/>
      </rPr>
      <t xml:space="preserve"> Liriope muscari 'Silver Dragon' </t>
    </r>
  </si>
  <si>
    <t>Silver Dagon's flowers, mainly hidden by foliage in late summer, give way to blackish berries in fall</t>
  </si>
  <si>
    <r>
      <t>Variegated Liriope</t>
    </r>
    <r>
      <rPr>
        <sz val="10"/>
        <color theme="1"/>
        <rFont val="Arial"/>
        <family val="2"/>
      </rPr>
      <t xml:space="preserve"> (violet-purple)  </t>
    </r>
    <r>
      <rPr>
        <b/>
        <sz val="10"/>
        <color theme="1"/>
        <rFont val="Arial"/>
        <family val="2"/>
      </rPr>
      <t>💧wet sites OK</t>
    </r>
    <r>
      <rPr>
        <sz val="10"/>
        <color theme="1"/>
        <rFont val="Arial"/>
        <family val="2"/>
      </rPr>
      <t xml:space="preserve"> </t>
    </r>
    <r>
      <rPr>
        <i/>
        <sz val="10"/>
        <color theme="1"/>
        <rFont val="Arial"/>
        <family val="2"/>
      </rPr>
      <t xml:space="preserve"> Liriope muscari 'Variegata'</t>
    </r>
  </si>
  <si>
    <t xml:space="preserve">Variegated Liriope blooms in late summer, followed by blackish berries that persist into winter </t>
  </si>
  <si>
    <r>
      <t>Blue Zinger Sedge</t>
    </r>
    <r>
      <rPr>
        <sz val="10"/>
        <color theme="1"/>
        <rFont val="Arial"/>
        <family val="2"/>
      </rPr>
      <t xml:space="preserve"> (greenish-white)  </t>
    </r>
    <r>
      <rPr>
        <b/>
        <sz val="10"/>
        <color theme="1"/>
        <rFont val="Arial"/>
        <family val="2"/>
      </rPr>
      <t>💧wet sites OK</t>
    </r>
    <r>
      <rPr>
        <sz val="10"/>
        <color theme="1"/>
        <rFont val="Arial"/>
        <family val="2"/>
      </rPr>
      <t xml:space="preserve">  </t>
    </r>
    <r>
      <rPr>
        <i/>
        <sz val="10"/>
        <color theme="1"/>
        <rFont val="Arial"/>
        <family val="2"/>
      </rPr>
      <t>Carex flacca 'Blue ZInger'</t>
    </r>
  </si>
  <si>
    <t>12"x18"</t>
  </si>
  <si>
    <t>one</t>
  </si>
  <si>
    <t>Blue Zinger foliage is blue-green above and blue-green beneath. Sedge has insignificant flowers</t>
  </si>
  <si>
    <r>
      <t>Evergold Sedge</t>
    </r>
    <r>
      <rPr>
        <sz val="10"/>
        <color theme="1"/>
        <rFont val="Arial"/>
        <family val="2"/>
      </rPr>
      <t xml:space="preserve"> (brown)</t>
    </r>
    <r>
      <rPr>
        <b/>
        <sz val="10"/>
        <color theme="1"/>
        <rFont val="Arial"/>
        <family val="2"/>
      </rPr>
      <t xml:space="preserve">  💧wet sites best  </t>
    </r>
    <r>
      <rPr>
        <i/>
        <sz val="10"/>
        <color theme="1"/>
        <rFont val="Arial"/>
        <family val="2"/>
      </rPr>
      <t>Carex oshimensis 'Evergold'</t>
    </r>
  </si>
  <si>
    <t>Evergold foliageis green with a bright creamy-yellow strip down center. Sedge has good winter color retention</t>
  </si>
  <si>
    <t>12"x15"</t>
  </si>
  <si>
    <r>
      <t>EverColor</t>
    </r>
    <r>
      <rPr>
        <vertAlign val="superscript"/>
        <sz val="10"/>
        <color theme="1"/>
        <rFont val="Arial"/>
        <family val="2"/>
      </rPr>
      <t>®</t>
    </r>
    <r>
      <rPr>
        <b/>
        <sz val="10"/>
        <color theme="1"/>
        <rFont val="Arial"/>
        <family val="2"/>
      </rPr>
      <t xml:space="preserve"> Everillo Sedge</t>
    </r>
    <r>
      <rPr>
        <sz val="10"/>
        <color theme="1"/>
        <rFont val="Arial"/>
        <family val="2"/>
      </rPr>
      <t xml:space="preserve"> (chartreuse) </t>
    </r>
    <r>
      <rPr>
        <b/>
        <sz val="10"/>
        <color theme="1"/>
        <rFont val="Arial"/>
        <family val="2"/>
      </rPr>
      <t xml:space="preserve">💧wet sites best  </t>
    </r>
    <r>
      <rPr>
        <i/>
        <sz val="10"/>
        <color theme="1"/>
        <rFont val="Arial"/>
        <family val="2"/>
      </rPr>
      <t>Carex oshimensis 'Everillo' PP21002</t>
    </r>
  </si>
  <si>
    <t>EverColor is one of the brightest Sedge. They more sun, the brighter</t>
  </si>
  <si>
    <r>
      <t xml:space="preserve">Ogon Sweet Flag  💧wet sites OK  </t>
    </r>
    <r>
      <rPr>
        <i/>
        <sz val="10"/>
        <color rgb="FF000000"/>
        <rFont val="Arial"/>
        <family val="2"/>
      </rPr>
      <t>Acorus gramineus 'Ogon'</t>
    </r>
  </si>
  <si>
    <t>12"x12"</t>
  </si>
  <si>
    <t>Ogon spreads as a dense groundcover, but is not considered invasive. Mild, sweet fragrance when crushed</t>
  </si>
  <si>
    <r>
      <t>Green Sheen Japanese Spurge</t>
    </r>
    <r>
      <rPr>
        <sz val="10"/>
        <color theme="1"/>
        <rFont val="Arial"/>
        <family val="2"/>
      </rPr>
      <t xml:space="preserve"> (white)</t>
    </r>
    <r>
      <rPr>
        <i/>
        <sz val="10"/>
        <color theme="1"/>
        <rFont val="Arial"/>
        <family val="2"/>
      </rPr>
      <t xml:space="preserve"> Pachysandra terminalis 'Green Sheen'</t>
    </r>
  </si>
  <si>
    <t>10"x24"</t>
  </si>
  <si>
    <t>Green Sheen forms a dense carpet. Tiny, but showy blooms. The most reliable cool-season groundcover for shade</t>
  </si>
  <si>
    <t>Snow-N-Summer known for it's tricolor foliage. Can be trained to climb up a trellis</t>
  </si>
  <si>
    <r>
      <rPr>
        <b/>
        <sz val="10"/>
        <rFont val="Arial"/>
        <family val="2"/>
      </rPr>
      <t>Blue Rug Juniper</t>
    </r>
    <r>
      <rPr>
        <i/>
        <sz val="10"/>
        <rFont val="Arial"/>
        <family val="2"/>
      </rPr>
      <t xml:space="preserve"> Juniperus horizontalis 'Wiltonii'</t>
    </r>
  </si>
  <si>
    <t>6"x72"</t>
  </si>
  <si>
    <t>Blue Rug is a reliable trailing juniper. Silver-blue foliage has a purple winter tinge. All femaie, producing bluish-green-black cones</t>
  </si>
  <si>
    <r>
      <t>Emerald Blue Creeping Phlox</t>
    </r>
    <r>
      <rPr>
        <sz val="10"/>
        <color theme="1"/>
        <rFont val="Arial"/>
        <family val="2"/>
      </rPr>
      <t xml:space="preserve"> (blue)</t>
    </r>
    <r>
      <rPr>
        <b/>
        <sz val="10"/>
        <color theme="1"/>
        <rFont val="Arial"/>
        <family val="2"/>
      </rPr>
      <t xml:space="preserve">  💧wet sites OK </t>
    </r>
    <r>
      <rPr>
        <i/>
        <sz val="10"/>
        <color theme="1"/>
        <rFont val="Arial"/>
        <family val="2"/>
      </rPr>
      <t xml:space="preserve"> Phlox subulata 'Emerald Blue'</t>
    </r>
  </si>
  <si>
    <t>6"x24"</t>
  </si>
  <si>
    <t>Emerald Blue blooms from mid spring to early summer, atop bright green, needle-like foliage</t>
  </si>
  <si>
    <r>
      <t>Fort Hill Creeping Phlox</t>
    </r>
    <r>
      <rPr>
        <sz val="10"/>
        <color theme="1"/>
        <rFont val="Arial"/>
        <family val="2"/>
      </rPr>
      <t xml:space="preserve"> (pink)  </t>
    </r>
    <r>
      <rPr>
        <b/>
        <sz val="10"/>
        <color theme="1"/>
        <rFont val="Arial"/>
        <family val="2"/>
      </rPr>
      <t xml:space="preserve">💧wet sites OK  </t>
    </r>
    <r>
      <rPr>
        <i/>
        <sz val="10"/>
        <color theme="1"/>
        <rFont val="Arial"/>
        <family val="2"/>
      </rPr>
      <t>Phlox subulata 'Fort Hill'</t>
    </r>
  </si>
  <si>
    <t>Fort Hill blooms from mid spring to early summer, atop bright green, needle-like foliage</t>
  </si>
  <si>
    <r>
      <rPr>
        <b/>
        <sz val="10"/>
        <rFont val="Arial"/>
        <family val="2"/>
      </rPr>
      <t>Dwarf Mondo Grass</t>
    </r>
    <r>
      <rPr>
        <sz val="10"/>
        <rFont val="Arial"/>
        <family val="2"/>
      </rPr>
      <t xml:space="preserve"> (white) </t>
    </r>
    <r>
      <rPr>
        <i/>
        <sz val="10"/>
        <rFont val="Arial"/>
        <family val="2"/>
      </rPr>
      <t>Ophiopogon japonicus 'Nana'</t>
    </r>
  </si>
  <si>
    <t>6"x6"</t>
  </si>
  <si>
    <t>15 in</t>
  </si>
  <si>
    <t>Dwarf Mondo makes a good no-mow alternative to grass (moderate traffic). Insignifican blooms give way to blue berries</t>
  </si>
  <si>
    <r>
      <t xml:space="preserve"> DECIDUOUS GROUNDCOVER </t>
    </r>
    <r>
      <rPr>
        <b/>
        <sz val="10"/>
        <color theme="0"/>
        <rFont val="Arial"/>
        <family val="2"/>
      </rPr>
      <t xml:space="preserve">+ Grasses, Vines, etc. </t>
    </r>
    <r>
      <rPr>
        <b/>
        <sz val="9"/>
        <color theme="0"/>
        <rFont val="Arial"/>
        <family val="2"/>
      </rPr>
      <t>(bloom)</t>
    </r>
  </si>
  <si>
    <r>
      <t>Lady Banks Climbing Rose</t>
    </r>
    <r>
      <rPr>
        <sz val="10"/>
        <color indexed="8"/>
        <rFont val="Arial"/>
        <family val="2"/>
      </rPr>
      <t xml:space="preserve"> (yellow)</t>
    </r>
    <r>
      <rPr>
        <b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Rosa banksiae 'Lutea'</t>
    </r>
  </si>
  <si>
    <r>
      <rPr>
        <b/>
        <sz val="10"/>
        <color theme="1"/>
        <rFont val="Arial"/>
        <family val="2"/>
      </rPr>
      <t>C</t>
    </r>
    <r>
      <rPr>
        <sz val="10"/>
        <color theme="1"/>
        <rFont val="Arial"/>
        <family val="2"/>
      </rPr>
      <t xml:space="preserve">🦌deer </t>
    </r>
    <r>
      <rPr>
        <b/>
        <sz val="10"/>
        <color theme="1"/>
        <rFont val="Arial"/>
        <family val="2"/>
      </rPr>
      <t>occasionally</t>
    </r>
    <r>
      <rPr>
        <sz val="10"/>
        <color theme="1"/>
        <rFont val="Arial"/>
        <family val="2"/>
      </rPr>
      <t xml:space="preserve"> harm</t>
    </r>
  </si>
  <si>
    <t>Lady Banks is great on a trellis or black metal fence. Thornless. Slight fragrance</t>
  </si>
  <si>
    <t>Check this customer's Lady Banks:</t>
  </si>
  <si>
    <r>
      <t>Gracillimus Maiden Grass</t>
    </r>
    <r>
      <rPr>
        <sz val="10"/>
        <color indexed="8"/>
        <rFont val="Arial"/>
        <family val="2"/>
      </rPr>
      <t xml:space="preserve"> (reddish-copper) </t>
    </r>
    <r>
      <rPr>
        <i/>
        <sz val="10"/>
        <color indexed="8"/>
        <rFont val="Arial"/>
        <family val="2"/>
      </rPr>
      <t>Miscanthus sinensis 'Gracillimus’</t>
    </r>
  </si>
  <si>
    <t>Gracillimus' flower plumes appear late summer, then change to silver. Almost evergreen: cut to ground in winter</t>
  </si>
  <si>
    <r>
      <t>Morning Light Maiden Grass</t>
    </r>
    <r>
      <rPr>
        <sz val="10"/>
        <color indexed="8"/>
        <rFont val="Arial"/>
        <family val="2"/>
      </rPr>
      <t xml:space="preserve"> (red)</t>
    </r>
    <r>
      <rPr>
        <b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Miscanthus sinensis 'Morning Light’</t>
    </r>
  </si>
  <si>
    <t>Morning Light creamy white margins create a shimmering silvery appearance. Reddish through winter</t>
  </si>
  <si>
    <r>
      <t xml:space="preserve">Dwarf Maiden Grass </t>
    </r>
    <r>
      <rPr>
        <i/>
        <sz val="10"/>
        <color indexed="8"/>
        <rFont val="Arial"/>
        <family val="2"/>
      </rPr>
      <t>Miscanthus sinensis 'Adagio'</t>
    </r>
  </si>
  <si>
    <t>Dwarf Maiden plumes emerge bronze-pink, then fade to white. Foliage turns orange-gold-burgundy in fall</t>
  </si>
  <si>
    <r>
      <t>Sum &amp; Substance Hosta</t>
    </r>
    <r>
      <rPr>
        <sz val="10"/>
        <color indexed="8"/>
        <rFont val="Arial"/>
        <family val="2"/>
      </rPr>
      <t xml:space="preserve"> (pale lavender)  </t>
    </r>
    <r>
      <rPr>
        <b/>
        <sz val="10"/>
        <color indexed="8"/>
        <rFont val="Arial"/>
        <family val="2"/>
      </rPr>
      <t>💧wet sites OK</t>
    </r>
    <r>
      <rPr>
        <i/>
        <sz val="10"/>
        <color indexed="8"/>
        <rFont val="Arial"/>
        <family val="2"/>
      </rPr>
      <t xml:space="preserve">  Hosta 'Sum &amp; Substance'</t>
    </r>
  </si>
  <si>
    <t>4x6'</t>
  </si>
  <si>
    <t>Sum &amp; Substance is the largest Hosta. Thick, heart-shaped foliage lends a deep color and texture to the garden</t>
  </si>
  <si>
    <r>
      <rPr>
        <sz val="12"/>
        <color theme="3" tint="-0.249977111117893"/>
        <rFont val="Calibri"/>
        <family val="2"/>
        <scheme val="minor"/>
      </rPr>
      <t>🕊</t>
    </r>
    <r>
      <rPr>
        <sz val="9"/>
        <color theme="1"/>
        <rFont val="Calibri"/>
        <family val="2"/>
        <scheme val="minor"/>
      </rPr>
      <t>hummingbirds</t>
    </r>
    <r>
      <rPr>
        <b/>
        <sz val="11"/>
        <color theme="5" tint="-0.249977111117893"/>
        <rFont val="Calibri"/>
        <family val="2"/>
        <scheme val="minor"/>
      </rPr>
      <t>❤</t>
    </r>
  </si>
  <si>
    <r>
      <t>Little Zebra Grass</t>
    </r>
    <r>
      <rPr>
        <sz val="10"/>
        <color indexed="8"/>
        <rFont val="Arial"/>
        <family val="2"/>
      </rPr>
      <t xml:space="preserve"> (wine-purple) </t>
    </r>
    <r>
      <rPr>
        <i/>
        <sz val="10"/>
        <color indexed="8"/>
        <rFont val="Arial"/>
        <family val="2"/>
      </rPr>
      <t>Miscanthus sinensis 'Little Zebra'</t>
    </r>
  </si>
  <si>
    <t>Little Zebra named for it's zebra-like foliage of green leaves with gold bands. Creamy-tan in winter</t>
  </si>
  <si>
    <r>
      <t>Blue Angel Hosta</t>
    </r>
    <r>
      <rPr>
        <sz val="10"/>
        <color indexed="8"/>
        <rFont val="Arial"/>
        <family val="2"/>
      </rPr>
      <t xml:space="preserve"> (white)</t>
    </r>
    <r>
      <rPr>
        <i/>
        <sz val="10"/>
        <color indexed="8"/>
        <rFont val="Arial"/>
        <family val="2"/>
      </rPr>
      <t xml:space="preserve"> Hosta 'Blue Angel'</t>
    </r>
  </si>
  <si>
    <t>Blue Angel sets off the blooms with heavily textured blue-green folaige.  Hosta bloom late spring to early summer</t>
  </si>
  <si>
    <r>
      <t>Karley Rose Fountain Grass</t>
    </r>
    <r>
      <rPr>
        <sz val="10"/>
        <color indexed="8"/>
        <rFont val="Arial"/>
        <family val="2"/>
      </rPr>
      <t xml:space="preserve"> (rose-purple) </t>
    </r>
    <r>
      <rPr>
        <i/>
        <sz val="10"/>
        <color indexed="8"/>
        <rFont val="Arial"/>
        <family val="2"/>
      </rPr>
      <t>Pennisetum orientale ‘Karley Rose’</t>
    </r>
  </si>
  <si>
    <t>Karley Rose known for it's stunning plumes atop dark green foliage, that turns golden-tan in fall</t>
  </si>
  <si>
    <r>
      <t>Pink Muhly Grass</t>
    </r>
    <r>
      <rPr>
        <sz val="10"/>
        <color indexed="8"/>
        <rFont val="Arial"/>
        <family val="2"/>
      </rPr>
      <t xml:space="preserve"> (pink to pinkish-red) </t>
    </r>
    <r>
      <rPr>
        <i/>
        <sz val="10"/>
        <color indexed="8"/>
        <rFont val="Arial"/>
        <family val="2"/>
      </rPr>
      <t>Muhlenbergia capillaris</t>
    </r>
  </si>
  <si>
    <t>Pink Muhly has thread-like, dark blue-green foliage, supporting the blooms from September to November</t>
  </si>
  <si>
    <r>
      <t>Shenandoah Switch Grass</t>
    </r>
    <r>
      <rPr>
        <sz val="10"/>
        <color indexed="8"/>
        <rFont val="Arial"/>
        <family val="2"/>
      </rPr>
      <t xml:space="preserve"> (pinkish) </t>
    </r>
    <r>
      <rPr>
        <i/>
        <sz val="10"/>
        <color indexed="8"/>
        <rFont val="Arial"/>
        <family val="2"/>
      </rPr>
      <t>Panicum virgatum ’Shenandoah’</t>
    </r>
  </si>
  <si>
    <t>Shenandoah foliage starts blue-green, turns red-burgundy, then violet-purple-red early fall. Beige into winter</t>
  </si>
  <si>
    <r>
      <t>Variegated Japanese Iris</t>
    </r>
    <r>
      <rPr>
        <sz val="10"/>
        <color indexed="8"/>
        <rFont val="Arial"/>
        <family val="2"/>
      </rPr>
      <t xml:space="preserve"> (purple)</t>
    </r>
    <r>
      <rPr>
        <i/>
        <sz val="10"/>
        <color indexed="8"/>
        <rFont val="Arial"/>
        <family val="2"/>
      </rPr>
      <t xml:space="preserve"> Iris ensata 'Variegata'</t>
    </r>
  </si>
  <si>
    <t>Varigated J. Iris grown for it's stalks: a stunning, vertical, green &amp; white variegation. Summer blooms are a bonus</t>
  </si>
  <si>
    <r>
      <t>Guacamole Hosta</t>
    </r>
    <r>
      <rPr>
        <sz val="10"/>
        <color indexed="8"/>
        <rFont val="Arial"/>
        <family val="2"/>
      </rPr>
      <t xml:space="preserve">  (white-lavender)  </t>
    </r>
    <r>
      <rPr>
        <b/>
        <sz val="10"/>
        <color indexed="8"/>
        <rFont val="Arial"/>
        <family val="2"/>
      </rPr>
      <t xml:space="preserve">💧wet sites OK 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Hosta 'Guacamole'</t>
    </r>
  </si>
  <si>
    <t>Guacamole Hosta resembles guacamole. Fragrant, showy blooms. Hostas thrive in shade, even in rooty area</t>
  </si>
  <si>
    <r>
      <t>Hot Lips Salvia</t>
    </r>
    <r>
      <rPr>
        <sz val="10"/>
        <color indexed="8"/>
        <rFont val="Arial"/>
        <family val="2"/>
      </rPr>
      <t xml:space="preserve"> (red &amp; white) </t>
    </r>
    <r>
      <rPr>
        <i/>
        <sz val="10"/>
        <color indexed="8"/>
        <rFont val="Arial"/>
        <family val="2"/>
      </rPr>
      <t>Salvia microphylla 'Hot Lips'</t>
    </r>
  </si>
  <si>
    <t>Hot Lips displays blooms from spring to frost. Leaves have a scent of blackcurrant</t>
  </si>
  <si>
    <r>
      <t>Goldsturm Black-Eyed Susan</t>
    </r>
    <r>
      <rPr>
        <sz val="10"/>
        <color indexed="8"/>
        <rFont val="Arial"/>
        <family val="2"/>
      </rPr>
      <t xml:space="preserve"> (yellow, black center)</t>
    </r>
    <r>
      <rPr>
        <b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Rudbeckia fulgida v. sullivantii 'Goldsturm'</t>
    </r>
  </si>
  <si>
    <t>Black-eyed Susan foliage lays down end of fall, for a winter ground cover</t>
  </si>
  <si>
    <t>G2 for other Rudbeckia:</t>
  </si>
  <si>
    <r>
      <rPr>
        <sz val="10"/>
        <color rgb="FF0C7A86"/>
        <rFont val="Arial"/>
        <family val="2"/>
      </rPr>
      <t>🐾</t>
    </r>
    <r>
      <rPr>
        <sz val="9"/>
        <color theme="1"/>
        <rFont val="Arial"/>
        <family val="2"/>
      </rPr>
      <t>wildlife</t>
    </r>
    <r>
      <rPr>
        <b/>
        <sz val="11"/>
        <color rgb="FF963634"/>
        <rFont val="Arial"/>
        <family val="2"/>
      </rPr>
      <t>❤</t>
    </r>
  </si>
  <si>
    <r>
      <t>Patriot Hosta</t>
    </r>
    <r>
      <rPr>
        <sz val="10"/>
        <color indexed="8"/>
        <rFont val="Arial"/>
        <family val="2"/>
      </rPr>
      <t xml:space="preserve"> (lavender-blue)  </t>
    </r>
    <r>
      <rPr>
        <b/>
        <sz val="10"/>
        <color indexed="8"/>
        <rFont val="Arial"/>
        <family val="2"/>
      </rPr>
      <t xml:space="preserve">💧wet sites OK  </t>
    </r>
    <r>
      <rPr>
        <i/>
        <sz val="10"/>
        <color indexed="8"/>
        <rFont val="Arial"/>
        <family val="2"/>
      </rPr>
      <t>Hosta 'Patriot'</t>
    </r>
  </si>
  <si>
    <t>Patriot is a showy variegation of dark green foliage with ivory margins</t>
  </si>
  <si>
    <r>
      <t>Blue Cadet Hosta</t>
    </r>
    <r>
      <rPr>
        <sz val="10"/>
        <color rgb="FF000000"/>
        <rFont val="Arial"/>
        <family val="2"/>
      </rPr>
      <t xml:space="preserve"> (lavender)</t>
    </r>
    <r>
      <rPr>
        <i/>
        <sz val="10"/>
        <color rgb="FF000000"/>
        <rFont val="Arial"/>
        <family val="2"/>
      </rPr>
      <t xml:space="preserve"> </t>
    </r>
    <r>
      <rPr>
        <i/>
        <sz val="10"/>
        <color indexed="8"/>
        <rFont val="Arial"/>
        <family val="2"/>
      </rPr>
      <t xml:space="preserve">Hosta 'Blue Cadet' </t>
    </r>
    <r>
      <rPr>
        <b/>
        <sz val="10"/>
        <color indexed="8"/>
        <rFont val="Arial"/>
        <family val="2"/>
      </rPr>
      <t>💧wet sites OK</t>
    </r>
  </si>
  <si>
    <t>Blue Cadet foliage will fade from blue-green to green, and then to yellow before dormancy</t>
  </si>
  <si>
    <r>
      <t>Dwarf Fountain Grass</t>
    </r>
    <r>
      <rPr>
        <sz val="10"/>
        <color indexed="8"/>
        <rFont val="Arial"/>
        <family val="2"/>
      </rPr>
      <t xml:space="preserve"> (white) </t>
    </r>
    <r>
      <rPr>
        <i/>
        <sz val="10"/>
        <color indexed="8"/>
        <rFont val="Arial"/>
        <family val="2"/>
      </rPr>
      <t>Pennisetum alopecuroides ‘Hameln’</t>
    </r>
  </si>
  <si>
    <t>Dwarf Fountain named for the way the deep green leaves arch outward, like a fountain. Turns bronze-russet in fall</t>
  </si>
  <si>
    <r>
      <t>Golden Tiara Hosta</t>
    </r>
    <r>
      <rPr>
        <sz val="10"/>
        <color indexed="8"/>
        <rFont val="Arial"/>
        <family val="2"/>
      </rPr>
      <t xml:space="preserve"> (purple)  </t>
    </r>
    <r>
      <rPr>
        <b/>
        <sz val="10"/>
        <color indexed="8"/>
        <rFont val="Arial"/>
        <family val="2"/>
      </rPr>
      <t xml:space="preserve">💧wet sites OK  </t>
    </r>
    <r>
      <rPr>
        <i/>
        <sz val="10"/>
        <color indexed="8"/>
        <rFont val="Arial"/>
        <family val="2"/>
      </rPr>
      <t>Hosta 'Golden Tiara'</t>
    </r>
  </si>
  <si>
    <t>Golden Tiara tolerates dry soils better than other Hosta. Bell-shaped blooms rise from heart-shaped leaves</t>
  </si>
  <si>
    <r>
      <rPr>
        <sz val="10"/>
        <color theme="1"/>
        <rFont val="Calibri"/>
        <family val="2"/>
        <scheme val="minor"/>
      </rPr>
      <t>🐦</t>
    </r>
    <r>
      <rPr>
        <sz val="9"/>
        <color theme="1"/>
        <rFont val="Calibri"/>
        <family val="2"/>
        <scheme val="minor"/>
      </rPr>
      <t xml:space="preserve">birds  </t>
    </r>
    <r>
      <rPr>
        <sz val="10"/>
        <color theme="1"/>
        <rFont val="Calibri"/>
        <family val="2"/>
        <scheme val="minor"/>
      </rPr>
      <t>🕊</t>
    </r>
    <r>
      <rPr>
        <sz val="9"/>
        <color theme="1"/>
        <rFont val="Calibri"/>
        <family val="2"/>
        <scheme val="minor"/>
      </rPr>
      <t>hummingbirds</t>
    </r>
    <r>
      <rPr>
        <sz val="11"/>
        <color theme="5" tint="-0.249977111117893"/>
        <rFont val="Calibri"/>
        <family val="2"/>
        <scheme val="minor"/>
      </rPr>
      <t>❤</t>
    </r>
  </si>
  <si>
    <r>
      <t xml:space="preserve">Happy Returns Daylily </t>
    </r>
    <r>
      <rPr>
        <sz val="10"/>
        <color indexed="8"/>
        <rFont val="Arial"/>
        <family val="2"/>
      </rPr>
      <t>(lemon yellow)</t>
    </r>
    <r>
      <rPr>
        <i/>
        <sz val="10"/>
        <color indexed="8"/>
        <rFont val="Arial"/>
        <family val="2"/>
      </rPr>
      <t xml:space="preserve">  </t>
    </r>
    <r>
      <rPr>
        <b/>
        <sz val="10"/>
        <color indexed="8"/>
        <rFont val="Arial"/>
        <family val="2"/>
      </rPr>
      <t>💧wet sites OK</t>
    </r>
    <r>
      <rPr>
        <i/>
        <sz val="10"/>
        <color indexed="8"/>
        <rFont val="Arial"/>
        <family val="2"/>
      </rPr>
      <t xml:space="preserve">  Hemerocallis 'Happy Returns'</t>
    </r>
  </si>
  <si>
    <t>Happy Returns is a cutivar of Stella d'Oro, for brighter blooms. Slightly fragrant.</t>
  </si>
  <si>
    <r>
      <t>May Night Salvia</t>
    </r>
    <r>
      <rPr>
        <sz val="10"/>
        <color indexed="8"/>
        <rFont val="Arial"/>
        <family val="2"/>
      </rPr>
      <t xml:space="preserve"> (indigo)</t>
    </r>
    <r>
      <rPr>
        <b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Salvia x superba 'May Night'</t>
    </r>
  </si>
  <si>
    <t xml:space="preserve">May Night presents on tall stalks, against aromatic dark green foliage
</t>
  </si>
  <si>
    <r>
      <t>Mexican Feather Grass</t>
    </r>
    <r>
      <rPr>
        <sz val="10"/>
        <color indexed="8"/>
        <rFont val="Arial"/>
        <family val="2"/>
      </rPr>
      <t xml:space="preserve"> (yellow to brown)</t>
    </r>
    <r>
      <rPr>
        <i/>
        <sz val="10"/>
        <color indexed="8"/>
        <rFont val="Arial"/>
        <family val="2"/>
      </rPr>
      <t xml:space="preserve"> Nassella tenuissima</t>
    </r>
  </si>
  <si>
    <t>Mexican Feather silvery thread-like foliage in late spring, turning golden brown toward fall</t>
  </si>
  <si>
    <r>
      <t>Pardon Me Daylily</t>
    </r>
    <r>
      <rPr>
        <sz val="10"/>
        <color indexed="8"/>
        <rFont val="Arial"/>
        <family val="2"/>
      </rPr>
      <t xml:space="preserve"> (red, lime throat)  </t>
    </r>
    <r>
      <rPr>
        <b/>
        <sz val="10"/>
        <color indexed="8"/>
        <rFont val="Arial"/>
        <family val="2"/>
      </rPr>
      <t xml:space="preserve">💧wet sites OK  </t>
    </r>
    <r>
      <rPr>
        <i/>
        <sz val="10"/>
        <color indexed="8"/>
        <rFont val="Arial"/>
        <family val="2"/>
      </rPr>
      <t>Hemerocallis 'Pardon Me'</t>
    </r>
  </si>
  <si>
    <t>Pardon Me has a rich, velvety texture to the bloom, with a fragrance.  Daylilly are repeat bloomers, June to frost</t>
  </si>
  <si>
    <r>
      <t xml:space="preserve">Japanese Painted Fern  💧wet sites OK  </t>
    </r>
    <r>
      <rPr>
        <i/>
        <sz val="10"/>
        <color indexed="8"/>
        <rFont val="Arial"/>
        <family val="2"/>
      </rPr>
      <t>Athyrium niponicum 'Pictum'</t>
    </r>
  </si>
  <si>
    <t>18"x24"</t>
  </si>
  <si>
    <t>J. Painted Fern has a lovely silvering in spring, becoming greenier with heat. Shade garden standout</t>
  </si>
  <si>
    <r>
      <t>Stella d'Oro Daylily</t>
    </r>
    <r>
      <rPr>
        <sz val="10"/>
        <color indexed="8"/>
        <rFont val="Arial"/>
        <family val="2"/>
      </rPr>
      <t xml:space="preserve"> (golden yellow) </t>
    </r>
    <r>
      <rPr>
        <b/>
        <sz val="10"/>
        <color indexed="8"/>
        <rFont val="Arial"/>
        <family val="2"/>
      </rPr>
      <t xml:space="preserve"> 💧wet site  </t>
    </r>
    <r>
      <rPr>
        <i/>
        <sz val="10"/>
        <color indexed="8"/>
        <rFont val="Arial"/>
        <family val="2"/>
      </rPr>
      <t>Hemerocallis 'Stella d'Oro'</t>
    </r>
  </si>
  <si>
    <t>18"x18"</t>
  </si>
  <si>
    <t>Stella is the longest blooming of all Daylilly, starting a earlier summer, through frost. Fragrant</t>
  </si>
  <si>
    <r>
      <t>Enchanted Eve Tickseed</t>
    </r>
    <r>
      <rPr>
        <sz val="10"/>
        <color rgb="FF000000"/>
        <rFont val="Arial"/>
        <family val="2"/>
      </rPr>
      <t xml:space="preserve"> (yellw/burgundy) </t>
    </r>
    <r>
      <rPr>
        <i/>
        <sz val="10"/>
        <color rgb="FF000000"/>
        <rFont val="Arial"/>
        <family val="2"/>
      </rPr>
      <t>Coreopsis Li'l Bang™ 'Enchanted Eve' PP#27857</t>
    </r>
  </si>
  <si>
    <t>Enchanted Eve is coviered with blooms early summer through fall. No need to deadhead sterile flowers</t>
  </si>
  <si>
    <r>
      <t>Stained Glass Hosta</t>
    </r>
    <r>
      <rPr>
        <sz val="10"/>
        <color indexed="8"/>
        <rFont val="Arial"/>
        <family val="2"/>
      </rPr>
      <t xml:space="preserve"> (pale lavender)  </t>
    </r>
    <r>
      <rPr>
        <b/>
        <sz val="10"/>
        <color indexed="8"/>
        <rFont val="Arial"/>
        <family val="2"/>
      </rPr>
      <t>💧wet sites OK</t>
    </r>
    <r>
      <rPr>
        <sz val="10"/>
        <color indexed="8"/>
        <rFont val="Arial"/>
        <family val="2"/>
      </rPr>
      <t xml:space="preserve">  </t>
    </r>
    <r>
      <rPr>
        <i/>
        <sz val="10"/>
        <color indexed="8"/>
        <rFont val="Arial"/>
        <family val="2"/>
      </rPr>
      <t>Hosta 'Stained Glass'</t>
    </r>
  </si>
  <si>
    <t>Stained Glass named it's prominent veins in the yellow leaves and green margins. Fragrant blooms</t>
  </si>
  <si>
    <r>
      <t>Blue Mouse Ears Hosta</t>
    </r>
    <r>
      <rPr>
        <sz val="10"/>
        <color indexed="8"/>
        <rFont val="Arial"/>
        <family val="2"/>
      </rPr>
      <t xml:space="preserve"> (lavender)  </t>
    </r>
    <r>
      <rPr>
        <b/>
        <sz val="10"/>
        <color indexed="8"/>
        <rFont val="Arial"/>
        <family val="2"/>
      </rPr>
      <t>💧wet sites OK</t>
    </r>
    <r>
      <rPr>
        <sz val="10"/>
        <color indexed="8"/>
        <rFont val="Arial"/>
        <family val="2"/>
      </rPr>
      <t xml:space="preserve">  </t>
    </r>
    <r>
      <rPr>
        <i/>
        <sz val="10"/>
        <color indexed="8"/>
        <rFont val="Arial"/>
        <family val="2"/>
      </rPr>
      <t>Hosta x 'Blue Mouse Ears'</t>
    </r>
  </si>
  <si>
    <t>8"x16"</t>
  </si>
  <si>
    <t>Blue Mouse named for small heart-shaped foliage with a slight curl that looks like mouse ears</t>
  </si>
  <si>
    <r>
      <rPr>
        <b/>
        <sz val="11"/>
        <color theme="0"/>
        <rFont val="Arial"/>
        <family val="2"/>
      </rPr>
      <t>ADD ADDITIONAL PLANTS FROM GROWERS</t>
    </r>
    <r>
      <rPr>
        <sz val="11"/>
        <color theme="0"/>
        <rFont val="Calibri"/>
        <family val="2"/>
        <scheme val="minor"/>
      </rPr>
      <t xml:space="preserve"> -</t>
    </r>
    <r>
      <rPr>
        <b/>
        <sz val="11"/>
        <color theme="0"/>
        <rFont val="Calibri"/>
        <family val="2"/>
        <scheme val="minor"/>
      </rPr>
      <t xml:space="preserve"> enter name, gallon size, G#, price &amp; quantity</t>
    </r>
  </si>
  <si>
    <t>G</t>
  </si>
  <si>
    <t xml:space="preserve"> </t>
  </si>
  <si>
    <t>Pot:</t>
  </si>
  <si>
    <t>Fee:</t>
  </si>
  <si>
    <t>4" (in a flat)</t>
  </si>
  <si>
    <r>
      <t>New View Planting and Trees2Go are</t>
    </r>
    <r>
      <rPr>
        <b/>
        <i/>
        <sz val="10"/>
        <color theme="1"/>
        <rFont val="Arial"/>
        <family val="2"/>
      </rPr>
      <t xml:space="preserve"> two separate companies</t>
    </r>
    <r>
      <rPr>
        <i/>
        <sz val="10"/>
        <color theme="1"/>
        <rFont val="Arial"/>
        <family val="2"/>
      </rPr>
      <t>, in a rather symbiotic relationship. We bill separately. No commissions or fees paid either way → just mutually beneficial.</t>
    </r>
  </si>
  <si>
    <t>one quart</t>
  </si>
  <si>
    <r>
      <rPr>
        <b/>
        <sz val="10.5"/>
        <color theme="1"/>
        <rFont val="Gadugi"/>
        <family val="2"/>
      </rPr>
      <t>before</t>
    </r>
    <r>
      <rPr>
        <sz val="10"/>
        <color theme="1"/>
        <rFont val="Gadugi"/>
        <family val="2"/>
      </rPr>
      <t xml:space="preserve"> Discount:</t>
    </r>
  </si>
  <si>
    <t>four quart</t>
  </si>
  <si>
    <t>1 gallon</t>
  </si>
  <si>
    <r>
      <rPr>
        <b/>
        <sz val="10.5"/>
        <color theme="1"/>
        <rFont val="Gadugi"/>
        <family val="2"/>
      </rPr>
      <t>after</t>
    </r>
    <r>
      <rPr>
        <sz val="10"/>
        <color theme="1"/>
        <rFont val="Gadugi"/>
        <family val="2"/>
      </rPr>
      <t xml:space="preserve"> Discount:</t>
    </r>
  </si>
  <si>
    <t>2 gallon</t>
  </si>
  <si>
    <t>yards planting SOIL</t>
  </si>
  <si>
    <t>3 gallon</t>
  </si>
  <si>
    <t>yards wood MULCH</t>
  </si>
  <si>
    <t>5 gallon</t>
  </si>
  <si>
    <t>Deposit Paid</t>
  </si>
  <si>
    <t>7 gallon</t>
  </si>
  <si>
    <r>
      <t xml:space="preserve">Total of all </t>
    </r>
    <r>
      <rPr>
        <b/>
        <sz val="10"/>
        <rFont val="Gadugi"/>
        <family val="2"/>
      </rPr>
      <t>Previous Amounts Paid:</t>
    </r>
  </si>
  <si>
    <t>10 gallon</t>
  </si>
  <si>
    <r>
      <rPr>
        <b/>
        <sz val="8"/>
        <color theme="1"/>
        <rFont val="Gadugi"/>
        <family val="2"/>
      </rPr>
      <t>►</t>
    </r>
    <r>
      <rPr>
        <sz val="8"/>
        <color theme="1"/>
        <rFont val="Gadugi"/>
        <family val="2"/>
      </rPr>
      <t xml:space="preserve"> </t>
    </r>
    <r>
      <rPr>
        <sz val="10"/>
        <color theme="1"/>
        <rFont val="Gadugi"/>
        <family val="2"/>
      </rPr>
      <t>order history builds Volume Discount</t>
    </r>
    <r>
      <rPr>
        <sz val="8"/>
        <color theme="1"/>
        <rFont val="Gadugi"/>
        <family val="2"/>
      </rPr>
      <t xml:space="preserve"> ◄  </t>
    </r>
  </si>
  <si>
    <t>15 gallon</t>
  </si>
  <si>
    <t>20 gallon</t>
  </si>
  <si>
    <r>
      <t xml:space="preserve">Please pay </t>
    </r>
    <r>
      <rPr>
        <b/>
        <sz val="10"/>
        <color theme="1"/>
        <rFont val="Arial"/>
        <family val="2"/>
      </rPr>
      <t>T2G</t>
    </r>
    <r>
      <rPr>
        <sz val="10"/>
        <color theme="1"/>
        <rFont val="Arial"/>
        <family val="2"/>
      </rPr>
      <t xml:space="preserve"> at delivery,</t>
    </r>
  </si>
  <si>
    <t>25 gallon</t>
  </si>
  <si>
    <r>
      <t xml:space="preserve">sorry, </t>
    </r>
    <r>
      <rPr>
        <b/>
        <sz val="10"/>
        <color theme="1"/>
        <rFont val="Gadugi"/>
        <family val="2"/>
      </rPr>
      <t>no visitors</t>
    </r>
    <r>
      <rPr>
        <sz val="10"/>
        <color theme="1"/>
        <rFont val="Gadugi"/>
        <family val="2"/>
      </rPr>
      <t xml:space="preserve"> </t>
    </r>
    <r>
      <rPr>
        <b/>
        <sz val="9"/>
        <color theme="1"/>
        <rFont val="Gadugi"/>
        <family val="2"/>
      </rPr>
      <t>🔷</t>
    </r>
    <r>
      <rPr>
        <b/>
        <sz val="10"/>
        <color theme="1"/>
        <rFont val="Gadugi"/>
        <family val="2"/>
      </rPr>
      <t xml:space="preserve"> </t>
    </r>
    <r>
      <rPr>
        <sz val="10"/>
        <color theme="1"/>
        <rFont val="Gadugi"/>
        <family val="2"/>
      </rPr>
      <t>plants are at growers</t>
    </r>
  </si>
  <si>
    <r>
      <t xml:space="preserve">then </t>
    </r>
    <r>
      <rPr>
        <b/>
        <sz val="10"/>
        <color theme="1"/>
        <rFont val="Arial"/>
        <family val="2"/>
      </rPr>
      <t>NVP</t>
    </r>
    <r>
      <rPr>
        <sz val="10"/>
        <color theme="1"/>
        <rFont val="Arial"/>
        <family val="2"/>
      </rPr>
      <t xml:space="preserve"> (if utilized) at finish.</t>
    </r>
  </si>
  <si>
    <t>30 gallon</t>
  </si>
  <si>
    <t xml:space="preserve"> Chris Wade</t>
  </si>
  <si>
    <t>45 gallon</t>
  </si>
  <si>
    <t>65 gallon</t>
  </si>
  <si>
    <t>95 gallon</t>
  </si>
  <si>
    <t>100 gallon</t>
  </si>
  <si>
    <r>
      <t xml:space="preserve">Over $200 = </t>
    </r>
    <r>
      <rPr>
        <b/>
        <sz val="10"/>
        <color rgb="FF1A5917"/>
        <rFont val="Arial"/>
        <family val="2"/>
      </rPr>
      <t xml:space="preserve">1% </t>
    </r>
    <r>
      <rPr>
        <b/>
        <sz val="9"/>
        <color rgb="FF1A5917"/>
        <rFont val="Arial"/>
        <family val="2"/>
      </rPr>
      <t>Volume Discount</t>
    </r>
  </si>
  <si>
    <r>
      <t xml:space="preserve">Over $300 = </t>
    </r>
    <r>
      <rPr>
        <b/>
        <sz val="10"/>
        <color rgb="FF1A5917"/>
        <rFont val="Arial"/>
        <family val="2"/>
      </rPr>
      <t>2%</t>
    </r>
  </si>
  <si>
    <r>
      <rPr>
        <b/>
        <sz val="10"/>
        <color theme="1"/>
        <rFont val="Arial"/>
        <family val="2"/>
      </rPr>
      <t xml:space="preserve">Over $400 = </t>
    </r>
    <r>
      <rPr>
        <b/>
        <sz val="10"/>
        <color rgb="FF1A5917"/>
        <rFont val="Arial"/>
        <family val="2"/>
      </rPr>
      <t>3%</t>
    </r>
  </si>
  <si>
    <t>NVP uses this same chart, but calculates separately.</t>
  </si>
  <si>
    <r>
      <rPr>
        <b/>
        <sz val="10"/>
        <color theme="1"/>
        <rFont val="Arial"/>
        <family val="2"/>
      </rPr>
      <t xml:space="preserve">Over $600 = </t>
    </r>
    <r>
      <rPr>
        <b/>
        <sz val="10"/>
        <color rgb="FF1A5917"/>
        <rFont val="Arial"/>
        <family val="2"/>
      </rPr>
      <t>4%</t>
    </r>
  </si>
  <si>
    <r>
      <rPr>
        <b/>
        <sz val="10"/>
        <color theme="1"/>
        <rFont val="Arial"/>
        <family val="2"/>
      </rPr>
      <t xml:space="preserve">Over $800 = </t>
    </r>
    <r>
      <rPr>
        <b/>
        <sz val="10"/>
        <color rgb="FF1A5917"/>
        <rFont val="Arial"/>
        <family val="2"/>
      </rPr>
      <t>5%</t>
    </r>
  </si>
  <si>
    <r>
      <rPr>
        <b/>
        <sz val="10"/>
        <color theme="1"/>
        <rFont val="Arial"/>
        <family val="2"/>
      </rPr>
      <t>Over $1000 =</t>
    </r>
    <r>
      <rPr>
        <b/>
        <sz val="10"/>
        <color theme="1" tint="0.499984740745262"/>
        <rFont val="Arial"/>
        <family val="2"/>
      </rPr>
      <t xml:space="preserve"> </t>
    </r>
    <r>
      <rPr>
        <b/>
        <sz val="10"/>
        <color rgb="FF1A5917"/>
        <rFont val="Arial"/>
        <family val="2"/>
      </rPr>
      <t>6%</t>
    </r>
  </si>
  <si>
    <r>
      <rPr>
        <b/>
        <sz val="10"/>
        <color theme="1"/>
        <rFont val="Arial"/>
        <family val="2"/>
      </rPr>
      <t xml:space="preserve">Over $1700 = </t>
    </r>
    <r>
      <rPr>
        <b/>
        <sz val="10"/>
        <color rgb="FF1A5917"/>
        <rFont val="Arial"/>
        <family val="2"/>
      </rPr>
      <t>7%</t>
    </r>
  </si>
  <si>
    <r>
      <rPr>
        <b/>
        <sz val="10"/>
        <color theme="1"/>
        <rFont val="Arial"/>
        <family val="2"/>
      </rPr>
      <t xml:space="preserve">Over $2500 = </t>
    </r>
    <r>
      <rPr>
        <b/>
        <sz val="10"/>
        <color rgb="FF1A5917"/>
        <rFont val="Arial"/>
        <family val="2"/>
      </rPr>
      <t>8%</t>
    </r>
  </si>
  <si>
    <r>
      <rPr>
        <b/>
        <sz val="10"/>
        <color theme="1"/>
        <rFont val="Arial"/>
        <family val="2"/>
      </rPr>
      <t xml:space="preserve">Over $3700 = </t>
    </r>
    <r>
      <rPr>
        <b/>
        <sz val="10"/>
        <color rgb="FF1A5917"/>
        <rFont val="Arial"/>
        <family val="2"/>
      </rPr>
      <t>9%</t>
    </r>
  </si>
  <si>
    <r>
      <rPr>
        <b/>
        <sz val="10"/>
        <color theme="1"/>
        <rFont val="Arial"/>
        <family val="2"/>
      </rPr>
      <t xml:space="preserve">Over $5000 = </t>
    </r>
    <r>
      <rPr>
        <b/>
        <sz val="10"/>
        <color rgb="FF1A5917"/>
        <rFont val="Arial"/>
        <family val="2"/>
      </rPr>
      <t>10%</t>
    </r>
  </si>
  <si>
    <t xml:space="preserve"> Eastern Triangle Area of North Carolina</t>
  </si>
  <si>
    <t>NVP serves same area.</t>
  </si>
  <si>
    <t>9'</t>
  </si>
  <si>
    <t>12'x6'</t>
  </si>
  <si>
    <r>
      <rPr>
        <b/>
        <sz val="10"/>
        <rFont val="Arial"/>
        <family val="2"/>
      </rPr>
      <t>Shaina Japanese Maple</t>
    </r>
    <r>
      <rPr>
        <i/>
        <sz val="10"/>
        <rFont val="Arial"/>
        <family val="2"/>
      </rPr>
      <t xml:space="preserve"> Acer palmatum 'Shaina'</t>
    </r>
  </si>
  <si>
    <t>12'x10'</t>
  </si>
  <si>
    <r>
      <rPr>
        <sz val="10"/>
        <rFont val="Arial"/>
        <family val="2"/>
      </rPr>
      <t>🦋</t>
    </r>
    <r>
      <rPr>
        <sz val="9"/>
        <rFont val="Arial"/>
        <family val="2"/>
      </rPr>
      <t xml:space="preserve">butterflies </t>
    </r>
    <r>
      <rPr>
        <sz val="10"/>
        <rFont val="Arial"/>
        <family val="2"/>
      </rPr>
      <t>🕊</t>
    </r>
    <r>
      <rPr>
        <sz val="9"/>
        <rFont val="Arial"/>
        <family val="2"/>
      </rPr>
      <t>hummingbirds</t>
    </r>
    <r>
      <rPr>
        <b/>
        <sz val="11"/>
        <color theme="5" tint="-0.249977111117893"/>
        <rFont val="Arial"/>
        <family val="2"/>
      </rPr>
      <t>❤</t>
    </r>
  </si>
  <si>
    <r>
      <rPr>
        <b/>
        <sz val="10"/>
        <rFont val="Arial"/>
        <family val="2"/>
      </rPr>
      <t>Arctic Fire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Red Twig Dogwood</t>
    </r>
    <r>
      <rPr>
        <sz val="10"/>
        <rFont val="Arial"/>
        <family val="2"/>
      </rPr>
      <t xml:space="preserve"> (white)  </t>
    </r>
    <r>
      <rPr>
        <b/>
        <sz val="10"/>
        <rFont val="Arial"/>
        <family val="2"/>
      </rPr>
      <t>💧wet sites OK</t>
    </r>
    <r>
      <rPr>
        <i/>
        <sz val="10"/>
        <rFont val="Arial"/>
        <family val="2"/>
      </rPr>
      <t xml:space="preserve">  Cornus stolonifera 'Farrow' PP18523</t>
    </r>
  </si>
  <si>
    <t>Arctic Fire (and other Red Twig) are known for their bright red winter stems</t>
  </si>
  <si>
    <r>
      <t>Powdered Gold Arborvitae</t>
    </r>
    <r>
      <rPr>
        <i/>
        <sz val="10"/>
        <rFont val="Arial"/>
        <family val="2"/>
      </rPr>
      <t xml:space="preserve"> Thuja plicata 'Powdered Gold'</t>
    </r>
  </si>
  <si>
    <t>30'x8'</t>
  </si>
  <si>
    <t>Powdered Gold is a half-size Green Giant, with yellow variegation</t>
  </si>
  <si>
    <r>
      <t xml:space="preserve">Sugar and Spice Arborvitae </t>
    </r>
    <r>
      <rPr>
        <i/>
        <sz val="10"/>
        <rFont val="Arial"/>
        <family val="2"/>
      </rPr>
      <t>Thuja plicata 'De Rakt' PP19926</t>
    </r>
  </si>
  <si>
    <t>12'x3'</t>
  </si>
  <si>
    <t>Sugar &amp; Spice has scented, soft, feathery foliage that retains color through winter</t>
  </si>
  <si>
    <t>4' low supply</t>
  </si>
  <si>
    <r>
      <t>Pink Icing</t>
    </r>
    <r>
      <rPr>
        <vertAlign val="superscript"/>
        <sz val="10"/>
        <color indexed="8"/>
        <rFont val="Arial"/>
        <family val="2"/>
      </rPr>
      <t>®</t>
    </r>
    <r>
      <rPr>
        <b/>
        <sz val="10"/>
        <color indexed="8"/>
        <rFont val="Arial"/>
        <family val="2"/>
      </rPr>
      <t xml:space="preserve"> Blueberry</t>
    </r>
    <r>
      <rPr>
        <sz val="10"/>
        <color indexed="8"/>
        <rFont val="Arial"/>
        <family val="2"/>
      </rPr>
      <t xml:space="preserve"> (white)</t>
    </r>
    <r>
      <rPr>
        <i/>
        <sz val="10"/>
        <color indexed="8"/>
        <rFont val="Arial"/>
        <family val="2"/>
      </rPr>
      <t xml:space="preserve"> Bushel and Berry® Vaccinium corymbosum 'Zf06-079' PP23336</t>
    </r>
  </si>
  <si>
    <r>
      <t>Heavy Metal Switchgrass</t>
    </r>
    <r>
      <rPr>
        <sz val="10"/>
        <color indexed="8"/>
        <rFont val="Arial"/>
        <family val="2"/>
      </rPr>
      <t xml:space="preserve"> (pink tinged)  </t>
    </r>
    <r>
      <rPr>
        <b/>
        <sz val="10"/>
        <color indexed="8"/>
        <rFont val="Arial"/>
        <family val="2"/>
      </rPr>
      <t>💧wet sites OK</t>
    </r>
    <r>
      <rPr>
        <sz val="10"/>
        <color indexed="8"/>
        <rFont val="Arial"/>
        <family val="2"/>
      </rPr>
      <t xml:space="preserve">  </t>
    </r>
    <r>
      <rPr>
        <i/>
        <sz val="10"/>
        <color indexed="8"/>
        <rFont val="Arial"/>
        <family val="2"/>
      </rPr>
      <t>Panicum ‘Heavy Metal’</t>
    </r>
  </si>
  <si>
    <t>Heavy Metal has upright mettalic-blue foliage turning yellow in autumn to tan-beige in winter</t>
  </si>
  <si>
    <r>
      <t>Raspberry Shortcake</t>
    </r>
    <r>
      <rPr>
        <vertAlign val="superscript"/>
        <sz val="10"/>
        <color indexed="8"/>
        <rFont val="Arial"/>
        <family val="2"/>
      </rPr>
      <t>®</t>
    </r>
    <r>
      <rPr>
        <b/>
        <sz val="10"/>
        <color indexed="8"/>
        <rFont val="Arial"/>
        <family val="2"/>
      </rPr>
      <t xml:space="preserve"> Raspberry</t>
    </r>
    <r>
      <rPr>
        <sz val="10"/>
        <color indexed="8"/>
        <rFont val="Arial"/>
        <family val="2"/>
      </rPr>
      <t xml:space="preserve"> (white) </t>
    </r>
    <r>
      <rPr>
        <i/>
        <sz val="10"/>
        <color rgb="FF000000"/>
        <rFont val="Arial"/>
        <family val="2"/>
      </rPr>
      <t xml:space="preserve">Bushel and Berry® </t>
    </r>
    <r>
      <rPr>
        <i/>
        <sz val="10"/>
        <color indexed="8"/>
        <rFont val="Arial"/>
        <family val="2"/>
      </rPr>
      <t>Rubus 'NR7' PP22141</t>
    </r>
  </si>
  <si>
    <t>Shortcake is thornless, producing full size vanilla flavored berries . No staking needed. Self-pollinating</t>
  </si>
  <si>
    <r>
      <t>Prairie Fire</t>
    </r>
    <r>
      <rPr>
        <vertAlign val="superscript"/>
        <sz val="10"/>
        <color theme="1"/>
        <rFont val="Arial"/>
        <family val="2"/>
      </rPr>
      <t>™</t>
    </r>
    <r>
      <rPr>
        <b/>
        <sz val="10"/>
        <color theme="1"/>
        <rFont val="Arial"/>
        <family val="2"/>
      </rPr>
      <t xml:space="preserve"> Sedge</t>
    </r>
    <r>
      <rPr>
        <sz val="10"/>
        <color theme="1"/>
        <rFont val="Arial"/>
        <family val="2"/>
      </rPr>
      <t xml:space="preserve"> (brown)  </t>
    </r>
    <r>
      <rPr>
        <b/>
        <sz val="10"/>
        <color theme="1"/>
        <rFont val="Arial"/>
        <family val="2"/>
      </rPr>
      <t xml:space="preserve">💧wet sites best </t>
    </r>
    <r>
      <rPr>
        <i/>
        <sz val="10"/>
        <color theme="1"/>
        <rFont val="Arial"/>
        <family val="2"/>
      </rPr>
      <t xml:space="preserve"> Carex testacea Prairie Fire™</t>
    </r>
  </si>
  <si>
    <t>Prairie Fire has olive-green leaves with bright bronze to orange to red highlights. Sedge is non-spreading</t>
  </si>
  <si>
    <r>
      <t>Wood's Pink Aster</t>
    </r>
    <r>
      <rPr>
        <sz val="10"/>
        <color indexed="8"/>
        <rFont val="Arial"/>
        <family val="2"/>
      </rPr>
      <t xml:space="preserve"> (clear pink, yellow center)</t>
    </r>
    <r>
      <rPr>
        <i/>
        <sz val="10"/>
        <color indexed="8"/>
        <rFont val="Arial"/>
        <family val="2"/>
      </rPr>
      <t xml:space="preserve"> Aster dumosus 'Wood's Pink'</t>
    </r>
  </si>
  <si>
    <t>Wood's Pink blooms late summer to early fall. Makes an excellent cut flower</t>
  </si>
  <si>
    <t>Bloomerang blooms in spring, rests, then blooms late summer to frost. Fragrant</t>
  </si>
  <si>
    <r>
      <t>Chollipo Euonymus</t>
    </r>
    <r>
      <rPr>
        <i/>
        <sz val="10"/>
        <rFont val="Arial"/>
        <family val="2"/>
      </rPr>
      <t xml:space="preserve"> Euonymus japonicus 'Chollipo'</t>
    </r>
  </si>
  <si>
    <t>Chollipo foliage is dark green, with yellow variegation. Tolerant of poor conditions. Can be kept to a 5' hedge</t>
  </si>
  <si>
    <r>
      <t xml:space="preserve">Trautman Juniper </t>
    </r>
    <r>
      <rPr>
        <i/>
        <sz val="10"/>
        <rFont val="Arial"/>
        <family val="2"/>
      </rPr>
      <t>Juniperus chinensis ‘Trautman'</t>
    </r>
  </si>
  <si>
    <t>12'x4'</t>
  </si>
  <si>
    <t>Trautman has a sturdy blue-green color that holds fast though extreme heat or cold</t>
  </si>
  <si>
    <r>
      <rPr>
        <b/>
        <sz val="10"/>
        <rFont val="Arial"/>
        <family val="2"/>
      </rPr>
      <t>Twisty Baby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Black Locust</t>
    </r>
    <r>
      <rPr>
        <sz val="10"/>
        <rFont val="Arial"/>
        <family val="2"/>
      </rPr>
      <t xml:space="preserve"> (white) </t>
    </r>
    <r>
      <rPr>
        <i/>
        <sz val="10"/>
        <rFont val="Arial"/>
        <family val="2"/>
      </rPr>
      <t>Robinia pseudoacacia 'Lace Lady'</t>
    </r>
  </si>
  <si>
    <t>Twisty Baby is a contortionist, with crooked stems and curled foliage. Fragrant blooms</t>
  </si>
  <si>
    <r>
      <t>Campfire Rose</t>
    </r>
    <r>
      <rPr>
        <sz val="10"/>
        <rFont val="Arial"/>
        <family val="2"/>
      </rPr>
      <t xml:space="preserve"> (yellow &amp; red)</t>
    </r>
    <r>
      <rPr>
        <i/>
        <sz val="10"/>
        <rFont val="Arial"/>
        <family val="2"/>
      </rPr>
      <t xml:space="preserve"> Rosa x 'Campfire'</t>
    </r>
  </si>
  <si>
    <t>Campfire Rose named for a famous painting. Cold-hardy flowers last well into fall until hard frost</t>
  </si>
  <si>
    <r>
      <t>Marley's Pink Parasol Japanese Snowbell</t>
    </r>
    <r>
      <rPr>
        <sz val="10"/>
        <rFont val="Arial"/>
        <family val="2"/>
      </rPr>
      <t xml:space="preserve"> (pale pink)</t>
    </r>
    <r>
      <rPr>
        <i/>
        <sz val="10"/>
        <rFont val="Arial"/>
        <family val="2"/>
      </rPr>
      <t xml:space="preserve"> Styrax japonicus 'JLWeeping'</t>
    </r>
  </si>
  <si>
    <t>Marley's Pink has a light sweet cotton candy fragrance, blooming in May &amp; June. Orange to yellow fall foliage</t>
  </si>
  <si>
    <r>
      <rPr>
        <b/>
        <sz val="10"/>
        <rFont val="Arial"/>
        <family val="2"/>
      </rPr>
      <t xml:space="preserve">Southern Gentleman Winterberry Holly  💧wet sites OK </t>
    </r>
    <r>
      <rPr>
        <sz val="10"/>
        <rFont val="Arial"/>
        <family val="2"/>
      </rPr>
      <t xml:space="preserve"> </t>
    </r>
    <r>
      <rPr>
        <i/>
        <sz val="9"/>
        <rFont val="Arial"/>
        <family val="2"/>
      </rPr>
      <t>Ilex verticillata 'Southern Gentleman'</t>
    </r>
  </si>
  <si>
    <t>12" low supply</t>
  </si>
  <si>
    <t>Gentleman is a rare male Holly, for pollination. Best for other verticilatta, but maybe worth a try on other species</t>
  </si>
  <si>
    <r>
      <t>Becky Shasta Daisy</t>
    </r>
    <r>
      <rPr>
        <sz val="10"/>
        <rFont val="Arial"/>
        <family val="2"/>
      </rPr>
      <t xml:space="preserve"> (white with yellow center)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Leucanthemum x superbum 'Becky'</t>
    </r>
  </si>
  <si>
    <t>Becky will stop flowering after a few years. Add new plants as needed to maintain show</t>
  </si>
  <si>
    <r>
      <t>Purple Diamond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Loropetalum</t>
    </r>
    <r>
      <rPr>
        <sz val="10"/>
        <rFont val="Arial"/>
        <family val="2"/>
      </rPr>
      <t xml:space="preserve"> (bright pink)</t>
    </r>
    <r>
      <rPr>
        <i/>
        <sz val="10"/>
        <rFont val="Arial"/>
        <family val="2"/>
      </rPr>
      <t xml:space="preserve"> Loropetalum chinense 'Shang-hi' PP18331</t>
    </r>
  </si>
  <si>
    <r>
      <rPr>
        <b/>
        <sz val="10"/>
        <rFont val="Arial"/>
        <family val="2"/>
      </rPr>
      <t>Loquat (Japanese Plum)</t>
    </r>
    <r>
      <rPr>
        <sz val="10"/>
        <rFont val="Arial"/>
        <family val="2"/>
      </rPr>
      <t xml:space="preserve"> (creamy white)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Eriobotrya japonica</t>
    </r>
  </si>
  <si>
    <t>Loquat flesh is succulent, sweet, tangy, and tastes like mix of peach, citrus &amp; mild mango. Fragrant blooms</t>
  </si>
  <si>
    <r>
      <t>Variegated Yucca</t>
    </r>
    <r>
      <rPr>
        <sz val="10"/>
        <rFont val="Arial"/>
        <family val="2"/>
      </rPr>
      <t xml:space="preserve"> (white) </t>
    </r>
    <r>
      <rPr>
        <i/>
        <sz val="10"/>
        <rFont val="Arial"/>
        <family val="2"/>
      </rPr>
      <t>Yucca gloriosa 'Variegata'</t>
    </r>
  </si>
  <si>
    <t>Variegated Yucca (AKA Spanish Dagger) bears a dramatic flowering stalk in early summer</t>
  </si>
  <si>
    <r>
      <t>White Delight Creeping Phlox</t>
    </r>
    <r>
      <rPr>
        <sz val="10"/>
        <color theme="1"/>
        <rFont val="Arial"/>
        <family val="2"/>
      </rPr>
      <t xml:space="preserve"> (white)  </t>
    </r>
    <r>
      <rPr>
        <b/>
        <sz val="10"/>
        <color theme="1"/>
        <rFont val="Arial"/>
        <family val="2"/>
      </rPr>
      <t xml:space="preserve">💧wet sites OK  </t>
    </r>
    <r>
      <rPr>
        <i/>
        <sz val="10"/>
        <color theme="1"/>
        <rFont val="Arial"/>
        <family val="2"/>
      </rPr>
      <t>Phlox subulata 'White Delight'</t>
    </r>
  </si>
  <si>
    <t>White Delight blooms from mid spring to early summer, atop bright green, needle-like foliage</t>
  </si>
  <si>
    <r>
      <t>Palace Purple Coral Bells</t>
    </r>
    <r>
      <rPr>
        <sz val="10"/>
        <color indexed="8"/>
        <rFont val="Arial"/>
        <family val="2"/>
      </rPr>
      <t xml:space="preserve"> (white) </t>
    </r>
    <r>
      <rPr>
        <i/>
        <sz val="10"/>
        <color indexed="8"/>
        <rFont val="Arial"/>
        <family val="2"/>
      </rPr>
      <t>Heuchera micrantha 'Palace Purple'</t>
    </r>
  </si>
  <si>
    <t>Palace Purple foliage is star-shaped, ranging in color from deep olive gree to purplish-bronze to deep purple</t>
  </si>
  <si>
    <r>
      <t>Gala Apple</t>
    </r>
    <r>
      <rPr>
        <sz val="10"/>
        <color indexed="8"/>
        <rFont val="Arial"/>
        <family val="2"/>
      </rPr>
      <t xml:space="preserve"> (white)</t>
    </r>
    <r>
      <rPr>
        <b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Malus pumila 'Gala'</t>
    </r>
  </si>
  <si>
    <t>Gala is a  mild, sweet, slightly tart, ready-to-eat apple. Cross-pollinate with Fuji, Red or Yellow Delicious, or Crabapple</t>
  </si>
  <si>
    <r>
      <t>Fuyu Persimmon</t>
    </r>
    <r>
      <rPr>
        <sz val="10"/>
        <color indexed="8"/>
        <rFont val="Arial"/>
        <family val="2"/>
      </rPr>
      <t xml:space="preserve"> (cream to pink)</t>
    </r>
    <r>
      <rPr>
        <b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Diospyros kaki 'Fuyu'</t>
    </r>
  </si>
  <si>
    <t>Fuyu Persimmon fruit is orange to red, firm, sweet, seedless, and crunches like an apple. Self-pollinating</t>
  </si>
  <si>
    <r>
      <t>Rainbow Pillar Serviceberry</t>
    </r>
    <r>
      <rPr>
        <sz val="10"/>
        <rFont val="Arial"/>
        <family val="2"/>
      </rPr>
      <t xml:space="preserve"> (white) </t>
    </r>
    <r>
      <rPr>
        <b/>
        <sz val="10"/>
        <rFont val="Arial"/>
        <family val="2"/>
      </rPr>
      <t xml:space="preserve">💧wet sites OK </t>
    </r>
    <r>
      <rPr>
        <i/>
        <sz val="10"/>
        <rFont val="Arial"/>
        <family val="2"/>
      </rPr>
      <t>Amelanchier canandensis 'Glenn Form’</t>
    </r>
    <r>
      <rPr>
        <b/>
        <sz val="10"/>
        <rFont val="Arial"/>
        <family val="2"/>
      </rPr>
      <t xml:space="preserve"> PP9092</t>
    </r>
  </si>
  <si>
    <t>Rainbow Pillar' edible fruit starts green, changes to red, then ripens to purple. Pick before birds take it all</t>
  </si>
  <si>
    <r>
      <rPr>
        <sz val="10"/>
        <rFont val="Arial"/>
        <family val="2"/>
      </rPr>
      <t>🐦</t>
    </r>
    <r>
      <rPr>
        <sz val="9"/>
        <rFont val="Arial"/>
        <family val="2"/>
      </rPr>
      <t>birds</t>
    </r>
    <r>
      <rPr>
        <b/>
        <sz val="11"/>
        <color theme="5" tint="-0.249977111117893"/>
        <rFont val="Arial"/>
        <family val="2"/>
      </rPr>
      <t>❤❤❤</t>
    </r>
  </si>
  <si>
    <r>
      <t>Waterfall Japanese Maple</t>
    </r>
    <r>
      <rPr>
        <sz val="10"/>
        <rFont val="Arial"/>
        <family val="2"/>
      </rPr>
      <t xml:space="preserve"> (reddish-purple)</t>
    </r>
    <r>
      <rPr>
        <i/>
        <sz val="10"/>
        <rFont val="Arial"/>
        <family val="2"/>
      </rPr>
      <t xml:space="preserve"> Acer palmatum var. dissectum 'Waterfall'</t>
    </r>
  </si>
  <si>
    <t>10'x12'</t>
  </si>
  <si>
    <t>Waterfall' summer green leaves turn golden in the fall.  Will resemble a waterfall more and more over time</t>
  </si>
  <si>
    <r>
      <rPr>
        <b/>
        <sz val="10"/>
        <rFont val="Arial"/>
        <family val="2"/>
      </rPr>
      <t xml:space="preserve">Gulftide Osmanthus </t>
    </r>
    <r>
      <rPr>
        <sz val="10"/>
        <rFont val="Arial"/>
        <family val="2"/>
      </rPr>
      <t>(white)</t>
    </r>
    <r>
      <rPr>
        <i/>
        <sz val="10"/>
        <rFont val="Arial"/>
        <family val="2"/>
      </rPr>
      <t xml:space="preserve"> Osmanthus heterophyllus 'Gulftide'</t>
    </r>
  </si>
  <si>
    <t>Gulftide has dense, spiney foliage that screens well. Small flowers are hard to see in fall, but rather fragrant</t>
  </si>
  <si>
    <r>
      <rPr>
        <b/>
        <sz val="10"/>
        <rFont val="Arial"/>
        <family val="2"/>
      </rPr>
      <t xml:space="preserve">Tuscarora Crape Myrtle </t>
    </r>
    <r>
      <rPr>
        <sz val="10"/>
        <rFont val="Arial"/>
        <family val="2"/>
      </rPr>
      <t>(watermelon red)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Lagerstroemia indica x f. 'Tuscarora'</t>
    </r>
  </si>
  <si>
    <t>Tuscarora has one of the longest blooming seasons of any crape myrtle. Grey bark</t>
  </si>
  <si>
    <r>
      <t>Obsession</t>
    </r>
    <r>
      <rPr>
        <vertAlign val="superscript"/>
        <sz val="10"/>
        <rFont val="Arial"/>
        <family val="2"/>
      </rPr>
      <t>™</t>
    </r>
    <r>
      <rPr>
        <b/>
        <sz val="10"/>
        <rFont val="Arial"/>
        <family val="2"/>
      </rPr>
      <t xml:space="preserve"> Nandina </t>
    </r>
    <r>
      <rPr>
        <i/>
        <sz val="10"/>
        <rFont val="Arial"/>
        <family val="2"/>
      </rPr>
      <t>Nandina domestica 'Seika' PP21891</t>
    </r>
  </si>
  <si>
    <t>Obsession foliage is green and brilliant red. Richer summer color than most nandina</t>
  </si>
  <si>
    <r>
      <t>Soft Caress</t>
    </r>
    <r>
      <rPr>
        <b/>
        <sz val="10"/>
        <rFont val="Arial"/>
        <family val="2"/>
      </rPr>
      <t xml:space="preserve"> Mahonia</t>
    </r>
    <r>
      <rPr>
        <sz val="10"/>
        <rFont val="Arial"/>
        <family val="2"/>
      </rPr>
      <t xml:space="preserve"> (yellow)</t>
    </r>
    <r>
      <rPr>
        <i/>
        <sz val="10"/>
        <rFont val="Arial"/>
        <family val="2"/>
      </rPr>
      <t xml:space="preserve"> Mahonia eurybracteata 'Soft Caress' PP20183</t>
    </r>
  </si>
  <si>
    <t>Soft Caress blooms late winter, followed by light blue berries. Thornless. Foliage turns purple in fall</t>
  </si>
  <si>
    <t>pruned to 10"</t>
  </si>
  <si>
    <r>
      <rPr>
        <b/>
        <sz val="10"/>
        <rFont val="Arial"/>
        <family val="2"/>
      </rPr>
      <t>Alice Oakleaf Hydrangea</t>
    </r>
    <r>
      <rPr>
        <sz val="10"/>
        <rFont val="Arial"/>
        <family val="2"/>
      </rPr>
      <t xml:space="preserve"> (white)</t>
    </r>
    <r>
      <rPr>
        <b/>
        <i/>
        <sz val="10"/>
        <rFont val="Arial"/>
        <family val="2"/>
      </rPr>
      <t xml:space="preserve"> </t>
    </r>
    <r>
      <rPr>
        <i/>
        <sz val="10"/>
        <rFont val="Arial"/>
        <family val="2"/>
      </rPr>
      <t>Hydrangea quercifolia 'Alice'</t>
    </r>
  </si>
  <si>
    <t>Alice is one of the largest Oakleaf. After a profusion of large June/July blooms, foliage turns brilliant crimson in fall</t>
  </si>
  <si>
    <r>
      <rPr>
        <b/>
        <sz val="10"/>
        <rFont val="Arial"/>
        <family val="2"/>
      </rPr>
      <t>Apricot Drift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Rose</t>
    </r>
    <r>
      <rPr>
        <sz val="10"/>
        <rFont val="Arial"/>
        <family val="2"/>
      </rPr>
      <t xml:space="preserve"> (apricot-peach-pink) </t>
    </r>
    <r>
      <rPr>
        <i/>
        <sz val="10"/>
        <rFont val="Arial"/>
        <family val="2"/>
      </rPr>
      <t>Rosa 'Meimirrot' PP23354</t>
    </r>
  </si>
  <si>
    <t>Apricot, like all Drift Rose, bloom spring to frost with little maintenance. Cut back to about 8" ball after last frost</t>
  </si>
  <si>
    <r>
      <t xml:space="preserve">Weeping Pussy Willow  💧wet sites OK </t>
    </r>
    <r>
      <rPr>
        <i/>
        <sz val="10"/>
        <rFont val="Arial"/>
        <family val="2"/>
      </rPr>
      <t xml:space="preserve"> Salix caprea 'Pendula'</t>
    </r>
  </si>
  <si>
    <t>Weeping Pussy Willow named for the springtime fuzzy gray catkins that feel like kittens</t>
  </si>
  <si>
    <r>
      <t>Pink Double Weeping Cherry</t>
    </r>
    <r>
      <rPr>
        <sz val="10"/>
        <color indexed="8"/>
        <rFont val="Arial"/>
        <family val="2"/>
      </rPr>
      <t xml:space="preserve"> (light to rose pink) </t>
    </r>
    <r>
      <rPr>
        <i/>
        <sz val="10"/>
        <color indexed="8"/>
        <rFont val="Arial"/>
        <family val="2"/>
      </rPr>
      <t>Prunus subhirtella Pendula 'Plena Rosea'</t>
    </r>
  </si>
  <si>
    <t>Pink Double blooms later (escaping frost) and longer than other weeping Cherry</t>
  </si>
  <si>
    <r>
      <rPr>
        <b/>
        <sz val="10"/>
        <rFont val="Arial"/>
        <family val="2"/>
      </rPr>
      <t>Cherokee Princess Dogwood</t>
    </r>
    <r>
      <rPr>
        <sz val="10"/>
        <rFont val="Arial"/>
        <family val="2"/>
      </rPr>
      <t xml:space="preserve"> (white) </t>
    </r>
    <r>
      <rPr>
        <i/>
        <sz val="10"/>
        <rFont val="Arial"/>
        <family val="2"/>
      </rPr>
      <t>Cornus florida 'Cherokee Princess'</t>
    </r>
  </si>
  <si>
    <t>Cherokee Princess has early, heavy, bloom set. Burgundy spring foliage turns forest green then deep red in fall</t>
  </si>
  <si>
    <t>4' lite roots</t>
  </si>
  <si>
    <r>
      <t>Nandina</t>
    </r>
    <r>
      <rPr>
        <i/>
        <sz val="10"/>
        <color indexed="8"/>
        <rFont val="Arial"/>
        <family val="2"/>
      </rPr>
      <t xml:space="preserve"> Nandina domestica</t>
    </r>
  </si>
  <si>
    <t>7'x5'</t>
  </si>
  <si>
    <r>
      <t xml:space="preserve">Dwarf Golden Sweet Flag  💧wet sites OK </t>
    </r>
    <r>
      <rPr>
        <i/>
        <sz val="10"/>
        <color rgb="FF000000"/>
        <rFont val="Arial"/>
        <family val="2"/>
      </rPr>
      <t xml:space="preserve"> Acorus gramineus ‘Minimus Aureus’</t>
    </r>
  </si>
  <si>
    <t>6"x9"</t>
  </si>
  <si>
    <t>Dwarf Golden will form a mat through it's roots. Needs moist soil. Fragrant</t>
  </si>
  <si>
    <r>
      <t>Granny Smith Apple</t>
    </r>
    <r>
      <rPr>
        <sz val="10"/>
        <color indexed="8"/>
        <rFont val="Arial"/>
        <family val="2"/>
      </rPr>
      <t xml:space="preserve"> (pinkish-white)</t>
    </r>
    <r>
      <rPr>
        <b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Malus domestica 'Granny Smith'</t>
    </r>
  </si>
  <si>
    <t>Granny Smith is crispy and tart, with green skin. Fragrant spring blooms. Late fall crop</t>
  </si>
  <si>
    <r>
      <rPr>
        <b/>
        <sz val="10"/>
        <color theme="1"/>
        <rFont val="Arial"/>
        <family val="2"/>
      </rPr>
      <t>Shamrock Inkberry Holly</t>
    </r>
    <r>
      <rPr>
        <sz val="10"/>
        <color theme="1"/>
        <rFont val="Arial"/>
        <family val="2"/>
      </rPr>
      <t xml:space="preserve"> (greenish white)  </t>
    </r>
    <r>
      <rPr>
        <b/>
        <sz val="10"/>
        <color theme="1"/>
        <rFont val="Arial"/>
        <family val="2"/>
      </rPr>
      <t>💧wet sites OK</t>
    </r>
    <r>
      <rPr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 xml:space="preserve"> </t>
    </r>
    <r>
      <rPr>
        <i/>
        <sz val="10"/>
        <color theme="1"/>
        <rFont val="Arial"/>
        <family val="2"/>
      </rPr>
      <t xml:space="preserve">Ilex glabra 'Shamrock' </t>
    </r>
    <r>
      <rPr>
        <b/>
        <sz val="10"/>
        <color theme="1"/>
        <rFont val="Arial"/>
        <family val="2"/>
      </rPr>
      <t>💧wet sites OK</t>
    </r>
  </si>
  <si>
    <t>Shamrock is more compact and suckers less than other Inkberry. Inconspicuous flowers and pea-sized black berries if pollinated</t>
  </si>
  <si>
    <r>
      <rPr>
        <b/>
        <sz val="10"/>
        <rFont val="Arial"/>
        <family val="2"/>
      </rPr>
      <t xml:space="preserve">Sea Green Juniper </t>
    </r>
    <r>
      <rPr>
        <i/>
        <sz val="10"/>
        <rFont val="Arial"/>
        <family val="2"/>
      </rPr>
      <t>Juniperus chinensis 'Sea Green'</t>
    </r>
  </si>
  <si>
    <t>Sea Green resembles waves, with it's fountain-like, arching branches. Low maintenance once established</t>
  </si>
  <si>
    <r>
      <t xml:space="preserve">Saybrook Gold Juniper </t>
    </r>
    <r>
      <rPr>
        <i/>
        <sz val="10"/>
        <rFont val="Arial"/>
        <family val="2"/>
      </rPr>
      <t>Juniperus chinensis 'Saybrook Gold'</t>
    </r>
  </si>
  <si>
    <t>Saybrook Gold will fill a space with it's soft, lacy texture. Bright yellow in summer, then more bronze in fall</t>
  </si>
  <si>
    <r>
      <t xml:space="preserve">Terms of Planting </t>
    </r>
    <r>
      <rPr>
        <b/>
        <sz val="10"/>
        <color theme="1"/>
        <rFont val="Arial"/>
        <family val="2"/>
      </rPr>
      <t>if Trees2Go plants tiny order (up to 20 gallons total)</t>
    </r>
  </si>
  <si>
    <t>Please see ‘Terms’ on Trees2go.com for additional Terms</t>
  </si>
  <si>
    <t>Major Insurance Coverage</t>
  </si>
  <si>
    <t>Major liability insurance applies (certificate available upon request).</t>
  </si>
  <si>
    <t>Minor Liability Release</t>
  </si>
  <si>
    <t>Customer releases Trees2Go.com from minor damage and health claims to property and landscaping.</t>
  </si>
  <si>
    <t>Includes, but is not limited to: lawns, existing plants, lighting, ornaments, fences, railings, walkways, driveways.</t>
  </si>
  <si>
    <t>Underground Liability Release</t>
  </si>
  <si>
    <t xml:space="preserve">Customer releases Trees2Go.com from any damage claims to roots, irrigation systems, sewer &amp; septic systems, </t>
  </si>
  <si>
    <t>power lines, gas lines, cables, wires, water lines, phone lines, or other buried obstacles.</t>
  </si>
  <si>
    <r>
      <t>Free service</t>
    </r>
    <r>
      <rPr>
        <sz val="9"/>
        <color theme="1"/>
        <rFont val="Arial"/>
        <family val="2"/>
      </rPr>
      <t xml:space="preserve"> to locate &amp; mark buried utilities: </t>
    </r>
    <r>
      <rPr>
        <b/>
        <sz val="9"/>
        <color theme="1"/>
        <rFont val="Arial"/>
        <family val="2"/>
      </rPr>
      <t>1-Call Utilities Locating/811</t>
    </r>
    <r>
      <rPr>
        <sz val="9"/>
        <color theme="1"/>
        <rFont val="Arial"/>
        <family val="2"/>
      </rPr>
      <t xml:space="preserve"> (Trees2Go will contact).</t>
    </r>
  </si>
  <si>
    <t>Hidden obstacles, like sprinklers, dog fences, lighting, and (some) water lines won’t be marked by 811.</t>
  </si>
  <si>
    <t>Original installers may be able to locate &amp; mark their underground components.</t>
  </si>
  <si>
    <t>Customer Requirements</t>
  </si>
  <si>
    <t>Remove or kill grass ahead of time, as desired. Sod removal not included. Sod removal not required.</t>
  </si>
  <si>
    <t>Planting Fees</t>
  </si>
  <si>
    <t>Two Year Service Warranty</t>
  </si>
  <si>
    <t>Less than 1 gallon</t>
  </si>
  <si>
    <t>Customer responsibilities:</t>
  </si>
  <si>
    <t>equal to 1 gallon</t>
  </si>
  <si>
    <t>Buy replacement plant.</t>
  </si>
  <si>
    <t>Choose the same plant or different plant (same pot size).</t>
  </si>
  <si>
    <t>No sales tax charged for warranty items.</t>
  </si>
  <si>
    <t>Outside Eastern Triangle Area, add mileage fee.</t>
  </si>
  <si>
    <t>6 gallon</t>
  </si>
  <si>
    <t>Trees2Go responsibilities:</t>
  </si>
  <si>
    <t>Dig up &amp; dispose of dead plant.</t>
  </si>
  <si>
    <t>Reinstall new plant.</t>
  </si>
  <si>
    <t>One Warranty per plant.</t>
  </si>
  <si>
    <t>Customer: _________________________________________________      Date: ______________</t>
  </si>
  <si>
    <r>
      <t>Photos &amp; Other Media Release</t>
    </r>
    <r>
      <rPr>
        <sz val="12"/>
        <color theme="1"/>
        <rFont val="Arial"/>
        <family val="2"/>
      </rPr>
      <t xml:space="preserve"> </t>
    </r>
    <r>
      <rPr>
        <b/>
        <sz val="11"/>
        <color theme="1"/>
        <rFont val="Arial"/>
        <family val="2"/>
      </rPr>
      <t>(optional)</t>
    </r>
    <r>
      <rPr>
        <sz val="12"/>
        <color theme="1"/>
        <rFont val="Arial"/>
        <family val="2"/>
      </rPr>
      <t xml:space="preserve"> </t>
    </r>
    <r>
      <rPr>
        <b/>
        <sz val="11"/>
        <color theme="1"/>
        <rFont val="Arial"/>
        <family val="2"/>
      </rPr>
      <t>Customer Initial</t>
    </r>
    <r>
      <rPr>
        <sz val="11"/>
        <color theme="1"/>
        <rFont val="Arial"/>
        <family val="2"/>
      </rPr>
      <t xml:space="preserve"> _______ </t>
    </r>
  </si>
  <si>
    <t xml:space="preserve">Property address &amp; surname will be avoided.  </t>
  </si>
  <si>
    <t>Customer reserves right to terminate this clause at any time.</t>
  </si>
  <si>
    <t>©2021 Trees2Go.com LLC</t>
  </si>
  <si>
    <t>PLANTING ADVICE</t>
  </si>
  <si>
    <t xml:space="preserve">    Plant it high, rarely die</t>
  </si>
  <si>
    <t xml:space="preserve">   Plant it low, rarely grow</t>
  </si>
  <si>
    <t>1.</t>
  </si>
  <si>
    <t>Clear planting area of debris, Do NOT rototill.</t>
  </si>
  <si>
    <t>2.</t>
  </si>
  <si>
    <t xml:space="preserve">Place pot in position, as a template. </t>
  </si>
  <si>
    <t>3.</t>
  </si>
  <si>
    <t>4.</t>
  </si>
  <si>
    <t>Dig, but NOT as deep as rootball. Place diggings around top edge of hole.</t>
  </si>
  <si>
    <t>5.</t>
  </si>
  <si>
    <t>Carefully remove plant from pot. Pull &amp; spread out loose roots.</t>
  </si>
  <si>
    <t>6.</t>
  </si>
  <si>
    <t>Cut long &amp; tightly wound roots from around plant to prevent girdling.</t>
  </si>
  <si>
    <t>7.</t>
  </si>
  <si>
    <t>Elevate plant about 1/3 above grade, (1/5 if plant is a moisture-lover).</t>
  </si>
  <si>
    <t>8.</t>
  </si>
  <si>
    <t>Add a mix of diggings and planting soil into trench, up to grade level.</t>
  </si>
  <si>
    <t>9.</t>
  </si>
  <si>
    <t>Lock plant into place by 'stuffing' soil with blunt tool. Maybe use top end of shovel.</t>
  </si>
  <si>
    <t>10.</t>
  </si>
  <si>
    <t>Add rooting hormone in trench, against roots.</t>
  </si>
  <si>
    <t>11.</t>
  </si>
  <si>
    <t>Add long-term fertilizer in trench.</t>
  </si>
  <si>
    <t>12.</t>
  </si>
  <si>
    <t>Spread more soil.</t>
  </si>
  <si>
    <t>13.</t>
  </si>
  <si>
    <t>Add water-absorbing hydro-gel (comes as crystalline form).</t>
  </si>
  <si>
    <t>14.</t>
  </si>
  <si>
    <t>Spread a final layer of soil.</t>
  </si>
  <si>
    <t>Tamp all firmly into place.</t>
  </si>
  <si>
    <t>Spread a layer of hardwood mulch (3" max).</t>
  </si>
  <si>
    <t>WATERING &amp; HEALTH ADVICE</t>
  </si>
  <si>
    <r>
      <t xml:space="preserve">Average </t>
    </r>
    <r>
      <rPr>
        <b/>
        <sz val="11"/>
        <color rgb="FF333333"/>
        <rFont val="Arial"/>
        <family val="2"/>
      </rPr>
      <t>ONE WEEKLY</t>
    </r>
    <r>
      <rPr>
        <sz val="11"/>
        <color rgb="FF333333"/>
        <rFont val="Arial"/>
        <family val="2"/>
      </rPr>
      <t> watering, depending on temperature.</t>
    </r>
  </si>
  <si>
    <t>Hand watering with water hose:</t>
  </si>
  <si>
    <t>– about 4 seconds per gallon of pot size (e.g., 12 seconds for a 3-gallon plant).</t>
  </si>
  <si>
    <t>– water roots gently, using a wide-mouth soaker nozzle.</t>
  </si>
  <si>
    <t>– LOW pressure if using an open end hose.</t>
  </si>
  <si>
    <r>
      <t>If it </t>
    </r>
    <r>
      <rPr>
        <b/>
        <sz val="11"/>
        <color rgb="FF333333"/>
        <rFont val="Arial"/>
        <family val="2"/>
      </rPr>
      <t>RAINS</t>
    </r>
    <r>
      <rPr>
        <sz val="11"/>
        <color rgb="FF333333"/>
        <rFont val="Arial"/>
        <family val="2"/>
      </rPr>
      <t> good, </t>
    </r>
    <r>
      <rPr>
        <b/>
        <sz val="11"/>
        <color rgb="FF333333"/>
        <rFont val="Arial"/>
        <family val="2"/>
      </rPr>
      <t>DON’T </t>
    </r>
    <r>
      <rPr>
        <sz val="11"/>
        <color rgb="FF333333"/>
        <rFont val="Arial"/>
        <family val="2"/>
      </rPr>
      <t xml:space="preserve">water. Rain might just supply </t>
    </r>
    <r>
      <rPr>
        <b/>
        <sz val="11"/>
        <color rgb="FF333333"/>
        <rFont val="Arial"/>
        <family val="2"/>
      </rPr>
      <t>ALL</t>
    </r>
    <r>
      <rPr>
        <sz val="11"/>
        <color rgb="FF333333"/>
        <rFont val="Arial"/>
        <family val="2"/>
      </rPr>
      <t xml:space="preserve"> water needs.</t>
    </r>
  </si>
  <si>
    <r>
      <rPr>
        <sz val="11"/>
        <color rgb="FF333333"/>
        <rFont val="Arial"/>
        <family val="2"/>
      </rPr>
      <t xml:space="preserve">A </t>
    </r>
    <r>
      <rPr>
        <b/>
        <sz val="11"/>
        <color rgb="FF333333"/>
        <rFont val="Arial"/>
        <family val="2"/>
      </rPr>
      <t xml:space="preserve">half-inch </t>
    </r>
    <r>
      <rPr>
        <sz val="11"/>
        <color rgb="FF333333"/>
        <rFont val="Arial"/>
        <family val="2"/>
      </rPr>
      <t>of rainfall counts as a watering.</t>
    </r>
  </si>
  <si>
    <t>Lesser rainfalls may miss roots, just dampening the mulch.</t>
  </si>
  <si>
    <r>
      <t>OVER 80</t>
    </r>
    <r>
      <rPr>
        <sz val="11"/>
        <color rgb="FF333333"/>
        <rFont val="Arial"/>
        <family val="2"/>
      </rPr>
      <t> degrees out?</t>
    </r>
  </si>
  <si>
    <r>
      <t>UNDER 50 </t>
    </r>
    <r>
      <rPr>
        <sz val="11"/>
        <color rgb="FF333333"/>
        <rFont val="Arial"/>
        <family val="2"/>
      </rPr>
      <t>degrees out?</t>
    </r>
  </si>
  <si>
    <t xml:space="preserve">Cold of winter? With typical dormant season rain, very little human watering is needed. </t>
  </si>
  <si>
    <r>
      <t>Avoid overwatering!</t>
    </r>
    <r>
      <rPr>
        <sz val="11"/>
        <color rgb="FF333333"/>
        <rFont val="Arial"/>
        <family val="2"/>
      </rPr>
      <t xml:space="preserve"> You may do more harm than good.</t>
    </r>
  </si>
  <si>
    <t>Plants getting watered too much, without a break, may suffer root rot.</t>
  </si>
  <si>
    <t>Arborvitae, in particular, require less watering, especially when temps drop.</t>
  </si>
  <si>
    <r>
      <t>IF IN DOUBT,</t>
    </r>
    <r>
      <rPr>
        <sz val="11"/>
        <color rgb="FF333333"/>
        <rFont val="Arial"/>
        <family val="2"/>
      </rPr>
      <t xml:space="preserve"> check moisture level with finger (or a meter).</t>
    </r>
  </si>
  <si>
    <t>When do I reduce watering?</t>
  </si>
  <si>
    <r>
      <t>Over-watered plants can look like under-watered plants</t>
    </r>
    <r>
      <rPr>
        <b/>
        <sz val="11"/>
        <color rgb="FF333333"/>
        <rFont val="Arial"/>
        <family val="2"/>
      </rPr>
      <t>.</t>
    </r>
  </si>
  <si>
    <t xml:space="preserve">Wilting or color change can occur either way. </t>
  </si>
  <si>
    <t>New plantings may shed leaves.</t>
  </si>
  <si>
    <t xml:space="preserve">Going from a nursery to an exposed planting (more sun &amp; wind), plants may go into ‘shock’. </t>
  </si>
  <si>
    <t>Usually temporary; maintain water and wait. Often it will re-leaf, even into mid-season.</t>
  </si>
  <si>
    <t>Problems may not be watering-related.</t>
  </si>
  <si>
    <t>Disease, fungus, or insects may visit upon your plants anytime, anywhere.</t>
  </si>
  <si>
    <r>
      <t>Try a garden store formula, like, </t>
    </r>
    <r>
      <rPr>
        <i/>
        <sz val="11"/>
        <color rgb="FF333333"/>
        <rFont val="Arial"/>
        <family val="2"/>
      </rPr>
      <t>Bio-Advanced 3-in-1 Insect, Disease &amp; Mite Control</t>
    </r>
    <r>
      <rPr>
        <sz val="11"/>
        <color rgb="FF333333"/>
        <rFont val="Arial"/>
        <family val="2"/>
      </rPr>
      <t>.</t>
    </r>
  </si>
  <si>
    <t>Spray on foliage as needed ~ or to prevent.</t>
  </si>
  <si>
    <r>
      <t>Plant grew so fast, it is leaning</t>
    </r>
    <r>
      <rPr>
        <sz val="11"/>
        <color rgb="FF333333"/>
        <rFont val="Arial"/>
        <family val="2"/>
      </rPr>
      <t>!</t>
    </r>
  </si>
  <si>
    <t>Foliage often outgrows stem. Give that plant a solid haircut!</t>
  </si>
  <si>
    <t>Shear 1/3 to 1/2 of foliage off the uppermost areas.</t>
  </si>
  <si>
    <t>It should straighten up with weight taken off.</t>
  </si>
  <si>
    <t>It will be a stronger plant, and will regain stature fast.</t>
  </si>
  <si>
    <t>TWO YEAR 50% WARRANTY</t>
  </si>
  <si>
    <t>Your accrued Volume Discount is then deducted.</t>
  </si>
  <si>
    <t>No tax for warranty plants.</t>
  </si>
  <si>
    <t>No-fault. No reason needed.</t>
  </si>
  <si>
    <t>Choose any new plant, same size/price or less.</t>
  </si>
  <si>
    <t>Eastern Triangle Area of NC</t>
  </si>
  <si>
    <t>GUARANTEE OF INITIAL QUALITY</t>
  </si>
  <si>
    <t>After delivery, take 7 days to inspect for health issues.</t>
  </si>
  <si>
    <t>Current $</t>
  </si>
  <si>
    <t>Discount</t>
  </si>
  <si>
    <t>to find SOIL needed:</t>
  </si>
  <si>
    <t>to find MULCH needed:</t>
  </si>
  <si>
    <t>New View Planting Fees</t>
  </si>
  <si>
    <t>Container</t>
  </si>
  <si>
    <t>Yards</t>
  </si>
  <si>
    <t>96 in</t>
  </si>
  <si>
    <t>1.5"</t>
  </si>
  <si>
    <t>2"</t>
  </si>
  <si>
    <t>2.5"</t>
  </si>
  <si>
    <t>3.5"</t>
  </si>
  <si>
    <t>4"</t>
  </si>
  <si>
    <t>12'</t>
  </si>
  <si>
    <t>tray</t>
  </si>
  <si>
    <t>per tray</t>
  </si>
  <si>
    <t>per</t>
  </si>
  <si>
    <t>per square foot</t>
  </si>
  <si>
    <t>per bale</t>
  </si>
  <si>
    <t>per plant</t>
  </si>
  <si>
    <t>per yard</t>
  </si>
  <si>
    <t>estimate</t>
  </si>
  <si>
    <t>16"wide</t>
  </si>
  <si>
    <r>
      <t>Miss Kim Lilac</t>
    </r>
    <r>
      <rPr>
        <sz val="10"/>
        <color indexed="8"/>
        <rFont val="Arial"/>
        <family val="2"/>
      </rPr>
      <t xml:space="preserve"> (pale lavender) </t>
    </r>
    <r>
      <rPr>
        <i/>
        <sz val="10"/>
        <color indexed="8"/>
        <rFont val="Arial"/>
        <family val="2"/>
      </rPr>
      <t>Syringa patula 'Miss Kim'</t>
    </r>
  </si>
  <si>
    <r>
      <t>Bloomerang</t>
    </r>
    <r>
      <rPr>
        <b/>
        <vertAlign val="superscript"/>
        <sz val="10"/>
        <color rgb="FF000000"/>
        <rFont val="Arial"/>
        <family val="2"/>
      </rPr>
      <t>®</t>
    </r>
    <r>
      <rPr>
        <b/>
        <sz val="10"/>
        <color indexed="8"/>
        <rFont val="Arial"/>
        <family val="2"/>
      </rPr>
      <t xml:space="preserve"> Dark Purple Lilac</t>
    </r>
    <r>
      <rPr>
        <sz val="10"/>
        <color indexed="8"/>
        <rFont val="Arial"/>
        <family val="2"/>
      </rPr>
      <t xml:space="preserve"> (dark purple) </t>
    </r>
    <r>
      <rPr>
        <i/>
        <sz val="10"/>
        <color indexed="8"/>
        <rFont val="Arial"/>
        <family val="2"/>
      </rPr>
      <t>Syringa 'Bloomerang Dark Purple'</t>
    </r>
  </si>
  <si>
    <r>
      <t xml:space="preserve">Yellow-Berried Nandina </t>
    </r>
    <r>
      <rPr>
        <i/>
        <sz val="10"/>
        <color rgb="FF000000"/>
        <rFont val="Arial"/>
        <family val="2"/>
      </rPr>
      <t>Nandina domestica 'Alba'</t>
    </r>
  </si>
  <si>
    <t>Yellow-Berried Nandina sports a creamy yellow fruit. Green foliage turns golden in winter</t>
  </si>
  <si>
    <r>
      <t>Sunburst St. John’s Wort</t>
    </r>
    <r>
      <rPr>
        <sz val="10"/>
        <color indexed="8"/>
        <rFont val="Arial"/>
        <family val="2"/>
      </rPr>
      <t xml:space="preserve"> (yellow) </t>
    </r>
    <r>
      <rPr>
        <i/>
        <sz val="10"/>
        <color indexed="8"/>
        <rFont val="Arial"/>
        <family val="2"/>
      </rPr>
      <t>Hypericum frondosum ‘Sunburst’</t>
    </r>
  </si>
  <si>
    <t>Wood's Blue blooms late summer to early fall. Makes an excellent cut flower</t>
  </si>
  <si>
    <r>
      <t>Wood's Blue Aster</t>
    </r>
    <r>
      <rPr>
        <sz val="10"/>
        <color indexed="8"/>
        <rFont val="Arial"/>
        <family val="2"/>
      </rPr>
      <t xml:space="preserve"> (blue, yellow center)</t>
    </r>
    <r>
      <rPr>
        <i/>
        <sz val="10"/>
        <color indexed="8"/>
        <rFont val="Arial"/>
        <family val="2"/>
      </rPr>
      <t xml:space="preserve"> Aster dumosus 'Wood's Blue'</t>
    </r>
  </si>
  <si>
    <t>15"x18"</t>
  </si>
  <si>
    <t>3' low supply</t>
  </si>
  <si>
    <r>
      <rPr>
        <b/>
        <sz val="10"/>
        <rFont val="Arial"/>
        <family val="2"/>
      </rPr>
      <t xml:space="preserve">Golden Pacific Juniper </t>
    </r>
    <r>
      <rPr>
        <i/>
        <sz val="10"/>
        <rFont val="Arial"/>
        <family val="2"/>
      </rPr>
      <t>Juniperus conferta 'Golden Pacific'</t>
    </r>
  </si>
  <si>
    <t>Golden Pacific similar to Blue Pacific, except not fragrant. Variegated plants are rarely fragrant</t>
  </si>
  <si>
    <t>12"x60"</t>
  </si>
  <si>
    <t xml:space="preserve"> (919) 995-2245</t>
  </si>
  <si>
    <t xml:space="preserve">      McGee’s Crossroads, Cleveland, Clayton, Riverwood, Archer Lodge &amp; Flower’s Plantation.
</t>
  </si>
  <si>
    <r>
      <rPr>
        <b/>
        <sz val="11"/>
        <rFont val="Calibri"/>
        <family val="2"/>
        <scheme val="minor"/>
      </rPr>
      <t xml:space="preserve">     Johnston boundary:</t>
    </r>
    <r>
      <rPr>
        <sz val="11"/>
        <rFont val="Calibri"/>
        <family val="2"/>
        <scheme val="minor"/>
      </rPr>
      <t xml:space="preserve">
</t>
    </r>
  </si>
  <si>
    <t xml:space="preserve">      (from top) NC39 South to NC42, then straight line through Wilson's Mills to Denning Road.
</t>
  </si>
  <si>
    <t xml:space="preserve">       Raleigh, Morrisville, Cary, Apex, New Hill, Holly Springs, Fuquay-Varina, Garner, </t>
  </si>
  <si>
    <t xml:space="preserve">       Knightdale, Wendell, Zebulon, Rolesville &amp; Wake Forest.</t>
  </si>
  <si>
    <t xml:space="preserve">     NW Johnston County:</t>
  </si>
  <si>
    <t xml:space="preserve">      $3.25 per mile (ONE-WAY only) past boundary line.</t>
  </si>
  <si>
    <t>Purple Diamond shows off blooms against dark foliage ~ all Loropetalum prefer full sun, with shelter from afternoon sun ~</t>
  </si>
  <si>
    <r>
      <rPr>
        <sz val="9.5"/>
        <color theme="1"/>
        <rFont val="Gadugi"/>
        <family val="2"/>
      </rPr>
      <t xml:space="preserve">if paid by </t>
    </r>
    <r>
      <rPr>
        <b/>
        <sz val="9.5"/>
        <color theme="1"/>
        <rFont val="Gadugi"/>
        <family val="2"/>
      </rPr>
      <t>CREDIT CARD:</t>
    </r>
  </si>
  <si>
    <r>
      <t xml:space="preserve">if </t>
    </r>
    <r>
      <rPr>
        <b/>
        <sz val="9.5"/>
        <color theme="1"/>
        <rFont val="Gadugi"/>
        <family val="2"/>
      </rPr>
      <t>CASH</t>
    </r>
    <r>
      <rPr>
        <sz val="9.5"/>
        <color theme="1"/>
        <rFont val="Gadugi"/>
        <family val="2"/>
      </rPr>
      <t xml:space="preserve">, </t>
    </r>
    <r>
      <rPr>
        <b/>
        <sz val="9.5"/>
        <color theme="1"/>
        <rFont val="Gadugi"/>
        <family val="2"/>
      </rPr>
      <t>CHECK</t>
    </r>
    <r>
      <rPr>
        <sz val="9.5"/>
        <color theme="1"/>
        <rFont val="Gadugi"/>
        <family val="2"/>
      </rPr>
      <t xml:space="preserve"> or </t>
    </r>
    <r>
      <rPr>
        <b/>
        <sz val="9.5"/>
        <color theme="1"/>
        <rFont val="Gadugi"/>
        <family val="2"/>
      </rPr>
      <t>VENMO</t>
    </r>
    <r>
      <rPr>
        <sz val="9.5"/>
        <color theme="1"/>
        <rFont val="Gadugi"/>
        <family val="2"/>
      </rPr>
      <t xml:space="preserve">* = </t>
    </r>
    <r>
      <rPr>
        <b/>
        <sz val="9.5"/>
        <color theme="1"/>
        <rFont val="Gadugi"/>
        <family val="2"/>
      </rPr>
      <t>1% off:</t>
    </r>
  </si>
  <si>
    <r>
      <rPr>
        <sz val="11"/>
        <color rgb="FF333333"/>
        <rFont val="Arial"/>
        <family val="2"/>
      </rPr>
      <t>Maintain slight moisture level, but let rootball dry out a little once a month</t>
    </r>
    <r>
      <rPr>
        <b/>
        <sz val="11"/>
        <color rgb="FF333333"/>
        <rFont val="Arial"/>
        <family val="2"/>
      </rPr>
      <t>.</t>
    </r>
  </si>
  <si>
    <r>
      <t>Cameo Flowering Quince</t>
    </r>
    <r>
      <rPr>
        <sz val="10"/>
        <color rgb="FF000000"/>
        <rFont val="Arial"/>
        <family val="2"/>
      </rPr>
      <t xml:space="preserve"> (peach-pink) </t>
    </r>
    <r>
      <rPr>
        <i/>
        <sz val="10"/>
        <color rgb="FF000000"/>
        <rFont val="Arial"/>
        <family val="2"/>
      </rPr>
      <t>Chaenomeles speciosa 'Cameo'</t>
    </r>
  </si>
  <si>
    <t>Krauter Vesuvius is the most colorful of plums, with a dark purple-black summer foliage. May produce small fruit</t>
  </si>
  <si>
    <t>Sunshine looks great against black fences. Blue/black berries are relished by birds. May defoliate in cold winters</t>
  </si>
  <si>
    <r>
      <t>Visions Goat's Beard</t>
    </r>
    <r>
      <rPr>
        <sz val="10"/>
        <color rgb="FF000000"/>
        <rFont val="Arial"/>
        <family val="2"/>
      </rPr>
      <t xml:space="preserve"> (raspberry pink)</t>
    </r>
    <r>
      <rPr>
        <b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 xml:space="preserve">Astilbe chinensis 'Visions' </t>
    </r>
  </si>
  <si>
    <t>Visions boasts hundreds of tiny flowers, blooming in succession. Foliage quite attractive after blooming period</t>
  </si>
  <si>
    <t>1'x1'wide</t>
  </si>
  <si>
    <t>3'x3'wide</t>
  </si>
  <si>
    <r>
      <rPr>
        <b/>
        <sz val="10"/>
        <rFont val="Arial"/>
        <family val="2"/>
      </rPr>
      <t>Chestnut Oak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Quercus prinus</t>
    </r>
  </si>
  <si>
    <t>Chestnut (aka 'Basket' or 'Rock' Oak) is named for dark brown to black bark on mature trees. Wildlife love the nuts</t>
  </si>
  <si>
    <t>3.5' low supply</t>
  </si>
  <si>
    <r>
      <t>Visions in White Goat's Beard</t>
    </r>
    <r>
      <rPr>
        <sz val="10"/>
        <color rgb="FF000000"/>
        <rFont val="Arial"/>
        <family val="2"/>
      </rPr>
      <t xml:space="preserve"> (white) </t>
    </r>
    <r>
      <rPr>
        <i/>
        <sz val="10"/>
        <color indexed="8"/>
        <rFont val="Arial"/>
        <family val="2"/>
      </rPr>
      <t>Astilbe chinensis 'Visions in White'</t>
    </r>
  </si>
  <si>
    <t>Fanal, like other Astilbe, are low maintenance, shade tolerant, and resistant to deer/rabbits</t>
  </si>
  <si>
    <t>3.5' Tree Form</t>
  </si>
  <si>
    <r>
      <rPr>
        <b/>
        <sz val="10"/>
        <rFont val="Arial"/>
        <family val="2"/>
      </rPr>
      <t>Snow Goose Cherry</t>
    </r>
    <r>
      <rPr>
        <sz val="10"/>
        <rFont val="Arial"/>
        <family val="2"/>
      </rPr>
      <t xml:space="preserve"> (white, pink centers) </t>
    </r>
    <r>
      <rPr>
        <i/>
        <sz val="10"/>
        <rFont val="Arial"/>
        <family val="2"/>
      </rPr>
      <t>Prunus serrulata 'Snow Goose'</t>
    </r>
  </si>
  <si>
    <t>Snow Goose bark is coppery red and peels. Dark foliage. Fast growing. Best blooms in full sun</t>
  </si>
  <si>
    <t>plants priced here → → →</t>
  </si>
  <si>
    <r>
      <t xml:space="preserve">Fanal Goat's Beard </t>
    </r>
    <r>
      <rPr>
        <sz val="10"/>
        <color indexed="8"/>
        <rFont val="Arial"/>
        <family val="2"/>
      </rPr>
      <t>(crimson red) 💧</t>
    </r>
    <r>
      <rPr>
        <b/>
        <sz val="10"/>
        <color rgb="FF000000"/>
        <rFont val="Arial"/>
        <family val="2"/>
      </rPr>
      <t>wet sites OK</t>
    </r>
    <r>
      <rPr>
        <b/>
        <sz val="10"/>
        <color indexed="8"/>
        <rFont val="Arial"/>
        <family val="2"/>
      </rPr>
      <t xml:space="preserve">  </t>
    </r>
    <r>
      <rPr>
        <i/>
        <sz val="10"/>
        <color indexed="8"/>
        <rFont val="Arial"/>
        <family val="2"/>
      </rPr>
      <t xml:space="preserve">Astilbe x arendsii 'F.' </t>
    </r>
  </si>
  <si>
    <t>7.5'</t>
  </si>
  <si>
    <t>6.5'  Single Stem SS</t>
  </si>
  <si>
    <t>22"</t>
  </si>
  <si>
    <r>
      <rPr>
        <b/>
        <sz val="10"/>
        <rFont val="Arial"/>
        <family val="2"/>
      </rPr>
      <t>White Fringetree</t>
    </r>
    <r>
      <rPr>
        <sz val="10"/>
        <rFont val="Arial"/>
        <family val="2"/>
      </rPr>
      <t xml:space="preserve"> (white)  </t>
    </r>
    <r>
      <rPr>
        <b/>
        <sz val="10"/>
        <rFont val="Arial"/>
        <family val="2"/>
      </rPr>
      <t>💧wet sites OK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 xml:space="preserve"> Chionanthus virginicus</t>
    </r>
  </si>
  <si>
    <t>White Fringetree blooms late spring. Mild fragrance. Olive-like fruit ripens late summer for birds/wildlife</t>
  </si>
  <si>
    <t>9', 2"caliper</t>
  </si>
  <si>
    <r>
      <rPr>
        <b/>
        <sz val="10"/>
        <color theme="1"/>
        <rFont val="Arial"/>
        <family val="2"/>
      </rPr>
      <t>C</t>
    </r>
    <r>
      <rPr>
        <sz val="10"/>
        <color theme="1"/>
        <rFont val="Arial"/>
        <family val="2"/>
      </rPr>
      <t xml:space="preserve">🦌deer </t>
    </r>
    <r>
      <rPr>
        <b/>
        <sz val="9"/>
        <color theme="1"/>
        <rFont val="Arial"/>
        <family val="2"/>
      </rPr>
      <t>occasionally</t>
    </r>
    <r>
      <rPr>
        <sz val="9"/>
        <color theme="1"/>
        <rFont val="Arial"/>
        <family val="2"/>
      </rPr>
      <t xml:space="preserve"> harm</t>
    </r>
  </si>
  <si>
    <t>Tokyo Tower has abundant fluffy flowers. Blueberry-like fruit. Foliage turns bright yellow in fall. Exfoliating bark</t>
  </si>
  <si>
    <r>
      <rPr>
        <b/>
        <sz val="10"/>
        <rFont val="Arial"/>
        <family val="2"/>
      </rPr>
      <t>Tokyo Tower Fringetree</t>
    </r>
    <r>
      <rPr>
        <sz val="10"/>
        <rFont val="Arial"/>
        <family val="2"/>
      </rPr>
      <t xml:space="preserve"> (white) </t>
    </r>
    <r>
      <rPr>
        <i/>
        <sz val="10"/>
        <rFont val="Arial"/>
        <family val="2"/>
      </rPr>
      <t>Chionanthus retusus 'Tokyo Tower'</t>
    </r>
  </si>
  <si>
    <t>6"</t>
  </si>
  <si>
    <t>23"</t>
  </si>
  <si>
    <t>8.5', 1" caliper</t>
  </si>
  <si>
    <t>38" low supply</t>
  </si>
  <si>
    <t>3' MS</t>
  </si>
  <si>
    <t>30" MS</t>
  </si>
  <si>
    <t>24"x24"wide</t>
  </si>
  <si>
    <t>26" Cone</t>
  </si>
  <si>
    <t>42"</t>
  </si>
  <si>
    <t>48", B&amp;B in pot</t>
  </si>
  <si>
    <t>1'</t>
  </si>
  <si>
    <r>
      <t>Border Forsythia</t>
    </r>
    <r>
      <rPr>
        <sz val="10"/>
        <color rgb="FF000000"/>
        <rFont val="Arial"/>
        <family val="2"/>
      </rPr>
      <t xml:space="preserve"> (golden yellow) </t>
    </r>
    <r>
      <rPr>
        <i/>
        <sz val="10"/>
        <color indexed="8"/>
        <rFont val="Arial"/>
        <family val="2"/>
      </rPr>
      <t>Forsythia x intermedia</t>
    </r>
  </si>
  <si>
    <r>
      <t>Lynwood Gold Forsythia</t>
    </r>
    <r>
      <rPr>
        <sz val="10"/>
        <color indexed="8"/>
        <rFont val="Arial"/>
        <family val="2"/>
      </rPr>
      <t xml:space="preserve"> (golden yellow)</t>
    </r>
    <r>
      <rPr>
        <b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Forsythia x intermedia 'Lynwood Variety'</t>
    </r>
  </si>
  <si>
    <t>Forsythia is a 'harbinger of spring', with a bright display of flowers on upright stalks for 2 weeks. Prune after blloming</t>
  </si>
  <si>
    <t>Lynnwood Gold is a smaller 'Border Forsythia'. Dark green foliage replaces blooms, turning gold to purple in fall</t>
  </si>
  <si>
    <t>5' Standard</t>
  </si>
  <si>
    <r>
      <t>Greensleeves Kousa Dogwood</t>
    </r>
    <r>
      <rPr>
        <sz val="10"/>
        <rFont val="Arial"/>
        <family val="2"/>
      </rPr>
      <t xml:space="preserve"> (green morphs to white)</t>
    </r>
    <r>
      <rPr>
        <i/>
        <sz val="10"/>
        <rFont val="Arial"/>
        <family val="2"/>
      </rPr>
      <t xml:space="preserve"> Cornus kousa 'Greensleeves'</t>
    </r>
  </si>
  <si>
    <r>
      <t>Homestead Hot Pink Verbena</t>
    </r>
    <r>
      <rPr>
        <sz val="10"/>
        <color theme="1"/>
        <rFont val="Arial"/>
        <family val="2"/>
      </rPr>
      <t xml:space="preserve"> (pink)</t>
    </r>
    <r>
      <rPr>
        <i/>
        <sz val="10"/>
        <color theme="1"/>
        <rFont val="Arial"/>
        <family val="2"/>
      </rPr>
      <t xml:space="preserve"> Verbena 'Homestead Hot Pink'</t>
    </r>
  </si>
  <si>
    <t>Homestead' Hot Pink, like other Verbena, has star-shaped flowers that bloom May through frost.</t>
  </si>
  <si>
    <t xml:space="preserve">Homestead Purple, like other Verbena, wil spill over an edge. Inconspicuous fruit. </t>
  </si>
  <si>
    <t>x Width</t>
  </si>
  <si>
    <r>
      <rPr>
        <i/>
        <sz val="11.5"/>
        <color theme="1"/>
        <rFont val="Calibri"/>
        <family val="2"/>
        <scheme val="minor"/>
      </rPr>
      <t>or</t>
    </r>
    <r>
      <rPr>
        <b/>
        <sz val="12"/>
        <color theme="1"/>
        <rFont val="Calibri"/>
        <family val="2"/>
        <scheme val="minor"/>
      </rPr>
      <t>⇩</t>
    </r>
    <r>
      <rPr>
        <sz val="10.5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 xml:space="preserve">type </t>
    </r>
    <r>
      <rPr>
        <sz val="11"/>
        <color theme="1"/>
        <rFont val="Calibri"/>
        <family val="2"/>
        <scheme val="minor"/>
      </rPr>
      <t>'</t>
    </r>
    <r>
      <rPr>
        <b/>
        <sz val="11"/>
        <color theme="1"/>
        <rFont val="Calibri"/>
        <family val="2"/>
        <scheme val="minor"/>
      </rPr>
      <t>me</t>
    </r>
    <r>
      <rPr>
        <sz val="11"/>
        <color theme="1"/>
        <rFont val="Calibri"/>
        <family val="2"/>
        <scheme val="minor"/>
      </rPr>
      <t>'</t>
    </r>
    <r>
      <rPr>
        <sz val="10"/>
        <color theme="1"/>
        <rFont val="Calibri"/>
        <family val="2"/>
        <scheme val="minor"/>
      </rPr>
      <t xml:space="preserve"> on any plants</t>
    </r>
  </si>
  <si>
    <r>
      <t>Ruby Spice Summersweet</t>
    </r>
    <r>
      <rPr>
        <sz val="10"/>
        <color indexed="8"/>
        <rFont val="Arial"/>
        <family val="2"/>
      </rPr>
      <t xml:space="preserve"> (pink)  </t>
    </r>
    <r>
      <rPr>
        <b/>
        <sz val="10"/>
        <color rgb="FF000000"/>
        <rFont val="Arial"/>
        <family val="2"/>
      </rPr>
      <t>💧wet sites OK</t>
    </r>
    <r>
      <rPr>
        <sz val="10"/>
        <color indexed="8"/>
        <rFont val="Arial"/>
        <family val="2"/>
      </rPr>
      <t xml:space="preserve">  </t>
    </r>
    <r>
      <rPr>
        <i/>
        <sz val="10"/>
        <color indexed="8"/>
        <rFont val="Arial"/>
        <family val="2"/>
      </rPr>
      <t>Clethra alnifolia 'Ruby Spice'</t>
    </r>
  </si>
  <si>
    <r>
      <t>Hummingbird Summersweet</t>
    </r>
    <r>
      <rPr>
        <sz val="10"/>
        <color indexed="8"/>
        <rFont val="Arial"/>
        <family val="2"/>
      </rPr>
      <t xml:space="preserve"> (white)  </t>
    </r>
    <r>
      <rPr>
        <b/>
        <sz val="10"/>
        <color rgb="FF000000"/>
        <rFont val="Arial"/>
        <family val="2"/>
      </rPr>
      <t>💧wet sites OK</t>
    </r>
    <r>
      <rPr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Clethra alnifolia 'Hummingbird'</t>
    </r>
  </si>
  <si>
    <t>Ruby Spice, like all Clethra, has long-lasting flower spikes and fragrance, mid to late summer</t>
  </si>
  <si>
    <t>Hummingbird, like all Clethra, is known for blooming in shady areas, after other plants finish</t>
  </si>
  <si>
    <t>Name:</t>
  </si>
  <si>
    <t>Phone:</t>
  </si>
  <si>
    <t>Email:</t>
  </si>
  <si>
    <t>Delivery Street Address:</t>
  </si>
  <si>
    <t>Chinese Pistachio is gawky to start, but matures to a gorgeous, tough tree. Orange-crimson fall. Tap root is friendly to sidewalks</t>
  </si>
  <si>
    <r>
      <t xml:space="preserve">  Mix 'n Match</t>
    </r>
    <r>
      <rPr>
        <b/>
        <sz val="10"/>
        <color theme="1"/>
        <rFont val="Arial"/>
        <family val="2"/>
      </rPr>
      <t xml:space="preserve">  choose any combination of T2G delivery and NVP planting</t>
    </r>
  </si>
  <si>
    <t>Dwarf Black Mondo has blackest foliage of all perrenials. Grass substitute, as it tolerates foot traffic. Purple winter berries</t>
  </si>
  <si>
    <r>
      <rPr>
        <b/>
        <sz val="10"/>
        <rFont val="Arial"/>
        <family val="2"/>
      </rPr>
      <t>Mondo Grass</t>
    </r>
    <r>
      <rPr>
        <sz val="10"/>
        <rFont val="Arial"/>
        <family val="2"/>
      </rPr>
      <t xml:space="preserve"> (pale pink-white) </t>
    </r>
    <r>
      <rPr>
        <i/>
        <sz val="10"/>
        <rFont val="Arial"/>
        <family val="2"/>
      </rPr>
      <t>Ophiopogon japonicus</t>
    </r>
  </si>
  <si>
    <t>Mondo has green foliage. Grass substitute for grass, as it tolerates foot traffic. Dark purple to black berries</t>
  </si>
  <si>
    <r>
      <rPr>
        <b/>
        <sz val="10"/>
        <rFont val="Arial"/>
        <family val="2"/>
      </rPr>
      <t>Dwarf Black Mondo Grass</t>
    </r>
    <r>
      <rPr>
        <sz val="10"/>
        <rFont val="Arial"/>
        <family val="2"/>
      </rPr>
      <t xml:space="preserve"> (pale pink-white) </t>
    </r>
    <r>
      <rPr>
        <i/>
        <sz val="10"/>
        <rFont val="Arial"/>
        <family val="2"/>
      </rPr>
      <t>Ophiopogon planiscapus 'Nigrescens'</t>
    </r>
  </si>
  <si>
    <r>
      <rPr>
        <b/>
        <sz val="10"/>
        <rFont val="Arial"/>
        <family val="2"/>
      </rPr>
      <t>Variegated Mondo Grass</t>
    </r>
    <r>
      <rPr>
        <sz val="10"/>
        <rFont val="Arial"/>
        <family val="2"/>
      </rPr>
      <t xml:space="preserve"> (lavender-white) </t>
    </r>
    <r>
      <rPr>
        <i/>
        <sz val="10"/>
        <rFont val="Arial"/>
        <family val="2"/>
      </rPr>
      <t>Ophiopogon japonicus 'Variegatus'</t>
    </r>
  </si>
  <si>
    <t>Variegated Mondo like Mondo, except silver/white stripes on green foliage. Dark blue berries</t>
  </si>
  <si>
    <r>
      <t>Phenomenal Lavender</t>
    </r>
    <r>
      <rPr>
        <sz val="10"/>
        <color rgb="FF000000"/>
        <rFont val="Arial"/>
        <family val="2"/>
      </rPr>
      <t xml:space="preserve"> (purple-blue)</t>
    </r>
    <r>
      <rPr>
        <b/>
        <sz val="10"/>
        <color indexed="8"/>
        <rFont val="Arial"/>
        <family val="2"/>
      </rPr>
      <t xml:space="preserve"> </t>
    </r>
    <r>
      <rPr>
        <i/>
        <sz val="10"/>
        <color rgb="FF000000"/>
        <rFont val="Arial"/>
        <family val="2"/>
      </rPr>
      <t>Lavandula x intermedia 'Niko' PP#24193</t>
    </r>
  </si>
  <si>
    <t>Phenomenal blooms early, with the flower spikes adding about a foot of height. Fragrant</t>
  </si>
  <si>
    <r>
      <t>Visions in Pink Goat's Beard</t>
    </r>
    <r>
      <rPr>
        <sz val="10"/>
        <color rgb="FF000000"/>
        <rFont val="Arial"/>
        <family val="2"/>
      </rPr>
      <t xml:space="preserve"> (pink) </t>
    </r>
    <r>
      <rPr>
        <i/>
        <sz val="10"/>
        <color indexed="8"/>
        <rFont val="Arial"/>
        <family val="2"/>
      </rPr>
      <t>Astilbe chinensis 'Visions in Pink'</t>
    </r>
  </si>
  <si>
    <t>Visions in Pink blooms mid-summer on top of sturdy stems, above fern-like foliage</t>
  </si>
  <si>
    <t>Visions in White blooms mid-summer on top of sturdy stems, above fern-like foliage</t>
  </si>
  <si>
    <t>Trees2Go Delivery Total:</t>
  </si>
  <si>
    <t>12', 2" caliper</t>
  </si>
  <si>
    <t>7', 1.75"caliper</t>
  </si>
  <si>
    <t>9.5', 2.5"caliper</t>
  </si>
  <si>
    <t>Russian sage, like all Sage, tolerates hot/dry and cold climates. Fragrance known to repel mosquitoes</t>
  </si>
  <si>
    <t>5.5' Multi Stem (MS)</t>
  </si>
  <si>
    <t>28"wide</t>
  </si>
  <si>
    <r>
      <t>Sweet Tea Gordlinia</t>
    </r>
    <r>
      <rPr>
        <sz val="10"/>
        <rFont val="Arial"/>
        <family val="2"/>
      </rPr>
      <t xml:space="preserve"> (white) </t>
    </r>
    <r>
      <rPr>
        <i/>
        <sz val="10"/>
        <rFont val="Arial"/>
        <family val="2"/>
      </rPr>
      <t>Gordlinia grandiflora 'Sweet Tea'</t>
    </r>
  </si>
  <si>
    <t>sheared to 4'</t>
  </si>
  <si>
    <r>
      <rPr>
        <b/>
        <sz val="10"/>
        <rFont val="Arial"/>
        <family val="2"/>
      </rPr>
      <t>Robin</t>
    </r>
    <r>
      <rPr>
        <vertAlign val="superscript"/>
        <sz val="10"/>
        <rFont val="Arial"/>
        <family val="2"/>
      </rPr>
      <t>™</t>
    </r>
    <r>
      <rPr>
        <b/>
        <sz val="10"/>
        <rFont val="Arial"/>
        <family val="2"/>
      </rPr>
      <t xml:space="preserve"> Holly</t>
    </r>
    <r>
      <rPr>
        <i/>
        <sz val="10"/>
        <rFont val="Arial"/>
        <family val="2"/>
      </rPr>
      <t xml:space="preserve"> Ilex x 'Conin' PP#9486</t>
    </r>
  </si>
  <si>
    <t>4.5' MSTF</t>
  </si>
  <si>
    <t>conical shear to 30"</t>
  </si>
  <si>
    <t>Dwarf Yaupon has brittle, close-knit branches. Good for hedges. Small flowers &amp; berries often hidden</t>
  </si>
  <si>
    <t>11"</t>
  </si>
  <si>
    <t>5'x5'wide</t>
  </si>
  <si>
    <t>5'x5'w. low supply</t>
  </si>
  <si>
    <t>10', 2"caliper</t>
  </si>
  <si>
    <t>7.5', 1.75"caliper</t>
  </si>
  <si>
    <t>3'x36"wide</t>
  </si>
  <si>
    <t>3.5'x4.5'wide</t>
  </si>
  <si>
    <t>8' SS, 1.25"caliper</t>
  </si>
  <si>
    <t>6.5' MS low supply</t>
  </si>
  <si>
    <t>8' MS</t>
  </si>
  <si>
    <t>4' Multi Stem (MS)</t>
  </si>
  <si>
    <t>3.5' Multi-Stem (MS)</t>
  </si>
  <si>
    <t>5' Tree Form</t>
  </si>
  <si>
    <t>15"x20"wide</t>
  </si>
  <si>
    <t>5.5' Tree Form</t>
  </si>
  <si>
    <r>
      <t xml:space="preserve">Russian Sage </t>
    </r>
    <r>
      <rPr>
        <sz val="10"/>
        <color rgb="FF000000"/>
        <rFont val="Arial"/>
        <family val="2"/>
      </rPr>
      <t xml:space="preserve">(blue to purple) </t>
    </r>
    <r>
      <rPr>
        <i/>
        <sz val="10"/>
        <color rgb="FF000000"/>
        <rFont val="Arial"/>
        <family val="2"/>
      </rPr>
      <t>Salvia yangii</t>
    </r>
    <r>
      <rPr>
        <b/>
        <sz val="10"/>
        <color indexed="8"/>
        <rFont val="Arial"/>
        <family val="2"/>
      </rPr>
      <t xml:space="preserve"> </t>
    </r>
    <r>
      <rPr>
        <i/>
        <sz val="10"/>
        <color rgb="FF000000"/>
        <rFont val="Arial"/>
        <family val="2"/>
      </rPr>
      <t>(old: Perovskia atriplicifolia)</t>
    </r>
  </si>
  <si>
    <t>No returns after 7 days.</t>
  </si>
  <si>
    <r>
      <rPr>
        <sz val="16"/>
        <color theme="1"/>
        <rFont val="Calibri"/>
        <family val="2"/>
        <scheme val="minor"/>
      </rPr>
      <t xml:space="preserve">⚒ 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8"/>
        <color rgb="FF2F9527"/>
        <rFont val="Calibri"/>
        <family val="2"/>
        <scheme val="minor"/>
      </rPr>
      <t>N</t>
    </r>
    <r>
      <rPr>
        <b/>
        <sz val="12"/>
        <color theme="1"/>
        <rFont val="Calibri"/>
        <family val="2"/>
        <scheme val="minor"/>
      </rPr>
      <t xml:space="preserve">EW </t>
    </r>
    <r>
      <rPr>
        <b/>
        <sz val="18"/>
        <color rgb="FF2F9527"/>
        <rFont val="Calibri"/>
        <family val="2"/>
        <scheme val="minor"/>
      </rPr>
      <t>V</t>
    </r>
    <r>
      <rPr>
        <b/>
        <sz val="12"/>
        <color theme="1"/>
        <rFont val="Calibri"/>
        <family val="2"/>
        <scheme val="minor"/>
      </rPr>
      <t xml:space="preserve">IEW </t>
    </r>
    <r>
      <rPr>
        <b/>
        <sz val="18"/>
        <color rgb="FF2F9527"/>
        <rFont val="Calibri"/>
        <family val="2"/>
        <scheme val="minor"/>
      </rPr>
      <t>P</t>
    </r>
    <r>
      <rPr>
        <b/>
        <sz val="12"/>
        <color theme="1"/>
        <rFont val="Calibri"/>
        <family val="2"/>
        <scheme val="minor"/>
      </rPr>
      <t xml:space="preserve">LANTING </t>
    </r>
    <r>
      <rPr>
        <b/>
        <sz val="15"/>
        <color theme="1"/>
        <rFont val="Calibri"/>
        <family val="2"/>
        <scheme val="minor"/>
      </rPr>
      <t xml:space="preserve">OPTION </t>
    </r>
    <r>
      <rPr>
        <sz val="14"/>
        <color theme="1"/>
        <rFont val="Calibri"/>
        <family val="2"/>
        <scheme val="minor"/>
      </rPr>
      <t xml:space="preserve"> </t>
    </r>
    <r>
      <rPr>
        <sz val="16"/>
        <color theme="1"/>
        <rFont val="Calibri"/>
        <family val="2"/>
        <scheme val="minor"/>
      </rPr>
      <t>⚒</t>
    </r>
  </si>
  <si>
    <t>New View Planting Total:</t>
  </si>
  <si>
    <t>If Cash, Check or Venmo:</t>
  </si>
  <si>
    <t xml:space="preserve">Mileage fee applies each trip outside of the </t>
  </si>
  <si>
    <t>Growr 1</t>
  </si>
  <si>
    <r>
      <t xml:space="preserve"> </t>
    </r>
    <r>
      <rPr>
        <b/>
        <sz val="12.5"/>
        <color theme="1"/>
        <rFont val="Calibri"/>
        <family val="2"/>
        <scheme val="minor"/>
      </rPr>
      <t xml:space="preserve">  OPTIONAL </t>
    </r>
    <r>
      <rPr>
        <b/>
        <sz val="12.5"/>
        <color rgb="FF298022"/>
        <rFont val="Calibri"/>
        <family val="2"/>
        <scheme val="minor"/>
      </rPr>
      <t>N</t>
    </r>
    <r>
      <rPr>
        <b/>
        <sz val="10.5"/>
        <rFont val="Calibri"/>
        <family val="2"/>
        <scheme val="minor"/>
      </rPr>
      <t>EW</t>
    </r>
    <r>
      <rPr>
        <b/>
        <sz val="12"/>
        <rFont val="Calibri"/>
        <family val="2"/>
        <scheme val="minor"/>
      </rPr>
      <t xml:space="preserve"> </t>
    </r>
    <r>
      <rPr>
        <b/>
        <sz val="12.5"/>
        <color rgb="FF298022"/>
        <rFont val="Calibri"/>
        <family val="2"/>
        <scheme val="minor"/>
      </rPr>
      <t>V</t>
    </r>
    <r>
      <rPr>
        <b/>
        <sz val="10.5"/>
        <rFont val="Calibri"/>
        <family val="2"/>
        <scheme val="minor"/>
      </rPr>
      <t>IEW</t>
    </r>
    <r>
      <rPr>
        <b/>
        <sz val="12"/>
        <rFont val="Calibri"/>
        <family val="2"/>
        <scheme val="minor"/>
      </rPr>
      <t xml:space="preserve"> </t>
    </r>
    <r>
      <rPr>
        <b/>
        <sz val="12.5"/>
        <color rgb="FF298022"/>
        <rFont val="Calibri"/>
        <family val="2"/>
        <scheme val="minor"/>
      </rPr>
      <t>P</t>
    </r>
    <r>
      <rPr>
        <b/>
        <sz val="10.5"/>
        <rFont val="Calibri"/>
        <family val="2"/>
        <scheme val="minor"/>
      </rPr>
      <t>LANTING</t>
    </r>
  </si>
  <si>
    <t>Anything:</t>
  </si>
  <si>
    <t xml:space="preserve"> Trees2Go Discount Table (all automatic)</t>
  </si>
  <si>
    <t>Qty=</t>
  </si>
  <si>
    <t>Total Plants:</t>
  </si>
  <si>
    <t>Sweet Kate, aka "Spiderwort", has a chartreuse/lime foliage that is a standout even without the mid-season blooms</t>
  </si>
  <si>
    <r>
      <t>Sweet Kate Purple Heart</t>
    </r>
    <r>
      <rPr>
        <sz val="10"/>
        <rFont val="Arial"/>
        <family val="2"/>
      </rPr>
      <t xml:space="preserve"> (blue-purple) </t>
    </r>
    <r>
      <rPr>
        <i/>
        <sz val="10"/>
        <rFont val="Arial"/>
        <family val="2"/>
      </rPr>
      <t>Tradescantia x andersoniana "Sweet Kate"</t>
    </r>
  </si>
  <si>
    <t>Flame Thrower boasts a stunning display of color throughout the season. Developed at JC Raulston Arboretum</t>
  </si>
  <si>
    <t>sheared to 4.5'</t>
  </si>
  <si>
    <t>5' spiral topiary</t>
  </si>
  <si>
    <t>17"</t>
  </si>
  <si>
    <t>13', 3"caliper</t>
  </si>
  <si>
    <t>7.5', .75"caliper</t>
  </si>
  <si>
    <t>3'x30"wide</t>
  </si>
  <si>
    <t>7' Single Stem (SS)</t>
  </si>
  <si>
    <t>8.5' SS 1.5"caliper</t>
  </si>
  <si>
    <t>6', 1.5"caliper</t>
  </si>
  <si>
    <t>Price Table</t>
  </si>
  <si>
    <r>
      <t>Pennsylvania Sedge</t>
    </r>
    <r>
      <rPr>
        <sz val="10"/>
        <color theme="1"/>
        <rFont val="Arial"/>
        <family val="2"/>
      </rPr>
      <t xml:space="preserve"> (greenish) </t>
    </r>
    <r>
      <rPr>
        <i/>
        <sz val="10"/>
        <color theme="1"/>
        <rFont val="Arial"/>
        <family val="2"/>
      </rPr>
      <t>Carex pensylvanica</t>
    </r>
  </si>
  <si>
    <t>Pennsylvania Sedge can be a lawn substitute in shady areas. Foliage turns sandy-tan in the fall</t>
  </si>
  <si>
    <r>
      <rPr>
        <b/>
        <sz val="10"/>
        <rFont val="Arial"/>
        <family val="2"/>
      </rPr>
      <t>White Profusion Butterfly Bush</t>
    </r>
    <r>
      <rPr>
        <sz val="10"/>
        <rFont val="Arial"/>
        <family val="2"/>
      </rPr>
      <t xml:space="preserve"> (white)</t>
    </r>
    <r>
      <rPr>
        <i/>
        <sz val="10"/>
        <rFont val="Arial"/>
        <family val="2"/>
      </rPr>
      <t xml:space="preserve"> Buddleia davidii 'White Profusion'</t>
    </r>
  </si>
  <si>
    <t xml:space="preserve">Sod is dug for planting hole only. </t>
  </si>
  <si>
    <t xml:space="preserve">Removal &amp; disposal of existing plants not included. </t>
  </si>
  <si>
    <t xml:space="preserve"> NVP NOTES:</t>
  </si>
  <si>
    <t>Ample mulch spread around plants, not entire bed.</t>
  </si>
  <si>
    <t>if YOU feel hot, your plants are hot. Don't forget them.</t>
  </si>
  <si>
    <t>go to top of NVP area</t>
  </si>
  <si>
    <t xml:space="preserve">    additional 1% off</t>
  </si>
  <si>
    <r>
      <rPr>
        <b/>
        <sz val="11"/>
        <rFont val="Calibri"/>
        <family val="2"/>
      </rPr>
      <t xml:space="preserve"> Evergreen:</t>
    </r>
    <r>
      <rPr>
        <sz val="11"/>
        <rFont val="Calibri"/>
        <family val="2"/>
      </rPr>
      <t xml:space="preserve"> keeps foliage year-round</t>
    </r>
  </si>
  <si>
    <r>
      <rPr>
        <b/>
        <sz val="11"/>
        <rFont val="Calibri"/>
        <family val="2"/>
      </rPr>
      <t xml:space="preserve">Deciduous: </t>
    </r>
    <r>
      <rPr>
        <sz val="11"/>
        <rFont val="Calibri"/>
        <family val="2"/>
      </rPr>
      <t>foliage drops off every fall</t>
    </r>
  </si>
  <si>
    <t xml:space="preserve">Sod dig &amp; disposal past edge of hole not included. </t>
  </si>
  <si>
    <r>
      <t>Flame Thrower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Redbud</t>
    </r>
    <r>
      <rPr>
        <sz val="10"/>
        <rFont val="Arial"/>
        <family val="2"/>
      </rPr>
      <t xml:space="preserve"> (multicolor foliage) </t>
    </r>
    <r>
      <rPr>
        <i/>
        <sz val="10"/>
        <rFont val="Arial"/>
        <family val="2"/>
      </rPr>
      <t>Cercis canadensis 'NC2016-2' PP31260</t>
    </r>
  </si>
  <si>
    <r>
      <rPr>
        <b/>
        <sz val="10"/>
        <rFont val="Arial"/>
        <family val="2"/>
      </rPr>
      <t>Pee Wee Oakleaf Hydrangea</t>
    </r>
    <r>
      <rPr>
        <sz val="10"/>
        <rFont val="Arial"/>
        <family val="2"/>
      </rPr>
      <t xml:space="preserve"> (white fades to pink) </t>
    </r>
    <r>
      <rPr>
        <i/>
        <sz val="10"/>
        <rFont val="Arial"/>
        <family val="2"/>
      </rPr>
      <t>Hydrangea quercifolia 'Pee Wee'</t>
    </r>
  </si>
  <si>
    <t>Pee Wee not only small, but has smaller leaves and flowers. Foliage turns wine-red in fall</t>
  </si>
  <si>
    <t>More Ginkgo cultivars available. Most at:</t>
  </si>
  <si>
    <t>Many more Ginkgo! Most at:</t>
  </si>
  <si>
    <r>
      <t xml:space="preserve">Need planting? </t>
    </r>
    <r>
      <rPr>
        <i/>
        <sz val="10"/>
        <color theme="1"/>
        <rFont val="Calibri"/>
        <family val="2"/>
        <scheme val="minor"/>
      </rPr>
      <t xml:space="preserve">Consider </t>
    </r>
    <r>
      <rPr>
        <b/>
        <i/>
        <sz val="10"/>
        <color rgb="FF000000"/>
        <rFont val="Calibri"/>
        <family val="2"/>
        <scheme val="minor"/>
      </rPr>
      <t xml:space="preserve">New View Planting </t>
    </r>
    <r>
      <rPr>
        <b/>
        <sz val="10"/>
        <color theme="1"/>
        <rFont val="Calibri"/>
        <family val="2"/>
        <scheme val="minor"/>
      </rPr>
      <t>►</t>
    </r>
    <r>
      <rPr>
        <b/>
        <i/>
        <sz val="10"/>
        <color theme="1"/>
        <rFont val="Calibri"/>
        <family val="2"/>
        <scheme val="minor"/>
      </rPr>
      <t xml:space="preserve">  </t>
    </r>
  </si>
  <si>
    <t xml:space="preserve"> Common</t>
  </si>
  <si>
    <r>
      <rPr>
        <sz val="10"/>
        <color theme="1"/>
        <rFont val="Arial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10"/>
        <color theme="1"/>
        <rFont val="Arial"/>
        <family val="2"/>
      </rPr>
      <t>🦋</t>
    </r>
    <r>
      <rPr>
        <sz val="9"/>
        <color theme="1"/>
        <rFont val="Arial"/>
        <family val="2"/>
      </rPr>
      <t xml:space="preserve">butterflies </t>
    </r>
    <r>
      <rPr>
        <sz val="12"/>
        <color theme="3" tint="-0.249977111117893"/>
        <rFont val="Arial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5" tint="-0.249977111117893"/>
        <rFont val="Arial"/>
        <family val="2"/>
      </rPr>
      <t>❤</t>
    </r>
  </si>
  <si>
    <r>
      <rPr>
        <sz val="10"/>
        <color theme="1"/>
        <rFont val="Arial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10"/>
        <color theme="1"/>
        <rFont val="Arial"/>
        <family val="2"/>
      </rPr>
      <t>🦋</t>
    </r>
    <r>
      <rPr>
        <sz val="9"/>
        <color theme="1"/>
        <rFont val="Arial"/>
        <family val="2"/>
      </rPr>
      <t xml:space="preserve">butterflies </t>
    </r>
    <r>
      <rPr>
        <sz val="12"/>
        <color theme="3" tint="-0.249977111117893"/>
        <rFont val="Arial"/>
        <family val="2"/>
      </rPr>
      <t>🕊</t>
    </r>
    <r>
      <rPr>
        <sz val="9"/>
        <color theme="1"/>
        <rFont val="Arial"/>
        <family val="2"/>
      </rPr>
      <t>hummingbirds</t>
    </r>
    <r>
      <rPr>
        <b/>
        <sz val="11"/>
        <color theme="5" tint="-0.249977111117893"/>
        <rFont val="Arial"/>
        <family val="2"/>
      </rPr>
      <t>❤</t>
    </r>
  </si>
  <si>
    <r>
      <t xml:space="preserve">🐝bees 🦋butterflies </t>
    </r>
    <r>
      <rPr>
        <sz val="12"/>
        <color theme="3" tint="-0.249977111117893"/>
        <rFont val="Arial"/>
        <family val="2"/>
      </rPr>
      <t>🕊</t>
    </r>
    <r>
      <rPr>
        <sz val="9"/>
        <color theme="1"/>
        <rFont val="Arial"/>
        <family val="2"/>
      </rPr>
      <t>hummingbirds</t>
    </r>
    <r>
      <rPr>
        <b/>
        <sz val="11"/>
        <color rgb="FF963634"/>
        <rFont val="Arial"/>
        <family val="2"/>
      </rPr>
      <t>❤</t>
    </r>
  </si>
  <si>
    <t>Pink Heartbreaker foliage changes from red to green over season. Rambling brancshes are less formal</t>
  </si>
  <si>
    <r>
      <t>Pink Heartbreaker</t>
    </r>
    <r>
      <rPr>
        <b/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Weeping Redbud</t>
    </r>
    <r>
      <rPr>
        <sz val="10"/>
        <rFont val="Arial"/>
        <family val="2"/>
      </rPr>
      <t xml:space="preserve"> (lavender-pink) </t>
    </r>
    <r>
      <rPr>
        <i/>
        <sz val="10"/>
        <rFont val="Arial"/>
        <family val="2"/>
      </rPr>
      <t>Cercis canadensis 'Pink Heartbreaker</t>
    </r>
    <r>
      <rPr>
        <b/>
        <sz val="10"/>
        <rFont val="Arial"/>
        <family val="2"/>
      </rPr>
      <t xml:space="preserve"> PP23043'</t>
    </r>
  </si>
  <si>
    <t>Add mulch to mound as needed, as animals, people, and weather wear down mound.</t>
  </si>
  <si>
    <t>Keep soil &amp; mulch off top center of rootball, so plant can breathe.</t>
  </si>
  <si>
    <t>Mark edge of hole, just 2" to 3" from side of pot.</t>
  </si>
  <si>
    <t>4'x3'wide</t>
  </si>
  <si>
    <t>Nandina (or 'Heavenly Bamboo') is known for bright red berries and red winter foliage</t>
  </si>
  <si>
    <t>6' MS low supply</t>
  </si>
  <si>
    <t>6', .75"caliper</t>
  </si>
  <si>
    <t>🐇=rabbits</t>
  </si>
  <si>
    <t>30" low supply</t>
  </si>
  <si>
    <t>18"x28"wide</t>
  </si>
  <si>
    <t>20" Patio Tree</t>
  </si>
  <si>
    <t>1.75'</t>
  </si>
  <si>
    <t>inch</t>
  </si>
  <si>
    <t>4th year 30% off</t>
  </si>
  <si>
    <t>3rd year 40% off</t>
  </si>
  <si>
    <t>10% off thereafter.</t>
  </si>
  <si>
    <t>5th year 20% off</t>
  </si>
  <si>
    <t>Plants replaced for 50% off current retail price first 2 years.</t>
  </si>
  <si>
    <t>Wintergreen is VERY similar to Winter Gem, except will stay green in winter (instead of bronzing)</t>
  </si>
  <si>
    <r>
      <t>Eastern Triangle Area</t>
    </r>
    <r>
      <rPr>
        <b/>
        <u/>
        <sz val="10.5"/>
        <color theme="10"/>
        <rFont val="Arial"/>
        <family val="2"/>
      </rPr>
      <t>+</t>
    </r>
  </si>
  <si>
    <r>
      <t>Sweet Box</t>
    </r>
    <r>
      <rPr>
        <sz val="10"/>
        <rFont val="Arial"/>
        <family val="2"/>
      </rPr>
      <t xml:space="preserve"> (white)</t>
    </r>
    <r>
      <rPr>
        <i/>
        <sz val="10"/>
        <rFont val="Arial"/>
        <family val="2"/>
      </rPr>
      <t xml:space="preserve"> Sarcococca confusa</t>
    </r>
  </si>
  <si>
    <t>Sweet Box a is winter bloomer. Tiny flowers have a great sweet vanilla fragrance</t>
  </si>
  <si>
    <r>
      <t>Bloomstruck</t>
    </r>
    <r>
      <rPr>
        <vertAlign val="superscript"/>
        <sz val="10"/>
        <color indexed="8"/>
        <rFont val="Arial"/>
        <family val="2"/>
      </rPr>
      <t>®</t>
    </r>
    <r>
      <rPr>
        <b/>
        <sz val="10"/>
        <color indexed="8"/>
        <rFont val="Arial"/>
        <family val="2"/>
      </rPr>
      <t xml:space="preserve"> Hydrangea</t>
    </r>
    <r>
      <rPr>
        <sz val="10"/>
        <color indexed="8"/>
        <rFont val="Arial"/>
        <family val="2"/>
      </rPr>
      <t xml:space="preserve"> (blue to pink)</t>
    </r>
    <r>
      <rPr>
        <i/>
        <sz val="10"/>
        <color indexed="8"/>
        <rFont val="Arial"/>
        <family val="2"/>
      </rPr>
      <t xml:space="preserve"> Hydrangea macrophylla 'Bloomstruck' </t>
    </r>
  </si>
  <si>
    <r>
      <rPr>
        <sz val="10"/>
        <rFont val="Arial"/>
        <family val="2"/>
      </rPr>
      <t>🐦</t>
    </r>
    <r>
      <rPr>
        <sz val="9"/>
        <rFont val="Arial"/>
        <family val="2"/>
      </rPr>
      <t xml:space="preserve">birds </t>
    </r>
    <r>
      <rPr>
        <b/>
        <sz val="11"/>
        <color theme="5" tint="-0.249977111117893"/>
        <rFont val="Arial"/>
        <family val="2"/>
      </rPr>
      <t>❤❤❤</t>
    </r>
  </si>
  <si>
    <t>repel🦌\🐇hate</t>
  </si>
  <si>
    <r>
      <rPr>
        <b/>
        <sz val="10"/>
        <color theme="1"/>
        <rFont val="Arial"/>
        <family val="2"/>
      </rPr>
      <t>A</t>
    </r>
    <r>
      <rPr>
        <sz val="10"/>
        <color theme="1"/>
        <rFont val="Arial"/>
        <family val="2"/>
      </rPr>
      <t>🦌</t>
    </r>
    <r>
      <rPr>
        <b/>
        <sz val="9"/>
        <color theme="1"/>
        <rFont val="Arial"/>
        <family val="2"/>
      </rPr>
      <t>rarely</t>
    </r>
  </si>
  <si>
    <r>
      <t>Elderberry</t>
    </r>
    <r>
      <rPr>
        <sz val="10"/>
        <color rgb="FF000000"/>
        <rFont val="Arial"/>
        <family val="2"/>
      </rPr>
      <t xml:space="preserve"> (white)</t>
    </r>
    <r>
      <rPr>
        <i/>
        <sz val="10"/>
        <color indexed="8"/>
        <rFont val="Arial"/>
        <family val="2"/>
      </rPr>
      <t xml:space="preserve"> Sambucus canadensis</t>
    </r>
  </si>
  <si>
    <t>Elderberry fruit is sweet, edible if cooked. Prune hard in spreing for best foliage</t>
  </si>
  <si>
    <r>
      <t>Encore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Azalea </t>
    </r>
    <r>
      <rPr>
        <i/>
        <sz val="10"/>
        <rFont val="Arial"/>
        <family val="2"/>
      </rPr>
      <t>Rhododendron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Autumn X</t>
    </r>
    <r>
      <rPr>
        <sz val="10"/>
        <rFont val="Arial"/>
        <family val="2"/>
      </rPr>
      <t xml:space="preserve"> (many colors &amp; heights)</t>
    </r>
  </si>
  <si>
    <t>Green Gable named for it's narrow, upright, habit, like the gable of a home. Fiery scarlet in fall, No 'sweetgum balls'.</t>
  </si>
  <si>
    <r>
      <t>Midnight Magic</t>
    </r>
    <r>
      <rPr>
        <vertAlign val="superscript"/>
        <sz val="10"/>
        <rFont val="Arial"/>
        <family val="2"/>
      </rPr>
      <t>™</t>
    </r>
    <r>
      <rPr>
        <b/>
        <sz val="10"/>
        <rFont val="Arial"/>
        <family val="2"/>
      </rPr>
      <t xml:space="preserve"> Crape Myrtle </t>
    </r>
    <r>
      <rPr>
        <sz val="10"/>
        <rFont val="Arial"/>
        <family val="2"/>
      </rPr>
      <t>(dark pink)</t>
    </r>
    <r>
      <rPr>
        <i/>
        <sz val="10"/>
        <rFont val="Arial"/>
        <family val="2"/>
      </rPr>
      <t xml:space="preserve"> Lagerstroemia 'PIILAG-V' PP25925</t>
    </r>
  </si>
  <si>
    <t>5' lite roots</t>
  </si>
  <si>
    <t>3' lite roots</t>
  </si>
  <si>
    <t>10' 1.75"caliper</t>
  </si>
  <si>
    <t>pruned to 6', 1.75"c.</t>
  </si>
  <si>
    <t>8', 3"caliper</t>
  </si>
  <si>
    <t>9', 3.5"caliper</t>
  </si>
  <si>
    <t>24"x26"wide</t>
  </si>
  <si>
    <t>Extra mulching on request, usually $100/yard.</t>
  </si>
  <si>
    <t xml:space="preserve">     After delivery, take 7 days to inspect plants thoroughly for health issues. </t>
  </si>
  <si>
    <t xml:space="preserve"> Guarantee </t>
  </si>
  <si>
    <t xml:space="preserve">     All of Wake County:</t>
  </si>
  <si>
    <t xml:space="preserve">     20% cancel fee day-of-delivery</t>
  </si>
  <si>
    <t xml:space="preserve">     For other than above reasons, 20% cancel fee applies. </t>
  </si>
  <si>
    <t xml:space="preserve"> 2 Year 50% Warranty </t>
  </si>
  <si>
    <t xml:space="preserve">    50% off current retail price at time of replacement.</t>
  </si>
  <si>
    <t xml:space="preserve">    No-fault. No reason needed.</t>
  </si>
  <si>
    <t xml:space="preserve">    Choose any new plant, same pot size or less.</t>
  </si>
  <si>
    <t xml:space="preserve">    3rd year: 40% off</t>
  </si>
  <si>
    <t xml:space="preserve">    4th year: 30% off</t>
  </si>
  <si>
    <t xml:space="preserve">    5th year: 20% off</t>
  </si>
  <si>
    <t xml:space="preserve">    Thereafter: 10% off</t>
  </si>
  <si>
    <t xml:space="preserve">    Your accrued Volume Discount is then deducted.</t>
  </si>
  <si>
    <t xml:space="preserve">    No sales tax for warranties in NC.</t>
  </si>
  <si>
    <t xml:space="preserve">    Must use same hole to waive tax.</t>
  </si>
  <si>
    <t xml:space="preserve">    Mileage fee applies outside of the Eastern Triangle Area.</t>
  </si>
  <si>
    <t>PLANT NOTES:</t>
  </si>
  <si>
    <t>MORE PLANT NOTES:</t>
  </si>
  <si>
    <r>
      <t xml:space="preserve">MS </t>
    </r>
    <r>
      <rPr>
        <sz val="10"/>
        <color theme="1"/>
        <rFont val="Arial"/>
        <family val="2"/>
      </rPr>
      <t>= Multi-Stem</t>
    </r>
    <r>
      <rPr>
        <b/>
        <sz val="10"/>
        <color theme="1"/>
        <rFont val="Arial"/>
        <family val="2"/>
      </rPr>
      <t xml:space="preserve">     SS</t>
    </r>
    <r>
      <rPr>
        <sz val="10"/>
        <color theme="1"/>
        <rFont val="Arial"/>
        <family val="2"/>
      </rPr>
      <t xml:space="preserve"> = Single Stem</t>
    </r>
    <r>
      <rPr>
        <b/>
        <sz val="10"/>
        <color theme="1"/>
        <rFont val="Arial"/>
        <family val="2"/>
      </rPr>
      <t xml:space="preserve">     TF </t>
    </r>
    <r>
      <rPr>
        <sz val="10"/>
        <color theme="1"/>
        <rFont val="Arial"/>
        <family val="2"/>
      </rPr>
      <t>= Tree Form (limbed up)</t>
    </r>
  </si>
  <si>
    <r>
      <rPr>
        <b/>
        <sz val="11"/>
        <color theme="1"/>
        <rFont val="Calibri"/>
        <family val="2"/>
        <scheme val="minor"/>
      </rPr>
      <t>Caliper</t>
    </r>
    <r>
      <rPr>
        <sz val="11"/>
        <color theme="1"/>
        <rFont val="Calibri"/>
        <family val="2"/>
        <scheme val="minor"/>
      </rPr>
      <t xml:space="preserve"> = Diameter of stem (6" up)        </t>
    </r>
    <r>
      <rPr>
        <b/>
        <sz val="11"/>
        <color theme="1"/>
        <rFont val="Calibri"/>
        <family val="2"/>
        <scheme val="minor"/>
      </rPr>
      <t>Standard</t>
    </r>
    <r>
      <rPr>
        <sz val="11"/>
        <color theme="1"/>
        <rFont val="Calibri"/>
        <family val="2"/>
        <scheme val="minor"/>
      </rPr>
      <t xml:space="preserve"> = both Single Stem and Tree Form</t>
    </r>
  </si>
  <si>
    <t>pruned to 13"</t>
  </si>
  <si>
    <t>46"</t>
  </si>
  <si>
    <r>
      <t>'Initial Height' (from Growers) may vary. 'Mature Height' also varies:</t>
    </r>
    <r>
      <rPr>
        <b/>
        <sz val="10"/>
        <rFont val="Arial"/>
        <family val="2"/>
      </rPr>
      <t>‣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taller</t>
    </r>
    <r>
      <rPr>
        <sz val="10"/>
        <rFont val="Arial"/>
        <family val="2"/>
      </rPr>
      <t xml:space="preserve"> after decades  </t>
    </r>
    <r>
      <rPr>
        <b/>
        <sz val="10"/>
        <rFont val="Arial"/>
        <family val="2"/>
      </rPr>
      <t>‣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shorter</t>
    </r>
    <r>
      <rPr>
        <sz val="10"/>
        <rFont val="Arial"/>
        <family val="2"/>
      </rPr>
      <t xml:space="preserve"> if planted in the wide-open</t>
    </r>
  </si>
  <si>
    <t>7.5' low supply</t>
  </si>
  <si>
    <r>
      <rPr>
        <b/>
        <sz val="10"/>
        <rFont val="Arial"/>
        <family val="2"/>
      </rPr>
      <t>White Gumpo Azalea</t>
    </r>
    <r>
      <rPr>
        <sz val="10"/>
        <rFont val="Arial"/>
        <family val="2"/>
      </rPr>
      <t xml:space="preserve"> (pure white)</t>
    </r>
    <r>
      <rPr>
        <i/>
        <sz val="10"/>
        <rFont val="Arial"/>
        <family val="2"/>
      </rPr>
      <t xml:space="preserve"> Rhododendron eriocarpum 'Gumpo White'</t>
    </r>
  </si>
  <si>
    <r>
      <rPr>
        <b/>
        <sz val="10"/>
        <rFont val="Arial"/>
        <family val="2"/>
      </rPr>
      <t>Pink Gumpo Azalea</t>
    </r>
    <r>
      <rPr>
        <sz val="10"/>
        <rFont val="Arial"/>
        <family val="2"/>
      </rPr>
      <t xml:space="preserve"> (light pink)</t>
    </r>
    <r>
      <rPr>
        <i/>
        <sz val="10"/>
        <rFont val="Arial"/>
        <family val="2"/>
      </rPr>
      <t xml:space="preserve"> Rhododendron eriocarpum 'Gumpo Pink'</t>
    </r>
  </si>
  <si>
    <t xml:space="preserve">Pink (and White) Gumpo produce flowers late spring. Foliage fills out first, often creating peek-a-boo blooms </t>
  </si>
  <si>
    <t>White (and Pink) Gumpo are semi-evergreen, so they may go bare in colder winters</t>
  </si>
  <si>
    <t>NVP is a separate business, quoted gratis.</t>
  </si>
  <si>
    <t>Feel free to contact Chris anytime to discuss.</t>
  </si>
  <si>
    <t xml:space="preserve">Planting Fees are accurate if no adverse conditions, </t>
  </si>
  <si>
    <t xml:space="preserve">like tree/stump/shrub removal, steep terrain, </t>
  </si>
  <si>
    <t xml:space="preserve">or extra-long carting (no tractors).  </t>
  </si>
  <si>
    <t>No tax for landscaping services in NC.</t>
  </si>
  <si>
    <t xml:space="preserve">All materials &amp; normal labor included in Planting Fees. </t>
  </si>
  <si>
    <t xml:space="preserve">What NVP calls 'Planting Method', </t>
  </si>
  <si>
    <t xml:space="preserve">T2G calls 'Planting Advice' - see tab ↙ </t>
  </si>
  <si>
    <t>Core-focused planting service, since 1/1/20.</t>
  </si>
  <si>
    <t>more about pots in website FAQ:</t>
  </si>
  <si>
    <t xml:space="preserve">Prices based on reasonable </t>
  </si>
  <si>
    <t>access and mild slopes.</t>
  </si>
  <si>
    <t>10', 1.75" caliper</t>
  </si>
  <si>
    <t>5', needs flush</t>
  </si>
  <si>
    <t>9', 1" caliper</t>
  </si>
  <si>
    <t>4' Tree Form</t>
  </si>
  <si>
    <t>18"wide runners</t>
  </si>
  <si>
    <t>12', 2.25"caliper</t>
  </si>
  <si>
    <t>4.5'x4'w. 2.25"caliper</t>
  </si>
  <si>
    <t>9', 1.25"caliper</t>
  </si>
  <si>
    <t>pruned to 3.5'</t>
  </si>
  <si>
    <t>pruned to 30"</t>
  </si>
  <si>
    <t>4" pots</t>
  </si>
  <si>
    <r>
      <rPr>
        <b/>
        <sz val="10"/>
        <rFont val="Arial"/>
        <family val="2"/>
      </rPr>
      <t>Pugster</t>
    </r>
    <r>
      <rPr>
        <b/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Amethyst Butterfly Bush</t>
    </r>
    <r>
      <rPr>
        <sz val="10"/>
        <rFont val="Arial"/>
        <family val="2"/>
      </rPr>
      <t xml:space="preserve"> (amethyst with yellow eye) </t>
    </r>
    <r>
      <rPr>
        <i/>
        <sz val="10"/>
        <rFont val="Arial"/>
        <family val="2"/>
      </rPr>
      <t>Buddleia 'SMNBDL' PP30236</t>
    </r>
  </si>
  <si>
    <r>
      <rPr>
        <b/>
        <sz val="10"/>
        <rFont val="Arial"/>
        <family val="2"/>
      </rPr>
      <t>Pugster</t>
    </r>
    <r>
      <rPr>
        <b/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Blue Butterfly Bush</t>
    </r>
    <r>
      <rPr>
        <sz val="10"/>
        <rFont val="Arial"/>
        <family val="2"/>
      </rPr>
      <t xml:space="preserve"> (purplish-blue) </t>
    </r>
    <r>
      <rPr>
        <i/>
        <sz val="10"/>
        <rFont val="Arial"/>
        <family val="2"/>
      </rPr>
      <t>Buddleia 'SMNBDBT' PP28794 CBRAF</t>
    </r>
  </si>
  <si>
    <r>
      <rPr>
        <b/>
        <sz val="10"/>
        <rFont val="Arial"/>
        <family val="2"/>
      </rPr>
      <t>Pugster</t>
    </r>
    <r>
      <rPr>
        <b/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Pinker Butterfly Bush</t>
    </r>
    <r>
      <rPr>
        <sz val="10"/>
        <rFont val="Arial"/>
        <family val="2"/>
      </rPr>
      <t xml:space="preserve"> (taffy-pink)</t>
    </r>
    <r>
      <rPr>
        <i/>
        <sz val="10"/>
        <rFont val="Arial"/>
        <family val="2"/>
      </rPr>
      <t xml:space="preserve"> Buddleia 'SMNBDPT' PP33,565</t>
    </r>
  </si>
  <si>
    <r>
      <t>Golden Falls</t>
    </r>
    <r>
      <rPr>
        <b/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Weeping Redbud</t>
    </r>
    <r>
      <rPr>
        <sz val="10"/>
        <rFont val="Arial"/>
        <family val="2"/>
      </rPr>
      <t xml:space="preserve"> (pink) </t>
    </r>
    <r>
      <rPr>
        <i/>
        <sz val="10"/>
        <rFont val="Arial"/>
        <family val="2"/>
      </rPr>
      <t>Cercis canadensis ‘NC2015-12’ PP31658</t>
    </r>
  </si>
  <si>
    <t>9' 1"c. Single Stem</t>
  </si>
  <si>
    <t>7', 1"caliper/stem</t>
  </si>
  <si>
    <t>Pink Icing foliage very attractive, turning turquise-blue in winter (may fall off in extreme cold). Self-pollinating</t>
  </si>
  <si>
    <t>Baby Cakes are thornless, with large berries. May produce twice per season. Self-pollinating</t>
  </si>
  <si>
    <t>6', 1.75"caliper</t>
  </si>
  <si>
    <t>pruned to 14"</t>
  </si>
  <si>
    <t xml:space="preserve">©2024 Trees2Go.com LLC  </t>
  </si>
  <si>
    <t>18"x24"wide</t>
  </si>
  <si>
    <t>30" pyramidal</t>
  </si>
  <si>
    <t>5' thin</t>
  </si>
  <si>
    <t>Wavy Leaf &amp; Wax Leaf will grow fairly dense even in part shade. Both fragrant</t>
  </si>
  <si>
    <t>9', 2.5"caliper</t>
  </si>
  <si>
    <r>
      <t xml:space="preserve">           Add the </t>
    </r>
    <r>
      <rPr>
        <b/>
        <sz val="10"/>
        <color theme="9" tint="-0.499984740745262"/>
        <rFont val="Gadugi"/>
        <family val="2"/>
      </rPr>
      <t>brown number</t>
    </r>
    <r>
      <rPr>
        <sz val="10"/>
        <color indexed="8"/>
        <rFont val="Gadugi"/>
        <family val="2"/>
      </rPr>
      <t>, above right (</t>
    </r>
    <r>
      <rPr>
        <b/>
        <sz val="10"/>
        <color indexed="8"/>
        <rFont val="Gadugi"/>
        <family val="2"/>
      </rPr>
      <t>before</t>
    </r>
    <r>
      <rPr>
        <sz val="10"/>
        <color indexed="8"/>
        <rFont val="Gadugi"/>
        <family val="2"/>
      </rPr>
      <t xml:space="preserve"> Discount, </t>
    </r>
    <r>
      <rPr>
        <b/>
        <sz val="10"/>
        <color indexed="8"/>
        <rFont val="Gadugi"/>
        <family val="2"/>
      </rPr>
      <t>With Tax</t>
    </r>
    <r>
      <rPr>
        <sz val="10"/>
        <color indexed="8"/>
        <rFont val="Gadugi"/>
        <family val="2"/>
      </rPr>
      <t xml:space="preserve">), </t>
    </r>
  </si>
  <si>
    <t>5.5' Ready April 15</t>
  </si>
  <si>
    <t>8.5', 3-stem</t>
  </si>
  <si>
    <t>11', 2.25"caliper SS</t>
  </si>
  <si>
    <t>12"x12"wide</t>
  </si>
  <si>
    <t>4.5' Tree Form</t>
  </si>
  <si>
    <t>8.5', 1.25"caliper</t>
  </si>
  <si>
    <t>32"wide</t>
  </si>
  <si>
    <t>19"x22"wide</t>
  </si>
  <si>
    <t>20"x26"wide</t>
  </si>
  <si>
    <t>28" MS</t>
  </si>
  <si>
    <t>30" Multi Stem (MS)</t>
  </si>
  <si>
    <t>9' 1.75"caliper</t>
  </si>
  <si>
    <t>4' tree form</t>
  </si>
  <si>
    <t>sheared to 32"</t>
  </si>
  <si>
    <t>sheared to 38"</t>
  </si>
  <si>
    <t>7' Multi Stem (MS)</t>
  </si>
  <si>
    <t>8.5' SS, 1.75"caliper</t>
  </si>
  <si>
    <t>4' Multi-Stem (MS)</t>
  </si>
  <si>
    <t>10' SS, 2.25"caliper</t>
  </si>
  <si>
    <t>5.5' Single Stem (SS)</t>
  </si>
  <si>
    <r>
      <t>5.5'</t>
    </r>
    <r>
      <rPr>
        <sz val="9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Single Stem (SS)</t>
    </r>
  </si>
  <si>
    <t>7.5' SS, 1.25"caliper</t>
  </si>
  <si>
    <t>5' MSTF</t>
  </si>
  <si>
    <t>8.5', 1"caliper</t>
  </si>
  <si>
    <t>9,' 1"caliper</t>
  </si>
  <si>
    <t>8', 1.5"c, just OK</t>
  </si>
  <si>
    <t>7', 1.25"caliper</t>
  </si>
  <si>
    <t>36" low supply</t>
  </si>
  <si>
    <t>24"x23"wide</t>
  </si>
  <si>
    <r>
      <rPr>
        <b/>
        <i/>
        <sz val="8.5"/>
        <color theme="1"/>
        <rFont val="Gadugi"/>
        <family val="2"/>
      </rPr>
      <t>↙</t>
    </r>
    <r>
      <rPr>
        <i/>
        <sz val="8.5"/>
        <color theme="1"/>
        <rFont val="Gadugi"/>
        <family val="2"/>
      </rPr>
      <t xml:space="preserve"> 'me' works with 'yes'  </t>
    </r>
    <r>
      <rPr>
        <b/>
        <sz val="8.5"/>
        <color theme="1"/>
        <rFont val="Gadugi"/>
        <family val="2"/>
      </rPr>
      <t>↖</t>
    </r>
  </si>
  <si>
    <t>©2024 Trees2Go.com LLC</t>
  </si>
  <si>
    <r>
      <t>Apply </t>
    </r>
    <r>
      <rPr>
        <b/>
        <sz val="11"/>
        <color rgb="FF333333"/>
        <rFont val="Arial"/>
        <family val="2"/>
      </rPr>
      <t>MORE water, MORE often</t>
    </r>
    <r>
      <rPr>
        <sz val="11"/>
        <color rgb="FF333333"/>
        <rFont val="Arial"/>
        <family val="2"/>
      </rPr>
      <t xml:space="preserve"> (up to every other day).</t>
    </r>
  </si>
  <si>
    <r>
      <t>Apply </t>
    </r>
    <r>
      <rPr>
        <b/>
        <sz val="11"/>
        <color rgb="FF333333"/>
        <rFont val="Arial"/>
        <family val="2"/>
      </rPr>
      <t>LESS water, LESS often</t>
    </r>
    <r>
      <rPr>
        <sz val="11"/>
        <color rgb="FF333333"/>
        <rFont val="Arial"/>
        <family val="2"/>
      </rPr>
      <t xml:space="preserve"> (but at least once every two weeks).</t>
    </r>
  </si>
  <si>
    <t>If watering has failed, let plant go dry a few weeks. It may pick up.</t>
  </si>
  <si>
    <r>
      <t>Planet Earth</t>
    </r>
    <r>
      <rPr>
        <b/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Arborvitae</t>
    </r>
    <r>
      <rPr>
        <i/>
        <sz val="10"/>
        <rFont val="Arial"/>
        <family val="2"/>
      </rPr>
      <t xml:space="preserve"> Thuja occidentalis 'RUTTHU4'</t>
    </r>
  </si>
  <si>
    <t>Planet Earth grows perfectly rounded, no shearing required</t>
  </si>
  <si>
    <r>
      <rPr>
        <b/>
        <sz val="10"/>
        <rFont val="Arial"/>
        <family val="2"/>
      </rPr>
      <t>Rosa Blushing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Drift Rose</t>
    </r>
    <r>
      <rPr>
        <sz val="10"/>
        <rFont val="Arial"/>
        <family val="2"/>
      </rPr>
      <t xml:space="preserve"> (double, pink) </t>
    </r>
    <r>
      <rPr>
        <i/>
        <sz val="10"/>
        <rFont val="Arial"/>
        <family val="2"/>
      </rPr>
      <t>Rosa 'Meifranjin' PP33507</t>
    </r>
  </si>
  <si>
    <t xml:space="preserve">Rosa Blushing, like all Drift Rose, work well in borders, foundations, massing, and containers </t>
  </si>
  <si>
    <r>
      <t>Blush Pink</t>
    </r>
    <r>
      <rPr>
        <vertAlign val="superscript"/>
        <sz val="10"/>
        <rFont val="Arial"/>
        <family val="2"/>
      </rPr>
      <t>™</t>
    </r>
    <r>
      <rPr>
        <b/>
        <sz val="10"/>
        <rFont val="Arial"/>
        <family val="2"/>
      </rPr>
      <t xml:space="preserve"> Nandina </t>
    </r>
    <r>
      <rPr>
        <i/>
        <sz val="10"/>
        <rFont val="Arial"/>
        <family val="2"/>
      </rPr>
      <t>Nandina domestica 'Blush Pink' PP#19916</t>
    </r>
  </si>
  <si>
    <t>1'wide</t>
  </si>
  <si>
    <r>
      <t xml:space="preserve">Teddy Bear Magnolia </t>
    </r>
    <r>
      <rPr>
        <sz val="10"/>
        <rFont val="Arial"/>
        <family val="2"/>
      </rPr>
      <t>(white)</t>
    </r>
    <r>
      <rPr>
        <b/>
        <sz val="10"/>
        <rFont val="Arial"/>
        <family val="2"/>
      </rPr>
      <t xml:space="preserve"> 💧wet sites OK 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 xml:space="preserve">Magnolia grandiflora 'Southern Charm'  </t>
    </r>
  </si>
  <si>
    <t>Little King noted for it's exceptional multicolor peeling bark. Tolerates drier soils</t>
  </si>
  <si>
    <t>3' Multi-Stem (MS)</t>
  </si>
  <si>
    <t>5' MS low supply</t>
  </si>
  <si>
    <r>
      <t xml:space="preserve">           plus the </t>
    </r>
    <r>
      <rPr>
        <b/>
        <sz val="10"/>
        <color theme="9" tint="-0.249977111117893"/>
        <rFont val="Gadugi"/>
        <family val="2"/>
      </rPr>
      <t>orange number</t>
    </r>
    <r>
      <rPr>
        <sz val="10"/>
        <color indexed="8"/>
        <rFont val="Gadugi"/>
        <family val="2"/>
      </rPr>
      <t xml:space="preserve"> above right (</t>
    </r>
    <r>
      <rPr>
        <b/>
        <sz val="10"/>
        <color rgb="FF000000"/>
        <rFont val="Gadugi"/>
        <family val="2"/>
      </rPr>
      <t>Mileage Fee</t>
    </r>
    <r>
      <rPr>
        <sz val="10"/>
        <color indexed="8"/>
        <rFont val="Gadugi"/>
        <family val="2"/>
      </rPr>
      <t>),</t>
    </r>
  </si>
  <si>
    <r>
      <t>Kaleidoscope Abelia</t>
    </r>
    <r>
      <rPr>
        <sz val="10"/>
        <rFont val="Arial"/>
        <family val="2"/>
      </rPr>
      <t xml:space="preserve"> (white)</t>
    </r>
    <r>
      <rPr>
        <i/>
        <sz val="10"/>
        <rFont val="Arial"/>
        <family val="2"/>
      </rPr>
      <t xml:space="preserve"> Abelia x grandiflora 'Kaleidoscope' PP16988</t>
    </r>
  </si>
  <si>
    <t>9"</t>
  </si>
  <si>
    <t>15"x15"wide</t>
  </si>
  <si>
    <t>21"x21"wide</t>
  </si>
  <si>
    <t>45'x25'</t>
  </si>
  <si>
    <t>8,5', 1.25"caliper</t>
  </si>
  <si>
    <t>Golden Colonnade named for it's yellow fall foliage &amp; a narrow form</t>
  </si>
  <si>
    <r>
      <t xml:space="preserve">No 'buy' button, but </t>
    </r>
    <r>
      <rPr>
        <b/>
        <sz val="11"/>
        <color theme="1"/>
        <rFont val="Calibri"/>
        <family val="2"/>
      </rPr>
      <t>Price It can be an Order Form</t>
    </r>
    <r>
      <rPr>
        <sz val="11"/>
        <color theme="1"/>
        <rFont val="Calibri"/>
        <family val="2"/>
      </rPr>
      <t xml:space="preserve"> ⇾ email or share copy of doc ⇾ FILE SHARE NOT REQUIRED, especially if just a few plants.</t>
    </r>
  </si>
  <si>
    <r>
      <rPr>
        <b/>
        <sz val="11"/>
        <color theme="1"/>
        <rFont val="Calibri"/>
        <family val="2"/>
      </rPr>
      <t>Send a file, or just your whims &amp; wants, along with name, delivery address, and best phone</t>
    </r>
    <r>
      <rPr>
        <sz val="11"/>
        <color theme="1"/>
        <rFont val="Calibri"/>
        <family val="2"/>
      </rPr>
      <t>:</t>
    </r>
    <r>
      <rPr>
        <b/>
        <sz val="11"/>
        <color theme="1"/>
        <rFont val="Calibri"/>
        <family val="2"/>
      </rPr>
      <t xml:space="preserve">  Mike@Trees2Go.com</t>
    </r>
    <r>
      <rPr>
        <sz val="11"/>
        <color theme="1"/>
        <rFont val="Calibri"/>
        <family val="2"/>
      </rPr>
      <t xml:space="preserve"> will return a custom quote.</t>
    </r>
  </si>
  <si>
    <r>
      <t xml:space="preserve">Emerald Squeeze Arborvitae </t>
    </r>
    <r>
      <rPr>
        <i/>
        <sz val="10"/>
        <rFont val="Arial"/>
        <family val="2"/>
      </rPr>
      <t>Thuja occidentalis 'Lilshreckthu' PP33785</t>
    </r>
  </si>
  <si>
    <t>Emerald Squeeze is very similar to Emerald Arb, just smaller</t>
  </si>
  <si>
    <r>
      <t>Autumn Brilliance Serviceberry</t>
    </r>
    <r>
      <rPr>
        <sz val="10"/>
        <rFont val="Arial"/>
        <family val="2"/>
      </rPr>
      <t xml:space="preserve"> (white) </t>
    </r>
    <r>
      <rPr>
        <b/>
        <sz val="10"/>
        <rFont val="Arial"/>
        <family val="2"/>
      </rPr>
      <t xml:space="preserve">💧wet sites OK </t>
    </r>
    <r>
      <rPr>
        <i/>
        <sz val="10"/>
        <rFont val="Arial"/>
        <family val="2"/>
      </rPr>
      <t>Amelanchier grandiflora 'Autumn Brilliance’</t>
    </r>
    <r>
      <rPr>
        <b/>
        <sz val="10"/>
        <rFont val="Arial"/>
        <family val="2"/>
      </rPr>
      <t xml:space="preserve"> PP5717</t>
    </r>
  </si>
  <si>
    <t xml:space="preserve"> Cancellation Fee</t>
  </si>
  <si>
    <r>
      <t xml:space="preserve">     No cancel fee</t>
    </r>
    <r>
      <rPr>
        <sz val="11"/>
        <color theme="1"/>
        <rFont val="Calibri"/>
        <family val="2"/>
        <scheme val="minor"/>
      </rPr>
      <t xml:space="preserve"> if Guarantee applied.  </t>
    </r>
  </si>
  <si>
    <r>
      <t xml:space="preserve">     No cancel fee</t>
    </r>
    <r>
      <rPr>
        <sz val="11"/>
        <color theme="1"/>
        <rFont val="Calibri"/>
        <family val="2"/>
        <scheme val="minor"/>
      </rPr>
      <t xml:space="preserve"> before delivery day. </t>
    </r>
  </si>
  <si>
    <t>9', 1.5"calioer</t>
  </si>
  <si>
    <t>12', 1.5"caliper</t>
  </si>
  <si>
    <t>10', 1.5" caliper</t>
  </si>
  <si>
    <t>7' lite roots</t>
  </si>
  <si>
    <t>24" lite rrots</t>
  </si>
  <si>
    <t>12', 1.5"c. lite roots</t>
  </si>
  <si>
    <t>3.5'x3'w. 1.75"caliper</t>
  </si>
  <si>
    <t>6', 1"caliper</t>
  </si>
  <si>
    <t>pruned to 12"</t>
  </si>
  <si>
    <t>10"x14"wide</t>
  </si>
  <si>
    <t>4" pots, lite roots</t>
  </si>
  <si>
    <t>lite roots</t>
  </si>
  <si>
    <t>Mike did it</t>
  </si>
  <si>
    <t xml:space="preserve">     up to 100 MILES past:</t>
  </si>
  <si>
    <t xml:space="preserve">      No fee while driving the Eastern Triangle Area.</t>
  </si>
  <si>
    <t xml:space="preserve">     -plants not returned to growers-</t>
  </si>
  <si>
    <t>22" low supply</t>
  </si>
  <si>
    <t>Blush Pink has pink to red blushing foliage, with pink new growth</t>
  </si>
  <si>
    <t>sheared to 5', low supply</t>
  </si>
  <si>
    <t>sheared to 4.5', low supply</t>
  </si>
  <si>
    <t>5.5' MSTF</t>
  </si>
  <si>
    <t>26", bit leggy</t>
  </si>
  <si>
    <r>
      <rPr>
        <b/>
        <sz val="10"/>
        <rFont val="Arial"/>
        <family val="2"/>
      </rPr>
      <t>Strawberry Shortcake Wax Myrtle</t>
    </r>
    <r>
      <rPr>
        <sz val="10"/>
        <color theme="1" tint="0.249977111117893"/>
        <rFont val="Arial"/>
        <family val="2"/>
      </rPr>
      <t xml:space="preserve"> 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 xml:space="preserve">💧wet sites OK 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Myrica cerifera ‘Strawberry Shortcake’</t>
    </r>
  </si>
  <si>
    <r>
      <rPr>
        <b/>
        <sz val="10"/>
        <rFont val="Arial"/>
        <family val="2"/>
      </rPr>
      <t>White Oak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Quercus alba</t>
    </r>
  </si>
  <si>
    <r>
      <rPr>
        <b/>
        <sz val="10"/>
        <rFont val="Arial"/>
        <family val="2"/>
      </rPr>
      <t xml:space="preserve">Overcup Oak </t>
    </r>
    <r>
      <rPr>
        <i/>
        <sz val="10"/>
        <rFont val="Arial"/>
        <family val="2"/>
      </rPr>
      <t>Quercus lyrata</t>
    </r>
  </si>
  <si>
    <r>
      <rPr>
        <b/>
        <sz val="10"/>
        <rFont val="Arial"/>
        <family val="2"/>
      </rPr>
      <t>Green Vase Zelkova</t>
    </r>
    <r>
      <rPr>
        <i/>
        <sz val="10"/>
        <rFont val="Arial"/>
        <family val="2"/>
      </rPr>
      <t xml:space="preserve"> Zelkova serrata </t>
    </r>
    <r>
      <rPr>
        <b/>
        <sz val="10"/>
        <rFont val="Arial"/>
        <family val="2"/>
      </rPr>
      <t>💧wet sites OK</t>
    </r>
  </si>
  <si>
    <r>
      <rPr>
        <b/>
        <sz val="10"/>
        <rFont val="Arial"/>
        <family val="2"/>
      </rPr>
      <t>Nuttall Oak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 xml:space="preserve">Quercus nuttallii  </t>
    </r>
    <r>
      <rPr>
        <b/>
        <sz val="10"/>
        <rFont val="Arial"/>
        <family val="2"/>
      </rPr>
      <t xml:space="preserve">💧wet sites OK  </t>
    </r>
  </si>
  <si>
    <r>
      <rPr>
        <b/>
        <sz val="10"/>
        <rFont val="Arial"/>
        <family val="2"/>
      </rPr>
      <t xml:space="preserve">American Beech </t>
    </r>
    <r>
      <rPr>
        <i/>
        <sz val="10"/>
        <rFont val="Arial"/>
        <family val="2"/>
      </rPr>
      <t>Fagus grandifolia</t>
    </r>
  </si>
  <si>
    <r>
      <rPr>
        <b/>
        <sz val="10"/>
        <color theme="1"/>
        <rFont val="Arial"/>
        <family val="2"/>
      </rPr>
      <t>Dawn Redwood</t>
    </r>
    <r>
      <rPr>
        <sz val="10"/>
        <color theme="1"/>
        <rFont val="Arial"/>
        <family val="2"/>
      </rPr>
      <t xml:space="preserve">  </t>
    </r>
    <r>
      <rPr>
        <b/>
        <sz val="10"/>
        <color theme="1"/>
        <rFont val="Arial"/>
        <family val="2"/>
      </rPr>
      <t>💧wet sites OK</t>
    </r>
    <r>
      <rPr>
        <sz val="10"/>
        <color theme="1"/>
        <rFont val="Arial"/>
        <family val="2"/>
      </rPr>
      <t xml:space="preserve">  </t>
    </r>
    <r>
      <rPr>
        <i/>
        <sz val="10"/>
        <color theme="1"/>
        <rFont val="Arial"/>
        <family val="2"/>
      </rPr>
      <t>Metasequoia glyptostroboides</t>
    </r>
  </si>
  <si>
    <r>
      <rPr>
        <b/>
        <sz val="10"/>
        <rFont val="Arial"/>
        <family val="2"/>
      </rPr>
      <t>Pin Oak</t>
    </r>
    <r>
      <rPr>
        <i/>
        <sz val="10"/>
        <rFont val="Arial"/>
        <family val="2"/>
      </rPr>
      <t xml:space="preserve"> Quercus palustris</t>
    </r>
    <r>
      <rPr>
        <sz val="10"/>
        <rFont val="Arial"/>
        <family val="2"/>
      </rPr>
      <t xml:space="preserve">  </t>
    </r>
    <r>
      <rPr>
        <b/>
        <sz val="10"/>
        <rFont val="Arial"/>
        <family val="2"/>
      </rPr>
      <t>💧wet sites OK</t>
    </r>
  </si>
  <si>
    <r>
      <rPr>
        <b/>
        <sz val="10"/>
        <rFont val="Arial"/>
        <family val="2"/>
      </rPr>
      <t>Shumard Oak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Quercus shumardii</t>
    </r>
  </si>
  <si>
    <r>
      <rPr>
        <b/>
        <sz val="10"/>
        <rFont val="Arial"/>
        <family val="2"/>
      </rPr>
      <t>Swamp White Oak</t>
    </r>
    <r>
      <rPr>
        <i/>
        <sz val="10"/>
        <rFont val="Arial"/>
        <family val="2"/>
      </rPr>
      <t xml:space="preserve"> Quercus bicolor</t>
    </r>
    <r>
      <rPr>
        <sz val="10"/>
        <rFont val="Arial"/>
        <family val="2"/>
      </rPr>
      <t xml:space="preserve">  </t>
    </r>
    <r>
      <rPr>
        <b/>
        <sz val="10"/>
        <rFont val="Arial"/>
        <family val="2"/>
      </rPr>
      <t xml:space="preserve">💧wet sites OK </t>
    </r>
    <r>
      <rPr>
        <sz val="10"/>
        <rFont val="Arial"/>
        <family val="2"/>
      </rPr>
      <t xml:space="preserve"> </t>
    </r>
  </si>
  <si>
    <r>
      <rPr>
        <b/>
        <sz val="10"/>
        <rFont val="Arial"/>
        <family val="2"/>
      </rPr>
      <t>Allee Chinese Elm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Ulmus parvifolia 'Allee'</t>
    </r>
  </si>
  <si>
    <r>
      <rPr>
        <b/>
        <sz val="10"/>
        <rFont val="Arial"/>
        <family val="2"/>
      </rPr>
      <t>Autumn Gold Ginkgo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Ginkgo biloba 'Autumn Gold'</t>
    </r>
  </si>
  <si>
    <r>
      <rPr>
        <b/>
        <sz val="10"/>
        <rFont val="Arial"/>
        <family val="2"/>
      </rPr>
      <t>Golden Colonnade Ginkgo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Ginkgo biloba 'JFS-UGA2'</t>
    </r>
  </si>
  <si>
    <r>
      <t>Green Gable Black Gum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 xml:space="preserve">Nyssa sylvatica 'Green Gable' </t>
    </r>
  </si>
  <si>
    <r>
      <rPr>
        <b/>
        <sz val="10"/>
        <rFont val="Arial"/>
        <family val="2"/>
      </rPr>
      <t>Regal Prince</t>
    </r>
    <r>
      <rPr>
        <b/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Oak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Quercus x warei 'Long' PP#12673</t>
    </r>
  </si>
  <si>
    <r>
      <t xml:space="preserve">European Hornbeam </t>
    </r>
    <r>
      <rPr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 xml:space="preserve">💧wet sites OK  </t>
    </r>
    <r>
      <rPr>
        <i/>
        <sz val="10"/>
        <color indexed="8"/>
        <rFont val="Arial"/>
        <family val="2"/>
      </rPr>
      <t>Carpinus betulus ‘Fastigiata’</t>
    </r>
  </si>
  <si>
    <r>
      <t>American Hornbeam</t>
    </r>
    <r>
      <rPr>
        <b/>
        <i/>
        <sz val="10"/>
        <color rgb="FF000000"/>
        <rFont val="Arial"/>
        <family val="2"/>
      </rPr>
      <t xml:space="preserve"> </t>
    </r>
    <r>
      <rPr>
        <i/>
        <sz val="10"/>
        <color rgb="FF000000"/>
        <rFont val="Arial"/>
        <family val="2"/>
      </rPr>
      <t>Carpinus caroliniana</t>
    </r>
    <r>
      <rPr>
        <b/>
        <sz val="10"/>
        <color indexed="8"/>
        <rFont val="Arial"/>
        <family val="2"/>
      </rPr>
      <t xml:space="preserve"> 💧wet sites OK </t>
    </r>
  </si>
  <si>
    <r>
      <rPr>
        <b/>
        <sz val="10"/>
        <rFont val="Arial"/>
        <family val="2"/>
      </rPr>
      <t>Paperbark Maple</t>
    </r>
    <r>
      <rPr>
        <sz val="10"/>
        <rFont val="Arial"/>
        <family val="2"/>
      </rPr>
      <t xml:space="preserve"> (tiny green) </t>
    </r>
    <r>
      <rPr>
        <i/>
        <sz val="10"/>
        <rFont val="Arial"/>
        <family val="2"/>
      </rPr>
      <t>Acer griseum</t>
    </r>
  </si>
  <si>
    <r>
      <t xml:space="preserve"> DECIDUOUS TREES</t>
    </r>
    <r>
      <rPr>
        <sz val="9"/>
        <color theme="0"/>
        <rFont val="Arial"/>
        <family val="2"/>
      </rPr>
      <t xml:space="preserve"> </t>
    </r>
    <r>
      <rPr>
        <b/>
        <sz val="9"/>
        <color theme="0"/>
        <rFont val="Arial"/>
        <family val="2"/>
      </rPr>
      <t xml:space="preserve">(bloom color, </t>
    </r>
    <r>
      <rPr>
        <b/>
        <i/>
        <sz val="9"/>
        <color theme="0"/>
        <rFont val="Arial"/>
        <family val="2"/>
      </rPr>
      <t>if showy or significant</t>
    </r>
    <r>
      <rPr>
        <b/>
        <sz val="9"/>
        <color theme="0"/>
        <rFont val="Arial"/>
        <family val="2"/>
      </rPr>
      <t>)</t>
    </r>
  </si>
  <si>
    <t>pruned to 18"</t>
  </si>
  <si>
    <r>
      <t>Emerald Heights Distylium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Distylium 'PIIDIST-I' PP24410</t>
    </r>
  </si>
  <si>
    <r>
      <t>Blue Cascade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Distylium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Distylium 'PIIDIST-II'</t>
    </r>
  </si>
  <si>
    <r>
      <t>Vintage Jade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Distylium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Distylium 'D. myricoides x D. racemosum' PP23128</t>
    </r>
  </si>
  <si>
    <r>
      <t>Cinnamon Girl</t>
    </r>
    <r>
      <rPr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Distylium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Distylium 'PIIDIST-V' PP27631</t>
    </r>
  </si>
  <si>
    <t>Vintage Jade, like all Distylium, produce rather petite flowers appear in winter. Blue-green foliage</t>
  </si>
  <si>
    <t>Linebacker, like all Distylium, provide visual interest year-round. Reddish new growth turns dark green</t>
  </si>
  <si>
    <r>
      <rPr>
        <b/>
        <sz val="11"/>
        <color rgb="FF57426E"/>
        <rFont val="Arial"/>
        <family val="2"/>
      </rPr>
      <t>OPTIONAL</t>
    </r>
    <r>
      <rPr>
        <b/>
        <sz val="9.5"/>
        <color rgb="FF57426E"/>
        <rFont val="Arial"/>
        <family val="2"/>
      </rPr>
      <t xml:space="preserve"> </t>
    </r>
    <r>
      <rPr>
        <sz val="9.5"/>
        <color rgb="FF57426E"/>
        <rFont val="Arial"/>
        <family val="2"/>
      </rPr>
      <t>with a copy/share only:</t>
    </r>
    <r>
      <rPr>
        <b/>
        <sz val="9.5"/>
        <color rgb="FF57426E"/>
        <rFont val="Arial"/>
        <family val="2"/>
      </rPr>
      <t xml:space="preserve"> supply C</t>
    </r>
    <r>
      <rPr>
        <b/>
        <sz val="10"/>
        <color rgb="FF57426E"/>
        <rFont val="Arial"/>
        <family val="2"/>
      </rPr>
      <t>ontact Data</t>
    </r>
    <r>
      <rPr>
        <sz val="10"/>
        <color rgb="FF57426E"/>
        <rFont val="Arial"/>
        <family val="2"/>
      </rPr>
      <t xml:space="preserve"> </t>
    </r>
    <r>
      <rPr>
        <sz val="9.5"/>
        <color rgb="FF57426E"/>
        <rFont val="Arial"/>
        <family val="2"/>
      </rPr>
      <t>here</t>
    </r>
    <r>
      <rPr>
        <b/>
        <sz val="9.5"/>
        <color rgb="FF57426E"/>
        <rFont val="Arial"/>
        <family val="2"/>
      </rPr>
      <t xml:space="preserve"> </t>
    </r>
    <r>
      <rPr>
        <sz val="9.5"/>
        <color rgb="FF57426E"/>
        <rFont val="Arial"/>
        <family val="2"/>
      </rPr>
      <t xml:space="preserve"> &gt;&gt;  </t>
    </r>
    <r>
      <rPr>
        <b/>
        <sz val="9.5"/>
        <color rgb="FF57426E"/>
        <rFont val="Arial"/>
        <family val="2"/>
      </rPr>
      <t>OR</t>
    </r>
    <r>
      <rPr>
        <sz val="9.5"/>
        <color rgb="FF57426E"/>
        <rFont val="Arial"/>
        <family val="2"/>
      </rPr>
      <t xml:space="preserve"> write data in body of </t>
    </r>
    <r>
      <rPr>
        <b/>
        <sz val="9.5"/>
        <color rgb="FF57426E"/>
        <rFont val="Arial"/>
        <family val="2"/>
      </rPr>
      <t xml:space="preserve">email </t>
    </r>
    <r>
      <rPr>
        <sz val="9.5"/>
        <color rgb="FF57426E"/>
        <rFont val="Arial"/>
        <family val="2"/>
      </rPr>
      <t xml:space="preserve">to </t>
    </r>
    <r>
      <rPr>
        <b/>
        <sz val="9.5"/>
        <color rgb="FF57426E"/>
        <rFont val="Arial"/>
        <family val="2"/>
      </rPr>
      <t>Mike@Trees2Go.com</t>
    </r>
  </si>
  <si>
    <r>
      <rPr>
        <b/>
        <sz val="10"/>
        <rFont val="Arial"/>
        <family val="2"/>
      </rPr>
      <t>Legacy Sugar Maple</t>
    </r>
    <r>
      <rPr>
        <sz val="10"/>
        <rFont val="Arial"/>
        <family val="2"/>
      </rPr>
      <t xml:space="preserve">  </t>
    </r>
    <r>
      <rPr>
        <b/>
        <sz val="10"/>
        <rFont val="Arial"/>
        <family val="2"/>
      </rPr>
      <t xml:space="preserve">💧wet sites OK </t>
    </r>
    <r>
      <rPr>
        <i/>
        <sz val="10"/>
        <rFont val="Arial"/>
        <family val="2"/>
      </rPr>
      <t xml:space="preserve"> Acer saccharum 'Legacy' </t>
    </r>
  </si>
  <si>
    <t xml:space="preserve"> $50 to $125 per caliper inch of stem (4" Max).</t>
  </si>
  <si>
    <t>Estimated removal &amp; disposal fee ranges from</t>
  </si>
  <si>
    <t>Actual charge is determined day-of extraction,</t>
  </si>
  <si>
    <t xml:space="preserve"> based on rootball size and overall difficulty.</t>
  </si>
  <si>
    <t>9' MS low supply</t>
  </si>
  <si>
    <t>FAQ</t>
  </si>
  <si>
    <t>ready Summer</t>
  </si>
  <si>
    <r>
      <t>Bonafide</t>
    </r>
    <r>
      <rPr>
        <vertAlign val="superscript"/>
        <sz val="10"/>
        <rFont val="Arial"/>
        <family val="2"/>
      </rPr>
      <t>™</t>
    </r>
    <r>
      <rPr>
        <b/>
        <sz val="10"/>
        <rFont val="Arial"/>
        <family val="2"/>
      </rPr>
      <t xml:space="preserve"> Arborvitae</t>
    </r>
    <r>
      <rPr>
        <i/>
        <sz val="10"/>
        <rFont val="Arial"/>
        <family val="2"/>
      </rPr>
      <t xml:space="preserve"> Thuja plicata x standishii “CMA04271964 Bonafide™" PP34073</t>
    </r>
  </si>
  <si>
    <r>
      <t>Forever Goldy</t>
    </r>
    <r>
      <rPr>
        <vertAlign val="superscript"/>
        <sz val="10"/>
        <rFont val="Arial"/>
        <family val="2"/>
      </rPr>
      <t xml:space="preserve">™ </t>
    </r>
    <r>
      <rPr>
        <b/>
        <sz val="10"/>
        <rFont val="Arial"/>
        <family val="2"/>
      </rPr>
      <t>Arborvitae</t>
    </r>
    <r>
      <rPr>
        <i/>
        <sz val="10"/>
        <rFont val="Arial"/>
        <family val="2"/>
      </rPr>
      <t xml:space="preserve"> Thuja plicata '4EVER' PP19267</t>
    </r>
  </si>
  <si>
    <r>
      <t>Linebacker</t>
    </r>
    <r>
      <rPr>
        <vertAlign val="superscript"/>
        <sz val="10"/>
        <rFont val="Arial"/>
        <family val="2"/>
      </rPr>
      <t>™</t>
    </r>
    <r>
      <rPr>
        <b/>
        <sz val="10"/>
        <rFont val="Arial"/>
        <family val="2"/>
      </rPr>
      <t xml:space="preserve"> Distylium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Distylium 'PIIDIST-IV' PP25984</t>
    </r>
  </si>
  <si>
    <r>
      <t>Snow-N-Summer</t>
    </r>
    <r>
      <rPr>
        <vertAlign val="superscript"/>
        <sz val="10"/>
        <color rgb="FF000000"/>
        <rFont val="Arial"/>
        <family val="2"/>
      </rPr>
      <t>™</t>
    </r>
    <r>
      <rPr>
        <b/>
        <sz val="10"/>
        <color indexed="8"/>
        <rFont val="Arial"/>
        <family val="2"/>
      </rPr>
      <t xml:space="preserve"> Asiatic Jasmine</t>
    </r>
    <r>
      <rPr>
        <i/>
        <sz val="10"/>
        <color rgb="FF000000"/>
        <rFont val="Arial"/>
        <family val="2"/>
      </rPr>
      <t xml:space="preserve"> Trachelospermum asiaticum 'Snow N Summer'</t>
    </r>
  </si>
  <si>
    <t>Chef's Choice has a higher oil content and spicy flavor that make it great for cooking</t>
  </si>
  <si>
    <r>
      <rPr>
        <b/>
        <sz val="10"/>
        <rFont val="Arial"/>
        <family val="2"/>
      </rPr>
      <t>Arp Rosemary</t>
    </r>
    <r>
      <rPr>
        <sz val="10"/>
        <rFont val="Arial"/>
        <family val="2"/>
      </rPr>
      <t xml:space="preserve"> (soft blue)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Salvia</t>
    </r>
    <r>
      <rPr>
        <b/>
        <sz val="10"/>
        <rFont val="Arial"/>
        <family val="2"/>
      </rPr>
      <t xml:space="preserve"> r</t>
    </r>
    <r>
      <rPr>
        <i/>
        <sz val="10"/>
        <rFont val="Arial"/>
        <family val="2"/>
      </rPr>
      <t>osmarinus officinalis 'Arp'</t>
    </r>
  </si>
  <si>
    <r>
      <rPr>
        <b/>
        <sz val="10"/>
        <rFont val="Arial"/>
        <family val="2"/>
      </rPr>
      <t xml:space="preserve">Wax Myrtle </t>
    </r>
    <r>
      <rPr>
        <i/>
        <sz val="10"/>
        <rFont val="Arial"/>
        <family val="2"/>
      </rPr>
      <t>Myrica cerifera</t>
    </r>
    <r>
      <rPr>
        <i/>
        <sz val="10"/>
        <color theme="1" tint="0.249977111117893"/>
        <rFont val="Arial"/>
        <family val="2"/>
      </rPr>
      <t xml:space="preserve"> </t>
    </r>
    <r>
      <rPr>
        <i/>
        <sz val="10"/>
        <rFont val="Arial"/>
        <family val="2"/>
      </rPr>
      <t xml:space="preserve"> </t>
    </r>
    <r>
      <rPr>
        <b/>
        <sz val="10"/>
        <rFont val="Arial"/>
        <family val="2"/>
      </rPr>
      <t>💧wet sites OK</t>
    </r>
  </si>
  <si>
    <r>
      <t>811? Y/N</t>
    </r>
    <r>
      <rPr>
        <sz val="9"/>
        <color theme="1"/>
        <rFont val="Calibri"/>
        <family val="2"/>
        <scheme val="minor"/>
      </rPr>
      <t>⇨</t>
    </r>
  </si>
  <si>
    <r>
      <t>Dura-Heat River Birch</t>
    </r>
    <r>
      <rPr>
        <i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💧wet sites OK</t>
    </r>
    <r>
      <rPr>
        <i/>
        <sz val="10"/>
        <color indexed="8"/>
        <rFont val="Arial"/>
        <family val="2"/>
      </rPr>
      <t xml:space="preserve"> Betula nigra 'Dura-Heat'</t>
    </r>
  </si>
  <si>
    <r>
      <t>Little King Dwarf River Birch</t>
    </r>
    <r>
      <rPr>
        <i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💧wet sites OK</t>
    </r>
    <r>
      <rPr>
        <i/>
        <sz val="10"/>
        <color indexed="8"/>
        <rFont val="Arial"/>
        <family val="2"/>
      </rPr>
      <t xml:space="preserve">  Betula nigra 'Little King' </t>
    </r>
  </si>
  <si>
    <t>8' Multi Stem (MS)</t>
  </si>
  <si>
    <t>6.5', 1.5"c low supply</t>
  </si>
  <si>
    <r>
      <rPr>
        <sz val="13"/>
        <color theme="0"/>
        <rFont val="Calibri"/>
        <family val="2"/>
        <scheme val="minor"/>
      </rPr>
      <t>S</t>
    </r>
    <r>
      <rPr>
        <sz val="11"/>
        <color theme="0"/>
        <rFont val="Calibri"/>
        <family val="2"/>
        <scheme val="minor"/>
      </rPr>
      <t>orted</t>
    </r>
  </si>
  <si>
    <t>sheared to 3.5'</t>
  </si>
  <si>
    <t>11', 1.25"caliper</t>
  </si>
  <si>
    <t>dormant</t>
  </si>
  <si>
    <t>plant supplies may vary ~ Height &amp; Quality are</t>
  </si>
  <si>
    <t xml:space="preserve">     If plant is under-sized, or not of reasonable quality, you may reject upon delivery. </t>
  </si>
  <si>
    <r>
      <rPr>
        <b/>
        <sz val="10.5"/>
        <color theme="1"/>
        <rFont val="Gadugi"/>
        <family val="2"/>
      </rPr>
      <t>before</t>
    </r>
    <r>
      <rPr>
        <sz val="10.5"/>
        <color theme="1"/>
        <rFont val="Gadugi"/>
        <family val="2"/>
      </rPr>
      <t xml:space="preserve"> Discount</t>
    </r>
    <r>
      <rPr>
        <sz val="10"/>
        <color theme="1"/>
        <rFont val="Calibri"/>
        <family val="2"/>
      </rPr>
      <t>:</t>
    </r>
  </si>
  <si>
    <r>
      <rPr>
        <b/>
        <sz val="10.5"/>
        <color theme="1"/>
        <rFont val="Gadugi"/>
        <family val="2"/>
      </rPr>
      <t xml:space="preserve">after </t>
    </r>
    <r>
      <rPr>
        <sz val="10.5"/>
        <color theme="1"/>
        <rFont val="Gadugi"/>
        <family val="2"/>
      </rPr>
      <t>Discount</t>
    </r>
    <r>
      <rPr>
        <sz val="10"/>
        <color theme="1"/>
        <rFont val="Calibri"/>
        <family val="2"/>
      </rPr>
      <t>:</t>
    </r>
  </si>
  <si>
    <t xml:space="preserve">     Poor plants will be replaced, refunded, or discounted on-site. </t>
  </si>
  <si>
    <r>
      <rPr>
        <sz val="10"/>
        <rFont val="Gadugi"/>
        <family val="2"/>
      </rPr>
      <t xml:space="preserve">plus the </t>
    </r>
    <r>
      <rPr>
        <b/>
        <sz val="10"/>
        <color rgb="FFE7199D"/>
        <rFont val="Gadugi"/>
        <family val="2"/>
      </rPr>
      <t>pink number</t>
    </r>
    <r>
      <rPr>
        <sz val="10"/>
        <rFont val="Gadugi"/>
        <family val="2"/>
      </rPr>
      <t>, above (</t>
    </r>
    <r>
      <rPr>
        <b/>
        <sz val="10"/>
        <rFont val="Gadugi"/>
        <family val="2"/>
      </rPr>
      <t>Previous Amounts Paid</t>
    </r>
    <r>
      <rPr>
        <sz val="10"/>
        <rFont val="Gadugi"/>
        <family val="2"/>
      </rPr>
      <t>) =</t>
    </r>
  </si>
  <si>
    <r>
      <t>Reduce by </t>
    </r>
    <r>
      <rPr>
        <b/>
        <sz val="11"/>
        <color rgb="FF333333"/>
        <rFont val="Arial"/>
        <family val="2"/>
      </rPr>
      <t>HALF</t>
    </r>
    <r>
      <rPr>
        <sz val="11"/>
        <color rgb="FF333333"/>
        <rFont val="Arial"/>
        <family val="2"/>
      </rPr>
      <t> each year as plant gets established.</t>
    </r>
  </si>
  <si>
    <r>
      <t xml:space="preserve">If severe drought happens, water </t>
    </r>
    <r>
      <rPr>
        <b/>
        <sz val="11"/>
        <color rgb="FF333333"/>
        <rFont val="Arial"/>
        <family val="2"/>
      </rPr>
      <t>EVERYTHING</t>
    </r>
    <r>
      <rPr>
        <sz val="11"/>
        <color rgb="FF333333"/>
        <rFont val="Arial"/>
        <family val="2"/>
      </rPr>
      <t>, no matter how well established.</t>
    </r>
  </si>
  <si>
    <t>Plant supplies may vary, as Price it data trails reality ~ Height &amp; Quality are</t>
  </si>
  <si>
    <r>
      <t>New View Planting</t>
    </r>
    <r>
      <rPr>
        <i/>
        <sz val="10"/>
        <rFont val="Calibri"/>
        <family val="2"/>
      </rPr>
      <t xml:space="preserve"> (separate business). ENTER a Quantity </t>
    </r>
    <r>
      <rPr>
        <b/>
        <i/>
        <sz val="10"/>
        <rFont val="Calibri"/>
        <family val="2"/>
      </rPr>
      <t>↙↙</t>
    </r>
    <r>
      <rPr>
        <i/>
        <sz val="10"/>
        <rFont val="Calibri"/>
        <family val="2"/>
      </rPr>
      <t xml:space="preserve"> to see OPTIONAL prices</t>
    </r>
    <r>
      <rPr>
        <b/>
        <i/>
        <sz val="10"/>
        <rFont val="Calibri"/>
        <family val="2"/>
      </rPr>
      <t>→→</t>
    </r>
  </si>
  <si>
    <t>6' lite roots</t>
  </si>
  <si>
    <t>T2G will email data to NVP, then coordinate.</t>
  </si>
  <si>
    <t>12" wide, low supply</t>
  </si>
  <si>
    <t>7"</t>
  </si>
  <si>
    <r>
      <rPr>
        <b/>
        <sz val="10"/>
        <rFont val="Arial"/>
        <family val="2"/>
      </rPr>
      <t>Centre Court Cherry Laurel</t>
    </r>
    <r>
      <rPr>
        <sz val="10"/>
        <rFont val="Arial"/>
        <family val="2"/>
      </rPr>
      <t xml:space="preserve"> (white) </t>
    </r>
    <r>
      <rPr>
        <i/>
        <sz val="10"/>
        <rFont val="Arial"/>
        <family val="2"/>
      </rPr>
      <t>Prunus caroliniana 'GRECCT'</t>
    </r>
  </si>
  <si>
    <t>Centre Court has glossy foliage with tiny fragrant blooms, followed by small black berries</t>
  </si>
  <si>
    <t>7.5', 1"caliper</t>
  </si>
  <si>
    <t>7.5', 2"caliper</t>
  </si>
  <si>
    <t>SS ready May</t>
  </si>
  <si>
    <t>8.5' MS</t>
  </si>
  <si>
    <t>For other than above reasons, 20% cancelation fee after delivery.</t>
  </si>
  <si>
    <t>If plant is under-sized, or not of reasonable quality, you may reject upon delivery.</t>
  </si>
  <si>
    <t>Poor plants will be replaced, refunded, or discounted on-site.</t>
  </si>
  <si>
    <t>4.5' 1.5"c. low supply</t>
  </si>
  <si>
    <t>5.5', 1.75"caliper</t>
  </si>
  <si>
    <r>
      <rPr>
        <b/>
        <sz val="10"/>
        <color theme="1"/>
        <rFont val="Arial"/>
        <family val="2"/>
      </rPr>
      <t>A</t>
    </r>
    <r>
      <rPr>
        <sz val="10"/>
        <color theme="1"/>
        <rFont val="Arial"/>
        <family val="2"/>
      </rPr>
      <t>🦌</t>
    </r>
    <r>
      <rPr>
        <b/>
        <sz val="9"/>
        <color theme="1"/>
        <rFont val="Arial"/>
        <family val="2"/>
      </rPr>
      <t>rarely</t>
    </r>
    <r>
      <rPr>
        <sz val="9"/>
        <color theme="1"/>
        <rFont val="Arial"/>
        <family val="2"/>
      </rPr>
      <t xml:space="preserve"> harm</t>
    </r>
  </si>
  <si>
    <r>
      <rPr>
        <b/>
        <sz val="10"/>
        <color theme="1"/>
        <rFont val="Arial"/>
        <family val="2"/>
      </rPr>
      <t>A</t>
    </r>
    <r>
      <rPr>
        <sz val="10"/>
        <color theme="1"/>
        <rFont val="Arial"/>
        <family val="2"/>
      </rPr>
      <t>🦌</t>
    </r>
    <r>
      <rPr>
        <sz val="9"/>
        <color theme="1"/>
        <rFont val="Arial"/>
        <family val="2"/>
      </rPr>
      <t>r</t>
    </r>
    <r>
      <rPr>
        <b/>
        <sz val="9"/>
        <color theme="1"/>
        <rFont val="Arial"/>
        <family val="2"/>
      </rPr>
      <t>arely</t>
    </r>
    <r>
      <rPr>
        <sz val="9"/>
        <color theme="1"/>
        <rFont val="Arial"/>
        <family val="2"/>
      </rPr>
      <t xml:space="preserve"> harm</t>
    </r>
  </si>
  <si>
    <r>
      <rPr>
        <b/>
        <sz val="10"/>
        <color theme="1"/>
        <rFont val="Arial"/>
        <family val="2"/>
      </rPr>
      <t>B</t>
    </r>
    <r>
      <rPr>
        <sz val="10"/>
        <color theme="1"/>
        <rFont val="Arial"/>
        <family val="2"/>
      </rPr>
      <t xml:space="preserve">🦌deer </t>
    </r>
    <r>
      <rPr>
        <b/>
        <sz val="9"/>
        <color theme="1"/>
        <rFont val="Arial"/>
        <family val="2"/>
      </rPr>
      <t>seldom</t>
    </r>
    <r>
      <rPr>
        <sz val="9"/>
        <color theme="1"/>
        <rFont val="Arial"/>
        <family val="2"/>
      </rPr>
      <t xml:space="preserve"> harm</t>
    </r>
  </si>
  <si>
    <r>
      <t>Plant Notes</t>
    </r>
    <r>
      <rPr>
        <sz val="9"/>
        <color theme="0"/>
        <rFont val="Arial"/>
        <family val="2"/>
      </rPr>
      <t xml:space="preserve"> </t>
    </r>
    <r>
      <rPr>
        <b/>
        <sz val="9"/>
        <color theme="0"/>
        <rFont val="Arial"/>
        <family val="2"/>
      </rPr>
      <t>&gt;&gt;&gt;</t>
    </r>
  </si>
  <si>
    <t>pruned to 3'</t>
  </si>
  <si>
    <t>3.5', tipping 5'</t>
  </si>
  <si>
    <t>32" lite roots</t>
  </si>
  <si>
    <t>25"</t>
  </si>
  <si>
    <t>pruned to 5' MS</t>
  </si>
  <si>
    <t>24" lite roots</t>
  </si>
  <si>
    <t>14"x18"wide</t>
  </si>
  <si>
    <t>14"wide</t>
  </si>
  <si>
    <t>14"</t>
  </si>
  <si>
    <t>bad roots</t>
  </si>
  <si>
    <r>
      <t>Little Kitten Maiden Grass</t>
    </r>
    <r>
      <rPr>
        <sz val="10"/>
        <color rgb="FF000000"/>
        <rFont val="Arial"/>
        <family val="2"/>
      </rPr>
      <t xml:space="preserve"> (creamy white)</t>
    </r>
    <r>
      <rPr>
        <b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Miscanthus sinensis 'Little Kitten’</t>
    </r>
  </si>
  <si>
    <t>Little Kitten flower plumes emerge late summer, then turn pale brown for winter</t>
  </si>
  <si>
    <r>
      <t xml:space="preserve">at </t>
    </r>
    <r>
      <rPr>
        <b/>
        <u/>
        <sz val="11"/>
        <color theme="0"/>
        <rFont val="Arial"/>
        <family val="2"/>
      </rPr>
      <t>S</t>
    </r>
    <r>
      <rPr>
        <b/>
        <u/>
        <sz val="12"/>
        <color theme="0"/>
        <rFont val="Arial"/>
        <family val="2"/>
      </rPr>
      <t>ources:</t>
    </r>
  </si>
  <si>
    <t>24" low supply</t>
  </si>
  <si>
    <t>ready May</t>
  </si>
  <si>
    <t>4.5' ready May</t>
  </si>
  <si>
    <t>ready June</t>
  </si>
  <si>
    <t>5.5' ready May</t>
  </si>
  <si>
    <t>Bengal Tiger foliage is a striking green and yellow striping, with a maroon edge. One of the most beautiful cannas</t>
  </si>
  <si>
    <r>
      <t xml:space="preserve">Bengal Tiger Canna Lily </t>
    </r>
    <r>
      <rPr>
        <sz val="10"/>
        <color rgb="FF000000"/>
        <rFont val="Arial"/>
        <family val="2"/>
      </rPr>
      <t xml:space="preserve">(orange)  </t>
    </r>
    <r>
      <rPr>
        <b/>
        <sz val="10"/>
        <color rgb="FF000000"/>
        <rFont val="Arial"/>
        <family val="2"/>
      </rPr>
      <t>💧moist sites best</t>
    </r>
    <r>
      <rPr>
        <sz val="10"/>
        <color rgb="FF000000"/>
        <rFont val="Arial"/>
        <family val="2"/>
      </rPr>
      <t xml:space="preserve">  </t>
    </r>
    <r>
      <rPr>
        <i/>
        <sz val="10"/>
        <color rgb="FF000000"/>
        <rFont val="Arial"/>
        <family val="2"/>
      </rPr>
      <t>Canna americanallis var. variegata</t>
    </r>
  </si>
  <si>
    <t>6' Ready April 15</t>
  </si>
  <si>
    <t>9"x12"</t>
  </si>
  <si>
    <r>
      <t>Fire Star Dianthus</t>
    </r>
    <r>
      <rPr>
        <sz val="10"/>
        <color indexed="8"/>
        <rFont val="Arial"/>
        <family val="2"/>
      </rPr>
      <t xml:space="preserve"> (reddish pink)</t>
    </r>
    <r>
      <rPr>
        <i/>
        <sz val="10"/>
        <color rgb="FF000000"/>
        <rFont val="Arial"/>
        <family val="2"/>
      </rPr>
      <t xml:space="preserve"> Dianthus</t>
    </r>
    <r>
      <rPr>
        <sz val="10"/>
        <color indexed="8"/>
        <rFont val="Arial"/>
        <family val="2"/>
      </rPr>
      <t xml:space="preserve"> '</t>
    </r>
    <r>
      <rPr>
        <i/>
        <sz val="10"/>
        <color indexed="8"/>
        <rFont val="Arial"/>
        <family val="2"/>
      </rPr>
      <t>Devon Xera'</t>
    </r>
    <r>
      <rPr>
        <i/>
        <sz val="10"/>
        <color rgb="FF000000"/>
        <rFont val="Arial"/>
        <family val="2"/>
      </rPr>
      <t xml:space="preserve"> PP14895</t>
    </r>
  </si>
  <si>
    <t>Fire Star sports clove-scented blooms atop grey=green foliage</t>
  </si>
  <si>
    <t>small tops</t>
  </si>
  <si>
    <t>1.5'wide, low supply</t>
  </si>
  <si>
    <t>15"wide, low supply</t>
  </si>
  <si>
    <t>Purple Pixie is a weeper. Let it fall out of a pot or over a wall</t>
  </si>
  <si>
    <t>Shaina's foliage emerges bright purple-red, then darkens to rich purple-red</t>
  </si>
  <si>
    <t>21" low supply</t>
  </si>
  <si>
    <r>
      <rPr>
        <b/>
        <sz val="10"/>
        <rFont val="Arial"/>
        <family val="2"/>
      </rPr>
      <t>Sharp's Pygmy Japanese Maple</t>
    </r>
    <r>
      <rPr>
        <i/>
        <sz val="10"/>
        <rFont val="Arial"/>
        <family val="2"/>
      </rPr>
      <t xml:space="preserve"> Acer palmatum 'Sharp's Pygmy'</t>
    </r>
  </si>
  <si>
    <t>Sharp's Pygmy foliage is bright chartreuse in spring, turning red in autumn. Leaf margins are orange to purple</t>
  </si>
  <si>
    <t>6' low supply</t>
  </si>
  <si>
    <t>'gallon' is the nominal size of the black plastic pot your plants arrive in (not true gallons). No Balled &amp; Burlapped (B&amp;B) sales.</t>
  </si>
  <si>
    <t>DeGroot's is like Emerald Arb, but more whorled foliage. Maintain moist soil, not  too dry or too wet</t>
  </si>
  <si>
    <r>
      <t>Golden Dwarf Hinoki Falsecypress</t>
    </r>
    <r>
      <rPr>
        <i/>
        <sz val="10"/>
        <rFont val="Arial"/>
        <family val="2"/>
      </rPr>
      <t xml:space="preserve"> Chamaecyparis obtusa 'Nana Lutea'</t>
    </r>
  </si>
  <si>
    <t>32" Standard</t>
  </si>
  <si>
    <t>36" Standard</t>
  </si>
  <si>
    <r>
      <t>Golden Hinoki Falsecypress</t>
    </r>
    <r>
      <rPr>
        <i/>
        <sz val="10"/>
        <rFont val="Arial"/>
        <family val="2"/>
      </rPr>
      <t xml:space="preserve"> Chamaecyparis obtusa 'Crippsii'</t>
    </r>
  </si>
  <si>
    <t>Golden Hinoki is a dramatic mix of yellow &amp; green foliage. Best color in full sun. Slow grower</t>
  </si>
  <si>
    <t>Golden Dwarf Hinoki is size of Dwarf Hinoki, and has golden foliage like the larger Golden Hinoki</t>
  </si>
  <si>
    <t>New View Planting (NVP) Price Table</t>
  </si>
  <si>
    <t>18"wide, low supply</t>
  </si>
  <si>
    <r>
      <rPr>
        <b/>
        <sz val="10"/>
        <rFont val="Arial"/>
        <family val="2"/>
      </rPr>
      <t>Chef's Choice Rosemary</t>
    </r>
    <r>
      <rPr>
        <sz val="10"/>
        <rFont val="Arial"/>
        <family val="2"/>
      </rPr>
      <t xml:space="preserve"> (blue-violet)</t>
    </r>
    <r>
      <rPr>
        <i/>
        <sz val="10"/>
        <rFont val="Arial"/>
        <family val="2"/>
      </rPr>
      <t xml:space="preserve"> Salvia rosmarinus officinalis Chef's Choice® PP18192</t>
    </r>
  </si>
  <si>
    <t>36" MS low supply</t>
  </si>
  <si>
    <t>Evening Light known for purple foliage and an upright, vase-shaped habit</t>
  </si>
  <si>
    <r>
      <t xml:space="preserve">Meyer Lemon </t>
    </r>
    <r>
      <rPr>
        <sz val="10"/>
        <color rgb="FF000000"/>
        <rFont val="Arial"/>
        <family val="2"/>
      </rPr>
      <t>(white)</t>
    </r>
    <r>
      <rPr>
        <b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Citrus x limon 'Meyer'</t>
    </r>
  </si>
  <si>
    <r>
      <t>Key Lime Tree</t>
    </r>
    <r>
      <rPr>
        <sz val="10"/>
        <color indexed="8"/>
        <rFont val="Arial"/>
        <family val="2"/>
      </rPr>
      <t xml:space="preserve"> (white)</t>
    </r>
    <r>
      <rPr>
        <b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Citrus x aurantifolia</t>
    </r>
  </si>
  <si>
    <t>8"</t>
  </si>
  <si>
    <t>Key Lime is culinary choice: higher acidity, stronger aroma, and a thinner rind than Persian Lime (Citrus latifolia)</t>
  </si>
  <si>
    <t>Meyer is not actually a lemon, but a cross of Citrus lemon and Manadarin orange. Fragrant. Fruit is sweeter and less acidic than true lemons</t>
  </si>
  <si>
    <t>6' ready May</t>
  </si>
  <si>
    <r>
      <t>Chinese Snowball Viburnum</t>
    </r>
    <r>
      <rPr>
        <sz val="10"/>
        <rFont val="Arial"/>
        <family val="2"/>
      </rPr>
      <t xml:space="preserve"> (white) </t>
    </r>
    <r>
      <rPr>
        <i/>
        <sz val="10"/>
        <rFont val="Arial"/>
        <family val="2"/>
      </rPr>
      <t>Viburnum macrocephalum</t>
    </r>
  </si>
  <si>
    <t>Chinese Snowbal has striking snowball-like clusters of flowers, up to 8" diameter. May stay evergreen in mild winters</t>
  </si>
  <si>
    <t>8' 1.5"caliper SS</t>
  </si>
  <si>
    <t>15" low supply</t>
  </si>
  <si>
    <t>ready May 15</t>
  </si>
  <si>
    <r>
      <t>Milly Rock Rose Yarrow</t>
    </r>
    <r>
      <rPr>
        <sz val="10"/>
        <color rgb="FF000000"/>
        <rFont val="Arial"/>
        <family val="2"/>
      </rPr>
      <t xml:space="preserve"> (pink) </t>
    </r>
    <r>
      <rPr>
        <i/>
        <sz val="10"/>
        <color rgb="FF000000"/>
        <rFont val="Arial"/>
        <family val="2"/>
      </rPr>
      <t>achillea millefolium PP#31620</t>
    </r>
  </si>
  <si>
    <r>
      <t>Milly Rock Red Yarrow</t>
    </r>
    <r>
      <rPr>
        <sz val="10"/>
        <color rgb="FF000000"/>
        <rFont val="Arial"/>
        <family val="2"/>
      </rPr>
      <t xml:space="preserve"> (red) </t>
    </r>
    <r>
      <rPr>
        <i/>
        <sz val="10"/>
        <color rgb="FF000000"/>
        <rFont val="Arial"/>
        <family val="2"/>
      </rPr>
      <t>achillea millefolium PP#31757</t>
    </r>
  </si>
  <si>
    <t>Milly Rock Rose, like all Yarrow, has bright foliage from late spring to fall</t>
  </si>
  <si>
    <t>Milly Rock Red, like all Yarrow, endures high heat and drought conditions, once established</t>
  </si>
  <si>
    <t xml:space="preserve"> EVERGREEN TREES ⇩</t>
  </si>
  <si>
    <t>2.5' low supply</t>
  </si>
  <si>
    <t>MS 24"</t>
  </si>
  <si>
    <t>4' MSTF</t>
  </si>
  <si>
    <t>Price it</t>
  </si>
  <si>
    <t xml:space="preserve"> Retail Price</t>
  </si>
  <si>
    <t>ready May 1</t>
  </si>
  <si>
    <t>36" ready May</t>
  </si>
  <si>
    <r>
      <t>Tropicanna</t>
    </r>
    <r>
      <rPr>
        <b/>
        <vertAlign val="superscript"/>
        <sz val="10"/>
        <color rgb="FF000000"/>
        <rFont val="Arial"/>
        <family val="2"/>
      </rPr>
      <t>®</t>
    </r>
    <r>
      <rPr>
        <b/>
        <sz val="10"/>
        <color indexed="8"/>
        <rFont val="Arial"/>
        <family val="2"/>
      </rPr>
      <t xml:space="preserve"> Gold Canna </t>
    </r>
    <r>
      <rPr>
        <sz val="10"/>
        <color rgb="FF000000"/>
        <rFont val="Arial"/>
        <family val="2"/>
      </rPr>
      <t xml:space="preserve">(orange) </t>
    </r>
    <r>
      <rPr>
        <b/>
        <sz val="10"/>
        <color rgb="FF000000"/>
        <rFont val="Arial"/>
        <family val="2"/>
      </rPr>
      <t>💧moist sites best</t>
    </r>
    <r>
      <rPr>
        <sz val="10"/>
        <color rgb="FF000000"/>
        <rFont val="Arial"/>
        <family val="2"/>
      </rPr>
      <t xml:space="preserve">  </t>
    </r>
    <r>
      <rPr>
        <i/>
        <sz val="10"/>
        <color rgb="FF000000"/>
        <rFont val="Arial"/>
        <family val="2"/>
      </rPr>
      <t>Canna x generalis 'Tropicanna Gold' PP#13809</t>
    </r>
  </si>
  <si>
    <t>Tropicanna Gold sports green and gold-striped foliage</t>
  </si>
  <si>
    <r>
      <t>Tropicanna</t>
    </r>
    <r>
      <rPr>
        <b/>
        <vertAlign val="superscript"/>
        <sz val="10"/>
        <color rgb="FF000000"/>
        <rFont val="Arial"/>
        <family val="2"/>
      </rPr>
      <t>®</t>
    </r>
    <r>
      <rPr>
        <b/>
        <sz val="10"/>
        <color indexed="8"/>
        <rFont val="Arial"/>
        <family val="2"/>
      </rPr>
      <t xml:space="preserve"> Black Canna </t>
    </r>
    <r>
      <rPr>
        <sz val="10"/>
        <color rgb="FF000000"/>
        <rFont val="Arial"/>
        <family val="2"/>
      </rPr>
      <t xml:space="preserve">(red-orange) </t>
    </r>
    <r>
      <rPr>
        <b/>
        <sz val="10"/>
        <color rgb="FF000000"/>
        <rFont val="Arial"/>
        <family val="2"/>
      </rPr>
      <t>💧moist sites best</t>
    </r>
    <r>
      <rPr>
        <sz val="10"/>
        <color rgb="FF000000"/>
        <rFont val="Arial"/>
        <family val="2"/>
      </rPr>
      <t xml:space="preserve">  </t>
    </r>
    <r>
      <rPr>
        <i/>
        <sz val="10"/>
        <color rgb="FF000000"/>
        <rFont val="Arial"/>
        <family val="2"/>
      </rPr>
      <t>Canna x generalis 'Tropicanna Black' PP#21350</t>
    </r>
  </si>
  <si>
    <t>Tropicanna Black sports dark maroon foliage</t>
  </si>
  <si>
    <r>
      <t xml:space="preserve">Black Tupelo </t>
    </r>
    <r>
      <rPr>
        <i/>
        <sz val="10"/>
        <rFont val="Arial"/>
        <family val="2"/>
      </rPr>
      <t xml:space="preserve">Nyssa sylvatica  </t>
    </r>
    <r>
      <rPr>
        <b/>
        <sz val="10"/>
        <rFont val="Arial"/>
        <family val="2"/>
      </rPr>
      <t>💧wet sites OK</t>
    </r>
  </si>
  <si>
    <r>
      <t xml:space="preserve"> Bulk Material </t>
    </r>
    <r>
      <rPr>
        <sz val="11"/>
        <color theme="1"/>
        <rFont val="Calibri"/>
        <family val="2"/>
        <scheme val="minor"/>
      </rPr>
      <t>(supplied by planter):</t>
    </r>
  </si>
  <si>
    <t>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</si>
</sst>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164" formatCode="&quot;$&quot;#,##0.00"/>
    <numFmt numFmtId="165" formatCode="0.0%"/>
    <numFmt numFmtId="166" formatCode="&quot;$&quot;#,##0"/>
    <numFmt numFmtId="167" formatCode="0.0"/>
  </numFmts>
  <fonts count="333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i/>
      <sz val="10"/>
      <color indexed="8"/>
      <name val="Arial"/>
      <family val="2"/>
    </font>
    <font>
      <b/>
      <u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name val="Calibri"/>
      <family val="2"/>
      <scheme val="minor"/>
    </font>
    <font>
      <sz val="9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499984740745262"/>
      <name val="Arial"/>
      <family val="2"/>
    </font>
    <font>
      <b/>
      <sz val="12"/>
      <color theme="1"/>
      <name val="Times New Roman"/>
      <family val="1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i/>
      <sz val="10"/>
      <name val="Arial"/>
      <family val="2"/>
    </font>
    <font>
      <sz val="10"/>
      <color theme="0"/>
      <name val="Arial"/>
      <family val="2"/>
    </font>
    <font>
      <b/>
      <i/>
      <sz val="10"/>
      <color indexed="8"/>
      <name val="Arial"/>
      <family val="2"/>
    </font>
    <font>
      <b/>
      <u/>
      <sz val="10"/>
      <color indexed="8"/>
      <name val="Arial"/>
      <family val="2"/>
    </font>
    <font>
      <sz val="11"/>
      <color theme="0"/>
      <name val="Arial"/>
      <family val="2"/>
    </font>
    <font>
      <sz val="12"/>
      <color theme="1"/>
      <name val="Times New Roman"/>
      <family val="1"/>
    </font>
    <font>
      <i/>
      <sz val="10"/>
      <name val="Arial"/>
      <family val="2"/>
    </font>
    <font>
      <sz val="9"/>
      <name val="Arial"/>
      <family val="2"/>
    </font>
    <font>
      <u/>
      <sz val="10"/>
      <color theme="0"/>
      <name val="Arial"/>
      <family val="2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Arial"/>
      <family val="2"/>
    </font>
    <font>
      <b/>
      <sz val="11"/>
      <color indexed="8"/>
      <name val="Arial"/>
      <family val="2"/>
    </font>
    <font>
      <i/>
      <sz val="10"/>
      <color theme="1"/>
      <name val="Arial"/>
      <family val="2"/>
    </font>
    <font>
      <sz val="11"/>
      <color indexed="8"/>
      <name val="Arial"/>
      <family val="2"/>
    </font>
    <font>
      <sz val="11"/>
      <color theme="2"/>
      <name val="Calibri"/>
      <family val="2"/>
      <scheme val="minor"/>
    </font>
    <font>
      <i/>
      <sz val="9"/>
      <name val="Arial"/>
      <family val="2"/>
    </font>
    <font>
      <b/>
      <sz val="10"/>
      <color rgb="FF000000"/>
      <name val="Arial"/>
      <family val="2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i/>
      <sz val="11"/>
      <color rgb="FF333333"/>
      <name val="Arial"/>
      <family val="2"/>
    </font>
    <font>
      <b/>
      <i/>
      <sz val="11"/>
      <color rgb="FF333333"/>
      <name val="Arial"/>
      <family val="2"/>
    </font>
    <font>
      <b/>
      <u/>
      <sz val="11"/>
      <color rgb="FF333333"/>
      <name val="Arial"/>
      <family val="2"/>
    </font>
    <font>
      <b/>
      <i/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u/>
      <sz val="10"/>
      <color theme="10"/>
      <name val="Arial"/>
      <family val="2"/>
    </font>
    <font>
      <sz val="11"/>
      <color rgb="FF333333"/>
      <name val="Calibri"/>
      <family val="2"/>
      <scheme val="minor"/>
    </font>
    <font>
      <i/>
      <sz val="9"/>
      <color theme="1"/>
      <name val="Arial"/>
      <family val="2"/>
    </font>
    <font>
      <i/>
      <sz val="9"/>
      <color indexed="8"/>
      <name val="Arial"/>
      <family val="2"/>
    </font>
    <font>
      <sz val="8"/>
      <color theme="1"/>
      <name val="Arial"/>
      <family val="2"/>
    </font>
    <font>
      <b/>
      <i/>
      <u/>
      <sz val="9"/>
      <color theme="10"/>
      <name val="Arial"/>
      <family val="2"/>
    </font>
    <font>
      <sz val="9"/>
      <color indexed="8"/>
      <name val="Arial"/>
      <family val="2"/>
    </font>
    <font>
      <sz val="9"/>
      <color theme="0"/>
      <name val="Arial"/>
      <family val="2"/>
    </font>
    <font>
      <b/>
      <sz val="9"/>
      <color indexed="8"/>
      <name val="Arial"/>
      <family val="2"/>
    </font>
    <font>
      <sz val="18"/>
      <color theme="6" tint="-0.249977111117893"/>
      <name val="Commons"/>
    </font>
    <font>
      <b/>
      <sz val="12"/>
      <name val="Calibri"/>
      <family val="2"/>
      <scheme val="minor"/>
    </font>
    <font>
      <b/>
      <sz val="11"/>
      <color theme="0"/>
      <name val="Arial"/>
      <family val="2"/>
    </font>
    <font>
      <b/>
      <i/>
      <sz val="9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u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9"/>
      <color rgb="FFFF0000"/>
      <name val="Arial"/>
      <family val="2"/>
    </font>
    <font>
      <b/>
      <sz val="11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"/>
      <color rgb="FF333333"/>
      <name val="Arial"/>
      <family val="2"/>
    </font>
    <font>
      <sz val="12"/>
      <name val="Commons"/>
    </font>
    <font>
      <b/>
      <sz val="8"/>
      <name val="Arial"/>
      <family val="2"/>
    </font>
    <font>
      <sz val="10.5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1"/>
      <color theme="0"/>
      <name val="Arial"/>
      <family val="2"/>
    </font>
    <font>
      <b/>
      <sz val="10"/>
      <color theme="10"/>
      <name val="Arial"/>
      <family val="2"/>
    </font>
    <font>
      <b/>
      <sz val="12"/>
      <color indexed="8"/>
      <name val="Arial"/>
      <family val="2"/>
    </font>
    <font>
      <sz val="10"/>
      <color theme="10"/>
      <name val="Arial"/>
      <family val="2"/>
    </font>
    <font>
      <b/>
      <i/>
      <sz val="11"/>
      <color theme="0"/>
      <name val="Calibri"/>
      <family val="2"/>
      <scheme val="minor"/>
    </font>
    <font>
      <b/>
      <sz val="10"/>
      <color theme="1"/>
      <name val="Gadugi"/>
      <family val="2"/>
    </font>
    <font>
      <b/>
      <sz val="12"/>
      <color theme="1"/>
      <name val="Gadugi"/>
      <family val="2"/>
    </font>
    <font>
      <b/>
      <sz val="10"/>
      <name val="Gadugi"/>
      <family val="2"/>
    </font>
    <font>
      <sz val="10"/>
      <color theme="1"/>
      <name val="Gadugi"/>
      <family val="2"/>
    </font>
    <font>
      <b/>
      <sz val="9"/>
      <color theme="1" tint="0.249977111117893"/>
      <name val="Arial"/>
      <family val="2"/>
    </font>
    <font>
      <b/>
      <sz val="10"/>
      <color rgb="FFE5E2D3"/>
      <name val="Arial"/>
      <family val="2"/>
    </font>
    <font>
      <b/>
      <sz val="10"/>
      <color indexed="8"/>
      <name val="Gadugi"/>
      <family val="2"/>
    </font>
    <font>
      <sz val="16"/>
      <color theme="0"/>
      <name val="Impact"/>
      <family val="2"/>
    </font>
    <font>
      <b/>
      <sz val="10"/>
      <color rgb="FF1A5917"/>
      <name val="Arial"/>
      <family val="2"/>
    </font>
    <font>
      <i/>
      <sz val="9"/>
      <color theme="1" tint="0.34998626667073579"/>
      <name val="Arial"/>
      <family val="2"/>
    </font>
    <font>
      <i/>
      <sz val="10"/>
      <color theme="10"/>
      <name val="Arial"/>
      <family val="2"/>
    </font>
    <font>
      <i/>
      <sz val="9"/>
      <color theme="10"/>
      <name val="Arial"/>
      <family val="2"/>
    </font>
    <font>
      <b/>
      <sz val="10"/>
      <color theme="0"/>
      <name val="Arial"/>
      <family val="2"/>
    </font>
    <font>
      <sz val="10"/>
      <color indexed="8"/>
      <name val="Gadugi"/>
      <family val="2"/>
    </font>
    <font>
      <i/>
      <sz val="10"/>
      <color indexed="8"/>
      <name val="Gadugi"/>
      <family val="2"/>
    </font>
    <font>
      <sz val="10"/>
      <name val="Gadugi"/>
      <family val="2"/>
    </font>
    <font>
      <b/>
      <i/>
      <sz val="9"/>
      <color indexed="8"/>
      <name val="Arial"/>
      <family val="2"/>
    </font>
    <font>
      <b/>
      <sz val="10"/>
      <color theme="1" tint="4.9989318521683403E-2"/>
      <name val="Arial"/>
      <family val="2"/>
    </font>
    <font>
      <b/>
      <sz val="10"/>
      <color theme="0"/>
      <name val="Gadugi"/>
      <family val="2"/>
    </font>
    <font>
      <b/>
      <sz val="11"/>
      <color theme="1"/>
      <name val="Gadugi"/>
      <family val="2"/>
    </font>
    <font>
      <b/>
      <sz val="12"/>
      <name val="Gadugi"/>
      <family val="2"/>
    </font>
    <font>
      <sz val="14"/>
      <color theme="0"/>
      <name val="Segoe UI Black"/>
      <family val="2"/>
    </font>
    <font>
      <sz val="9"/>
      <color theme="1"/>
      <name val="Calibri"/>
      <family val="2"/>
      <scheme val="minor"/>
    </font>
    <font>
      <i/>
      <u/>
      <sz val="10"/>
      <color theme="10"/>
      <name val="Arial"/>
      <family val="2"/>
    </font>
    <font>
      <b/>
      <i/>
      <sz val="10"/>
      <color indexed="8"/>
      <name val="Gadugi"/>
      <family val="2"/>
    </font>
    <font>
      <b/>
      <sz val="9"/>
      <name val="Calibri"/>
      <family val="2"/>
      <scheme val="minor"/>
    </font>
    <font>
      <b/>
      <sz val="14.5"/>
      <color theme="0"/>
      <name val="Calibri"/>
      <family val="2"/>
      <scheme val="minor"/>
    </font>
    <font>
      <b/>
      <u/>
      <sz val="9"/>
      <color theme="10"/>
      <name val="Arial"/>
      <family val="2"/>
    </font>
    <font>
      <b/>
      <sz val="11.5"/>
      <color theme="1"/>
      <name val="Arial"/>
      <family val="2"/>
    </font>
    <font>
      <b/>
      <sz val="10.5"/>
      <name val="Gadugi"/>
      <family val="2"/>
    </font>
    <font>
      <b/>
      <sz val="14.5"/>
      <color theme="5" tint="0.79998168889431442"/>
      <name val="Calibri"/>
      <family val="2"/>
      <scheme val="minor"/>
    </font>
    <font>
      <sz val="11"/>
      <color theme="1"/>
      <name val="Gadugi"/>
      <family val="2"/>
    </font>
    <font>
      <vertAlign val="superscript"/>
      <sz val="10"/>
      <name val="Arial"/>
      <family val="2"/>
    </font>
    <font>
      <vertAlign val="superscript"/>
      <sz val="10"/>
      <color indexed="8"/>
      <name val="Arial"/>
      <family val="2"/>
    </font>
    <font>
      <vertAlign val="superscript"/>
      <sz val="10"/>
      <color theme="1"/>
      <name val="Arial"/>
      <family val="2"/>
    </font>
    <font>
      <i/>
      <vertAlign val="superscript"/>
      <sz val="10"/>
      <name val="Arial"/>
      <family val="2"/>
    </font>
    <font>
      <b/>
      <sz val="12.5"/>
      <color rgb="FF298022"/>
      <name val="Calibri"/>
      <family val="2"/>
      <scheme val="minor"/>
    </font>
    <font>
      <b/>
      <sz val="10.5"/>
      <name val="Calibri"/>
      <family val="2"/>
      <scheme val="minor"/>
    </font>
    <font>
      <b/>
      <sz val="9.5"/>
      <color theme="0"/>
      <name val="Arial"/>
      <family val="2"/>
    </font>
    <font>
      <b/>
      <sz val="18"/>
      <color rgb="FF2F9527"/>
      <name val="Calibri"/>
      <family val="2"/>
      <scheme val="minor"/>
    </font>
    <font>
      <b/>
      <sz val="14.5"/>
      <color theme="10"/>
      <name val="Calibri"/>
      <family val="2"/>
      <scheme val="minor"/>
    </font>
    <font>
      <b/>
      <sz val="14.5"/>
      <color theme="6" tint="0.39997558519241921"/>
      <name val="Calibri"/>
      <family val="2"/>
      <scheme val="minor"/>
    </font>
    <font>
      <sz val="11"/>
      <color rgb="FFE5E2D3"/>
      <name val="Calibri"/>
      <family val="2"/>
      <scheme val="minor"/>
    </font>
    <font>
      <i/>
      <sz val="9"/>
      <color rgb="FFE5E2D3"/>
      <name val="Calibri"/>
      <family val="2"/>
      <scheme val="minor"/>
    </font>
    <font>
      <sz val="10"/>
      <color theme="1" tint="0.249977111117893"/>
      <name val="Arial"/>
      <family val="2"/>
    </font>
    <font>
      <i/>
      <sz val="10"/>
      <color indexed="8"/>
      <name val="Calibri"/>
      <family val="2"/>
      <scheme val="minor"/>
    </font>
    <font>
      <b/>
      <sz val="10.5"/>
      <color theme="1"/>
      <name val="Arial"/>
      <family val="2"/>
    </font>
    <font>
      <b/>
      <u/>
      <sz val="10.5"/>
      <color theme="10"/>
      <name val="Arial"/>
      <family val="2"/>
    </font>
    <font>
      <sz val="9.5"/>
      <name val="Arial"/>
      <family val="2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b/>
      <vertAlign val="superscript"/>
      <sz val="10"/>
      <color indexed="8"/>
      <name val="Arial"/>
      <family val="2"/>
    </font>
    <font>
      <i/>
      <sz val="10"/>
      <color rgb="FF000000"/>
      <name val="Arial"/>
      <family val="2"/>
    </font>
    <font>
      <b/>
      <sz val="10.5"/>
      <color theme="1"/>
      <name val="Gadugi"/>
      <family val="2"/>
    </font>
    <font>
      <b/>
      <sz val="9"/>
      <color theme="1"/>
      <name val="Gadugi"/>
      <family val="2"/>
    </font>
    <font>
      <sz val="10"/>
      <color rgb="FF000000"/>
      <name val="Arial"/>
      <family val="2"/>
    </font>
    <font>
      <b/>
      <i/>
      <u/>
      <sz val="10"/>
      <color theme="10"/>
      <name val="Arial"/>
      <family val="2"/>
    </font>
    <font>
      <b/>
      <vertAlign val="superscript"/>
      <sz val="10"/>
      <name val="Arial"/>
      <family val="2"/>
    </font>
    <font>
      <i/>
      <vertAlign val="superscript"/>
      <sz val="10"/>
      <color rgb="FF000000"/>
      <name val="Arial"/>
      <family val="2"/>
    </font>
    <font>
      <b/>
      <vertAlign val="superscript"/>
      <sz val="10"/>
      <color rgb="FF000000"/>
      <name val="Arial"/>
      <family val="2"/>
    </font>
    <font>
      <sz val="11"/>
      <color theme="1"/>
      <name val="Calibri"/>
      <family val="2"/>
    </font>
    <font>
      <b/>
      <sz val="14.5"/>
      <color theme="5" tint="0.59999389629810485"/>
      <name val="Calibri"/>
      <family val="2"/>
      <scheme val="minor"/>
    </font>
    <font>
      <b/>
      <sz val="14.5"/>
      <color theme="2"/>
      <name val="Calibri"/>
      <family val="2"/>
      <scheme val="minor"/>
    </font>
    <font>
      <b/>
      <sz val="15"/>
      <color theme="1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1"/>
      <name val="Calibri"/>
      <family val="2"/>
    </font>
    <font>
      <b/>
      <sz val="10"/>
      <color rgb="FF000000"/>
      <name val="Gadugi"/>
      <family val="2"/>
    </font>
    <font>
      <b/>
      <sz val="9"/>
      <color rgb="FF1A5917"/>
      <name val="Arial"/>
      <family val="2"/>
    </font>
    <font>
      <b/>
      <i/>
      <sz val="11"/>
      <color rgb="FFF0EA0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i/>
      <sz val="11"/>
      <color rgb="FFF0EA00"/>
      <name val="Calibri"/>
      <family val="2"/>
    </font>
    <font>
      <sz val="10"/>
      <color rgb="FF122B4A"/>
      <name val="Arial"/>
      <family val="2"/>
    </font>
    <font>
      <sz val="11"/>
      <color rgb="FF122B4A"/>
      <name val="Calibri"/>
      <family val="2"/>
      <scheme val="minor"/>
    </font>
    <font>
      <i/>
      <sz val="9"/>
      <color rgb="FF122B4A"/>
      <name val="Arial"/>
      <family val="2"/>
    </font>
    <font>
      <b/>
      <sz val="8"/>
      <color theme="1"/>
      <name val="Arial"/>
      <family val="2"/>
    </font>
    <font>
      <b/>
      <sz val="14.5"/>
      <color theme="7" tint="0.59999389629810485"/>
      <name val="Calibri"/>
      <family val="2"/>
      <scheme val="minor"/>
    </font>
    <font>
      <b/>
      <sz val="14.5"/>
      <color rgb="FFE5E2D3"/>
      <name val="Calibri"/>
      <family val="2"/>
      <scheme val="minor"/>
    </font>
    <font>
      <b/>
      <sz val="10.5"/>
      <color rgb="FF4D0E5E"/>
      <name val="Calibri"/>
      <family val="2"/>
    </font>
    <font>
      <b/>
      <sz val="11"/>
      <color theme="1"/>
      <name val="Calibri"/>
      <family val="2"/>
    </font>
    <font>
      <b/>
      <i/>
      <sz val="10"/>
      <color rgb="FF461E64"/>
      <name val="Arial"/>
      <family val="2"/>
    </font>
    <font>
      <b/>
      <i/>
      <sz val="10.5"/>
      <color rgb="FF461E64"/>
      <name val="Arial"/>
      <family val="2"/>
    </font>
    <font>
      <b/>
      <i/>
      <sz val="10"/>
      <color theme="1"/>
      <name val="Calibri"/>
      <family val="2"/>
      <scheme val="minor"/>
    </font>
    <font>
      <sz val="10"/>
      <color theme="3" tint="-0.499984740745262"/>
      <name val="Arial"/>
      <family val="2"/>
    </font>
    <font>
      <sz val="12"/>
      <color rgb="FFFFFF00"/>
      <name val="Calibri"/>
      <family val="2"/>
      <scheme val="minor"/>
    </font>
    <font>
      <sz val="12"/>
      <color rgb="FFFF9900"/>
      <name val="Calibri"/>
      <family val="2"/>
      <scheme val="minor"/>
    </font>
    <font>
      <sz val="11"/>
      <color rgb="FFFFCC00"/>
      <name val="Calibri"/>
      <family val="2"/>
      <scheme val="minor"/>
    </font>
    <font>
      <sz val="10"/>
      <color theme="1"/>
      <name val="Calibri"/>
      <family val="2"/>
    </font>
    <font>
      <sz val="12"/>
      <color rgb="FFFFFF00"/>
      <name val="Calibri"/>
      <family val="2"/>
    </font>
    <font>
      <sz val="10.5"/>
      <color theme="1"/>
      <name val="Calibri"/>
      <family val="2"/>
    </font>
    <font>
      <sz val="10.5"/>
      <name val="Calibri"/>
      <family val="2"/>
      <scheme val="minor"/>
    </font>
    <font>
      <b/>
      <sz val="11"/>
      <color theme="5" tint="-0.249977111117893"/>
      <name val="Arial"/>
      <family val="2"/>
    </font>
    <font>
      <sz val="11"/>
      <color theme="5" tint="-0.249977111117893"/>
      <name val="Arial"/>
      <family val="2"/>
    </font>
    <font>
      <b/>
      <sz val="12"/>
      <color theme="3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3"/>
      <color rgb="FF9900FF"/>
      <name val="Calibri"/>
      <family val="2"/>
      <scheme val="minor"/>
    </font>
    <font>
      <b/>
      <sz val="11"/>
      <color rgb="FF9900FF"/>
      <name val="Calibri"/>
      <family val="2"/>
      <scheme val="minor"/>
    </font>
    <font>
      <b/>
      <sz val="10"/>
      <color rgb="FF9900FF"/>
      <name val="Arial"/>
      <family val="2"/>
    </font>
    <font>
      <b/>
      <i/>
      <sz val="10"/>
      <color rgb="FF9900FF"/>
      <name val="Arial"/>
      <family val="2"/>
    </font>
    <font>
      <b/>
      <i/>
      <sz val="9"/>
      <color rgb="FF9900FF"/>
      <name val="Arial"/>
      <family val="2"/>
    </font>
    <font>
      <b/>
      <sz val="11"/>
      <color rgb="FF9900FF"/>
      <name val="Arial"/>
      <family val="2"/>
    </font>
    <font>
      <b/>
      <sz val="10"/>
      <color rgb="FF9900FF"/>
      <name val="Gadugi"/>
      <family val="2"/>
    </font>
    <font>
      <b/>
      <sz val="11"/>
      <color rgb="FF9900FF"/>
      <name val="Gadugi"/>
      <family val="2"/>
    </font>
    <font>
      <b/>
      <u/>
      <sz val="10"/>
      <color rgb="FF0000FF"/>
      <name val="Arial"/>
      <family val="2"/>
    </font>
    <font>
      <sz val="10.5"/>
      <color theme="0"/>
      <name val="Bahnschrift SemiBold SemiConden"/>
      <family val="2"/>
    </font>
    <font>
      <b/>
      <sz val="10"/>
      <color rgb="FF9900FF"/>
      <name val="Calibri"/>
      <family val="2"/>
      <scheme val="minor"/>
    </font>
    <font>
      <b/>
      <sz val="10"/>
      <color rgb="FF6D33C3"/>
      <name val="Arial"/>
      <family val="2"/>
    </font>
    <font>
      <b/>
      <sz val="10"/>
      <color rgb="FF0000FF"/>
      <name val="Arial"/>
      <family val="2"/>
    </font>
    <font>
      <i/>
      <sz val="10"/>
      <color theme="1"/>
      <name val="Calibri"/>
      <family val="2"/>
    </font>
    <font>
      <b/>
      <i/>
      <sz val="9.5"/>
      <color rgb="FF601175"/>
      <name val="Calibri"/>
      <family val="2"/>
      <scheme val="minor"/>
    </font>
    <font>
      <b/>
      <sz val="8"/>
      <color theme="5" tint="-0.249977111117893"/>
      <name val="Bahnschrift SemiBold SemiConden"/>
      <family val="2"/>
    </font>
    <font>
      <b/>
      <sz val="9.5"/>
      <color theme="0"/>
      <name val="Calibri"/>
      <family val="2"/>
      <scheme val="minor"/>
    </font>
    <font>
      <b/>
      <sz val="11"/>
      <color rgb="FF006600"/>
      <name val="Calibri"/>
      <family val="2"/>
      <scheme val="minor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b/>
      <sz val="11"/>
      <color rgb="FFE7199D"/>
      <name val="Calibri"/>
      <family val="2"/>
      <scheme val="minor"/>
    </font>
    <font>
      <sz val="12"/>
      <color theme="5" tint="-0.249977111117893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2"/>
      <color rgb="FFFFFF11"/>
      <name val="Calibri"/>
      <family val="2"/>
      <scheme val="minor"/>
    </font>
    <font>
      <b/>
      <sz val="11"/>
      <color rgb="FFCA6664"/>
      <name val="Arial"/>
      <family val="2"/>
    </font>
    <font>
      <sz val="11"/>
      <color rgb="FFCA6664"/>
      <name val="Arial"/>
      <family val="2"/>
    </font>
    <font>
      <sz val="9"/>
      <color rgb="FFCA6664"/>
      <name val="Arial"/>
      <family val="2"/>
    </font>
    <font>
      <b/>
      <sz val="10"/>
      <name val="Calibri"/>
      <family val="2"/>
    </font>
    <font>
      <sz val="12"/>
      <color rgb="FFE26B0A"/>
      <name val="Calibri"/>
      <family val="2"/>
      <scheme val="minor"/>
    </font>
    <font>
      <b/>
      <sz val="8"/>
      <color theme="1"/>
      <name val="Gadugi"/>
      <family val="2"/>
    </font>
    <font>
      <sz val="8"/>
      <color theme="1"/>
      <name val="Gadugi"/>
      <family val="2"/>
    </font>
    <font>
      <b/>
      <sz val="10.5"/>
      <name val="Arial"/>
      <family val="2"/>
    </font>
    <font>
      <b/>
      <i/>
      <sz val="11"/>
      <color theme="1" tint="4.9989318521683403E-2"/>
      <name val="Calibri"/>
      <family val="2"/>
      <scheme val="minor"/>
    </font>
    <font>
      <sz val="10"/>
      <color rgb="FF08CE53"/>
      <name val="Arial"/>
      <family val="2"/>
    </font>
    <font>
      <b/>
      <sz val="10"/>
      <color rgb="FFE5E2D3"/>
      <name val="Gadugi"/>
      <family val="2"/>
    </font>
    <font>
      <sz val="10"/>
      <color rgb="FF215967"/>
      <name val="Arial"/>
      <family val="2"/>
    </font>
    <font>
      <sz val="11"/>
      <color theme="8" tint="-0.499984740745262"/>
      <name val="Arial"/>
      <family val="2"/>
    </font>
    <font>
      <sz val="12"/>
      <color theme="3" tint="-0.249977111117893"/>
      <name val="Arial"/>
      <family val="2"/>
    </font>
    <font>
      <sz val="11"/>
      <color theme="3" tint="-0.249977111117893"/>
      <name val="Arial"/>
      <family val="2"/>
    </font>
    <font>
      <sz val="12"/>
      <color theme="3" tint="0.39997558519241921"/>
      <name val="Arial"/>
      <family val="2"/>
    </font>
    <font>
      <sz val="12"/>
      <color theme="3" tint="-0.249977111117893"/>
      <name val="Calibri"/>
      <family val="2"/>
      <scheme val="minor"/>
    </font>
    <font>
      <b/>
      <sz val="11"/>
      <color rgb="FF963634"/>
      <name val="Arial"/>
      <family val="2"/>
    </font>
    <font>
      <sz val="10"/>
      <color rgb="FF0C7A86"/>
      <name val="Arial"/>
      <family val="2"/>
    </font>
    <font>
      <b/>
      <i/>
      <sz val="10"/>
      <color rgb="FF000000"/>
      <name val="Calibri"/>
      <family val="2"/>
      <scheme val="minor"/>
    </font>
    <font>
      <b/>
      <i/>
      <sz val="14"/>
      <color rgb="FF66FFFF"/>
      <name val="Calibri"/>
      <family val="2"/>
      <scheme val="minor"/>
    </font>
    <font>
      <i/>
      <sz val="8"/>
      <color rgb="FF66FFFF"/>
      <name val="Calibri"/>
      <family val="2"/>
      <scheme val="minor"/>
    </font>
    <font>
      <i/>
      <sz val="11.5"/>
      <color theme="1"/>
      <name val="Calibri"/>
      <family val="2"/>
      <scheme val="minor"/>
    </font>
    <font>
      <b/>
      <u/>
      <sz val="12"/>
      <color theme="10"/>
      <name val="Arial"/>
      <family val="2"/>
    </font>
    <font>
      <b/>
      <sz val="12"/>
      <color theme="0"/>
      <name val="Arial"/>
      <family val="2"/>
    </font>
    <font>
      <b/>
      <i/>
      <sz val="12"/>
      <color theme="1"/>
      <name val="Arial"/>
      <family val="2"/>
    </font>
    <font>
      <b/>
      <sz val="12"/>
      <name val="Arial"/>
      <family val="2"/>
    </font>
    <font>
      <b/>
      <sz val="9.5"/>
      <color theme="1"/>
      <name val="Gadugi"/>
      <family val="2"/>
    </font>
    <font>
      <sz val="12"/>
      <color theme="0"/>
      <name val="Trade Gothic Next HvyCd"/>
      <family val="2"/>
    </font>
    <font>
      <b/>
      <sz val="10"/>
      <color theme="0"/>
      <name val="Trade Gothic Next HvyCd"/>
      <family val="2"/>
    </font>
    <font>
      <b/>
      <sz val="10.5"/>
      <color theme="0"/>
      <name val="Trade Gothic Next HvyCd"/>
      <family val="2"/>
    </font>
    <font>
      <sz val="9.5"/>
      <color theme="1"/>
      <name val="Gadugi"/>
      <family val="2"/>
    </font>
    <font>
      <b/>
      <sz val="11"/>
      <color rgb="FFE5E2D3"/>
      <name val="Calibri"/>
      <family val="2"/>
      <scheme val="minor"/>
    </font>
    <font>
      <i/>
      <sz val="9"/>
      <color rgb="FF000000"/>
      <name val="Arial"/>
      <family val="2"/>
    </font>
    <font>
      <b/>
      <sz val="10"/>
      <color theme="9" tint="-0.499984740745262"/>
      <name val="Gadugi"/>
      <family val="2"/>
    </font>
    <font>
      <sz val="10"/>
      <color theme="0"/>
      <name val="Segoe UI Black"/>
      <family val="2"/>
    </font>
    <font>
      <b/>
      <sz val="9.5"/>
      <color indexed="8"/>
      <name val="Gadugi"/>
      <family val="2"/>
    </font>
    <font>
      <b/>
      <i/>
      <sz val="9.5"/>
      <color theme="1"/>
      <name val="Gadugi"/>
      <family val="2"/>
    </font>
    <font>
      <b/>
      <sz val="9.5"/>
      <name val="Gadugi"/>
      <family val="2"/>
    </font>
    <font>
      <b/>
      <sz val="10"/>
      <color rgb="FF8C3FC5"/>
      <name val="Gadugi"/>
      <family val="2"/>
    </font>
    <font>
      <i/>
      <sz val="9"/>
      <color theme="1"/>
      <name val="Gadugi"/>
      <family val="2"/>
    </font>
    <font>
      <sz val="9"/>
      <name val="Gadugi"/>
      <family val="2"/>
    </font>
    <font>
      <sz val="10"/>
      <color theme="10"/>
      <name val="Gadugi"/>
      <family val="2"/>
    </font>
    <font>
      <b/>
      <i/>
      <sz val="11"/>
      <color theme="0"/>
      <name val="Gadugi"/>
      <family val="2"/>
    </font>
    <font>
      <b/>
      <sz val="10.5"/>
      <color rgb="FF004C00"/>
      <name val="Gadugi"/>
      <family val="2"/>
    </font>
    <font>
      <i/>
      <sz val="8.5"/>
      <color theme="1"/>
      <name val="Gadugi"/>
      <family val="2"/>
    </font>
    <font>
      <b/>
      <sz val="12"/>
      <color rgb="FFFC0CEB"/>
      <name val="Calibri"/>
      <family val="2"/>
      <scheme val="minor"/>
    </font>
    <font>
      <b/>
      <i/>
      <sz val="8.5"/>
      <color theme="1"/>
      <name val="Gadugi"/>
      <family val="2"/>
    </font>
    <font>
      <b/>
      <sz val="8.5"/>
      <color theme="1"/>
      <name val="Gadugi"/>
      <family val="2"/>
    </font>
    <font>
      <b/>
      <sz val="12.5"/>
      <color theme="1"/>
      <name val="Calibri"/>
      <family val="2"/>
      <scheme val="minor"/>
    </font>
    <font>
      <b/>
      <sz val="10.5"/>
      <color indexed="8"/>
      <name val="Gadugi"/>
      <family val="2"/>
    </font>
    <font>
      <b/>
      <sz val="10.5"/>
      <color theme="9" tint="-0.499984740745262"/>
      <name val="Gadugi"/>
      <family val="2"/>
    </font>
    <font>
      <b/>
      <sz val="10.5"/>
      <color rgb="FF9900FF"/>
      <name val="Gadugi"/>
      <family val="2"/>
    </font>
    <font>
      <sz val="16"/>
      <color theme="1"/>
      <name val="Calibri"/>
      <family val="2"/>
      <scheme val="minor"/>
    </font>
    <font>
      <i/>
      <sz val="10.5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Gadugi"/>
      <family val="2"/>
    </font>
    <font>
      <b/>
      <sz val="10"/>
      <color theme="1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b/>
      <sz val="9"/>
      <color rgb="FFFF0000"/>
      <name val="Gadugi"/>
      <family val="2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</font>
    <font>
      <b/>
      <sz val="12"/>
      <color rgb="FFFF0000"/>
      <name val="Calibri"/>
      <family val="2"/>
    </font>
    <font>
      <sz val="11"/>
      <name val="Calibri"/>
      <family val="2"/>
    </font>
    <font>
      <b/>
      <sz val="11"/>
      <color rgb="FF5D5835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0"/>
      <name val="Trade Gothic Next HvyCd"/>
      <family val="2"/>
    </font>
    <font>
      <b/>
      <i/>
      <sz val="9"/>
      <color theme="10"/>
      <name val="Arial"/>
      <family val="2"/>
    </font>
    <font>
      <b/>
      <sz val="10"/>
      <color rgb="FF3333FF"/>
      <name val="Arial"/>
      <family val="2"/>
    </font>
    <font>
      <b/>
      <sz val="9.5"/>
      <color theme="5" tint="-0.249977111117893"/>
      <name val="Arial"/>
      <family val="2"/>
    </font>
    <font>
      <b/>
      <sz val="10.5"/>
      <color indexed="8"/>
      <name val="Calibri"/>
      <family val="2"/>
    </font>
    <font>
      <b/>
      <sz val="9"/>
      <color rgb="FF57426E"/>
      <name val="Arial"/>
      <family val="2"/>
    </font>
    <font>
      <b/>
      <sz val="9.5"/>
      <color rgb="FF57426E"/>
      <name val="Arial"/>
      <family val="2"/>
    </font>
    <font>
      <b/>
      <sz val="10"/>
      <color rgb="FF57426E"/>
      <name val="Arial"/>
      <family val="2"/>
    </font>
    <font>
      <sz val="9.5"/>
      <color rgb="FF57426E"/>
      <name val="Arial"/>
      <family val="2"/>
    </font>
    <font>
      <i/>
      <sz val="9"/>
      <color rgb="FF57426E"/>
      <name val="Arial"/>
      <family val="2"/>
    </font>
    <font>
      <sz val="10"/>
      <color rgb="FF57426E"/>
      <name val="Arial"/>
      <family val="2"/>
    </font>
    <font>
      <b/>
      <sz val="11"/>
      <color rgb="FF57426E"/>
      <name val="Arial"/>
      <family val="2"/>
    </font>
    <font>
      <b/>
      <sz val="9.5"/>
      <color rgb="FF963634"/>
      <name val="Arial"/>
      <family val="2"/>
    </font>
    <font>
      <sz val="10"/>
      <color rgb="FF963634"/>
      <name val="Arial"/>
      <family val="2"/>
    </font>
    <font>
      <b/>
      <sz val="12"/>
      <name val="Calibri"/>
      <family val="2"/>
    </font>
    <font>
      <b/>
      <sz val="10.5"/>
      <color theme="10"/>
      <name val="Calibri"/>
      <family val="2"/>
    </font>
    <font>
      <b/>
      <i/>
      <sz val="9.5"/>
      <color theme="10"/>
      <name val="Gadugi"/>
      <family val="2"/>
    </font>
    <font>
      <b/>
      <sz val="9"/>
      <color rgb="FF5D5835"/>
      <name val="Arial"/>
      <family val="2"/>
    </font>
    <font>
      <b/>
      <sz val="10.5"/>
      <color rgb="FFFFFFCC"/>
      <name val="Calibri"/>
      <family val="2"/>
      <scheme val="minor"/>
    </font>
    <font>
      <b/>
      <sz val="11"/>
      <color theme="1" tint="4.9989318521683403E-2"/>
      <name val="Calibri"/>
      <family val="2"/>
      <scheme val="minor"/>
    </font>
    <font>
      <sz val="9"/>
      <color theme="1"/>
      <name val="Gadugi"/>
      <family val="2"/>
    </font>
    <font>
      <b/>
      <sz val="11"/>
      <color rgb="FF963634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9.5"/>
      <color theme="9" tint="-0.249977111117893"/>
      <name val="Calibri"/>
      <family val="2"/>
    </font>
    <font>
      <b/>
      <sz val="10.5"/>
      <color rgb="FFE26B0A"/>
      <name val="Gadugi"/>
      <family val="2"/>
    </font>
    <font>
      <b/>
      <sz val="10"/>
      <color theme="9" tint="-0.249977111117893"/>
      <name val="Gadugi"/>
      <family val="2"/>
    </font>
    <font>
      <i/>
      <sz val="10.5"/>
      <color theme="1"/>
      <name val="Calibri"/>
      <family val="2"/>
      <scheme val="minor"/>
    </font>
    <font>
      <i/>
      <sz val="9"/>
      <color theme="0"/>
      <name val="Arial"/>
      <family val="2"/>
    </font>
    <font>
      <b/>
      <i/>
      <sz val="9"/>
      <color theme="0"/>
      <name val="Arial"/>
      <family val="2"/>
    </font>
    <font>
      <b/>
      <i/>
      <sz val="10"/>
      <color rgb="FF000000"/>
      <name val="Arial"/>
      <family val="2"/>
    </font>
    <font>
      <i/>
      <sz val="10"/>
      <color theme="1" tint="0.249977111117893"/>
      <name val="Arial"/>
      <family val="2"/>
    </font>
    <font>
      <b/>
      <i/>
      <sz val="10"/>
      <color theme="10"/>
      <name val="Arial"/>
      <family val="2"/>
    </font>
    <font>
      <b/>
      <sz val="12"/>
      <color theme="1"/>
      <name val="Bodoni MT"/>
      <family val="1"/>
    </font>
    <font>
      <vertAlign val="superscript"/>
      <sz val="10"/>
      <color rgb="FF000000"/>
      <name val="Arial"/>
      <family val="2"/>
    </font>
    <font>
      <b/>
      <i/>
      <sz val="9"/>
      <color theme="6" tint="-0.249977111117893"/>
      <name val="Gadugi"/>
      <family val="2"/>
    </font>
    <font>
      <sz val="13"/>
      <color theme="0"/>
      <name val="Calibri"/>
      <family val="2"/>
      <scheme val="minor"/>
    </font>
    <font>
      <b/>
      <sz val="10"/>
      <color rgb="FF9900FF"/>
      <name val="Bahnschrift SemiCondensed"/>
      <family val="2"/>
    </font>
    <font>
      <b/>
      <sz val="10.5"/>
      <color rgb="FF9900FF"/>
      <name val="Bahnschrift SemiCondensed"/>
      <family val="2"/>
    </font>
    <font>
      <b/>
      <sz val="9.5"/>
      <color rgb="FF9900FF"/>
      <name val="Gadugi"/>
      <family val="2"/>
    </font>
    <font>
      <b/>
      <sz val="9"/>
      <color rgb="FF9900FF"/>
      <name val="Arial"/>
      <family val="2"/>
    </font>
    <font>
      <sz val="11"/>
      <color rgb="FF9900FF"/>
      <name val="Calibri"/>
      <family val="2"/>
      <scheme val="minor"/>
    </font>
    <font>
      <b/>
      <u/>
      <sz val="10"/>
      <color rgb="FF9900FF"/>
      <name val="Arial"/>
      <family val="2"/>
    </font>
    <font>
      <sz val="11"/>
      <color rgb="FF9900FF"/>
      <name val="Arial"/>
      <family val="2"/>
    </font>
    <font>
      <b/>
      <u/>
      <sz val="11"/>
      <color rgb="FF9900FF"/>
      <name val="Arial"/>
      <family val="2"/>
    </font>
    <font>
      <sz val="10"/>
      <color rgb="FF9900FF"/>
      <name val="Gadugi"/>
      <family val="2"/>
    </font>
    <font>
      <sz val="11"/>
      <color rgb="FF9900FF"/>
      <name val="Gadugi"/>
      <family val="2"/>
    </font>
    <font>
      <sz val="10"/>
      <color rgb="FF9900FF"/>
      <name val="Arial"/>
      <family val="2"/>
    </font>
    <font>
      <b/>
      <sz val="11"/>
      <name val="Arial"/>
      <family val="2"/>
    </font>
    <font>
      <b/>
      <i/>
      <sz val="9.5"/>
      <name val="Gadugi"/>
      <family val="2"/>
    </font>
    <font>
      <b/>
      <sz val="10"/>
      <color theme="1"/>
      <name val="Bahnschrift SemiCondensed"/>
      <family val="2"/>
    </font>
    <font>
      <sz val="10.5"/>
      <color theme="1"/>
      <name val="Gadugi"/>
      <family val="2"/>
    </font>
    <font>
      <b/>
      <sz val="10"/>
      <color rgb="FFE7199D"/>
      <name val="Gadugi"/>
      <family val="2"/>
    </font>
    <font>
      <b/>
      <i/>
      <sz val="10"/>
      <name val="Calibri"/>
      <family val="2"/>
    </font>
    <font>
      <i/>
      <sz val="10"/>
      <name val="Calibri"/>
      <family val="2"/>
    </font>
    <font>
      <i/>
      <sz val="9"/>
      <color theme="3" tint="-0.499984740745262"/>
      <name val="Arial"/>
      <family val="2"/>
    </font>
    <font>
      <b/>
      <sz val="10"/>
      <color rgb="FFFF0000"/>
      <name val="Calibri"/>
      <family val="2"/>
      <scheme val="minor"/>
    </font>
    <font>
      <b/>
      <sz val="10.5"/>
      <color theme="0"/>
      <name val="Arial"/>
      <family val="2"/>
    </font>
    <font>
      <b/>
      <u/>
      <sz val="12"/>
      <color theme="0"/>
      <name val="Arial"/>
      <family val="2"/>
    </font>
    <font>
      <b/>
      <u/>
      <sz val="11"/>
      <color theme="0"/>
      <name val="Arial"/>
      <family val="2"/>
    </font>
    <font>
      <b/>
      <u/>
      <sz val="10"/>
      <color theme="0"/>
      <name val="Arial"/>
      <family val="2"/>
    </font>
    <font>
      <b/>
      <sz val="11.5"/>
      <color theme="0"/>
      <name val="Arial"/>
      <family val="2"/>
    </font>
    <font>
      <b/>
      <sz val="10"/>
      <color rgb="FFFF0000"/>
      <name val="Arial"/>
      <family val="2"/>
    </font>
    <font>
      <b/>
      <i/>
      <sz val="10"/>
      <color rgb="FF601175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8F5F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FF7F4"/>
        <bgColor indexed="64"/>
      </patternFill>
    </fill>
    <fill>
      <patternFill patternType="solid">
        <fgColor rgb="FFF4F4D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5E2D3"/>
        <bgColor indexed="64"/>
      </patternFill>
    </fill>
    <fill>
      <patternFill patternType="solid">
        <fgColor rgb="FF4A5D86"/>
        <bgColor indexed="64"/>
      </patternFill>
    </fill>
    <fill>
      <patternFill patternType="solid">
        <fgColor rgb="FF5D5835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1FBFA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4F6228"/>
        <bgColor indexed="64"/>
      </patternFill>
    </fill>
    <fill>
      <patternFill patternType="solid">
        <fgColor rgb="FF6C5288"/>
        <bgColor indexed="64"/>
      </patternFill>
    </fill>
    <fill>
      <patternFill patternType="solid">
        <fgColor rgb="FF886EAA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225222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4C00"/>
        <bgColor indexed="64"/>
      </patternFill>
    </fill>
    <fill>
      <patternFill patternType="solid">
        <fgColor rgb="FF632523"/>
        <bgColor indexed="64"/>
      </patternFill>
    </fill>
    <fill>
      <patternFill patternType="solid">
        <fgColor rgb="FF244062"/>
        <bgColor indexed="64"/>
      </patternFill>
    </fill>
    <fill>
      <patternFill patternType="solid">
        <fgColor rgb="FF40315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F6F6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FAF1F0"/>
        <bgColor indexed="64"/>
      </patternFill>
    </fill>
    <fill>
      <patternFill patternType="solid">
        <fgColor rgb="FFE7E6FE"/>
        <bgColor indexed="64"/>
      </patternFill>
    </fill>
    <fill>
      <patternFill patternType="solid">
        <fgColor rgb="FFEBF1AF"/>
        <bgColor indexed="64"/>
      </patternFill>
    </fill>
    <fill>
      <patternFill patternType="solid">
        <fgColor rgb="FFD58785"/>
        <bgColor indexed="64"/>
      </patternFill>
    </fill>
    <fill>
      <patternFill patternType="solid">
        <fgColor rgb="FF4D781E"/>
        <bgColor indexed="64"/>
      </patternFill>
    </fill>
  </fills>
  <borders count="5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hair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thick">
        <color theme="0"/>
      </left>
      <right/>
      <top/>
      <bottom/>
      <diagonal/>
    </border>
    <border>
      <left/>
      <right style="thick">
        <color rgb="FFE8E5D8"/>
      </right>
      <top/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thin">
        <color rgb="FF60497A"/>
      </left>
      <right/>
      <top style="thin">
        <color rgb="FF60497A"/>
      </top>
      <bottom/>
      <diagonal/>
    </border>
    <border>
      <left/>
      <right/>
      <top style="thin">
        <color rgb="FF60497A"/>
      </top>
      <bottom/>
      <diagonal/>
    </border>
    <border>
      <left style="thin">
        <color rgb="FF60497A"/>
      </left>
      <right/>
      <top/>
      <bottom/>
      <diagonal/>
    </border>
    <border>
      <left/>
      <right style="thick">
        <color rgb="FFE5E2D3"/>
      </right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5" tint="-0.499984740745262"/>
      </left>
      <right/>
      <top/>
      <bottom/>
      <diagonal/>
    </border>
    <border>
      <left style="thick">
        <color theme="7" tint="-0.499984740745262"/>
      </left>
      <right/>
      <top/>
      <bottom/>
      <diagonal/>
    </border>
    <border>
      <left style="double">
        <color theme="5" tint="-0.499984740745262"/>
      </left>
      <right/>
      <top/>
      <bottom/>
      <diagonal/>
    </border>
    <border>
      <left style="thick">
        <color rgb="FF225222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ck">
        <color rgb="FF004C00"/>
      </left>
      <right/>
      <top/>
      <bottom/>
      <diagonal/>
    </border>
    <border>
      <left style="thick">
        <color rgb="FF632523"/>
      </left>
      <right/>
      <top/>
      <bottom/>
      <diagonal/>
    </border>
    <border>
      <left style="thick">
        <color rgb="FF244062"/>
      </left>
      <right/>
      <top/>
      <bottom/>
      <diagonal/>
    </border>
    <border>
      <left style="thick">
        <color rgb="FF403151"/>
      </left>
      <right/>
      <top/>
      <bottom/>
      <diagonal/>
    </border>
    <border>
      <left style="thick">
        <color theme="5" tint="0.39994506668294322"/>
      </left>
      <right/>
      <top/>
      <bottom/>
      <diagonal/>
    </border>
    <border>
      <left style="thick">
        <color rgb="FFB1FBF9"/>
      </left>
      <right/>
      <top/>
      <bottom/>
      <diagonal/>
    </border>
    <border>
      <left style="thin">
        <color theme="1" tint="0.34998626667073579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 style="medium">
        <color theme="0"/>
      </right>
      <top style="thin">
        <color theme="0"/>
      </top>
      <bottom/>
      <diagonal/>
    </border>
    <border>
      <left style="mediumDashed">
        <color theme="7" tint="-0.499984740745262"/>
      </left>
      <right/>
      <top style="mediumDashed">
        <color theme="7" tint="-0.499984740745262"/>
      </top>
      <bottom/>
      <diagonal/>
    </border>
    <border>
      <left/>
      <right/>
      <top style="mediumDashed">
        <color theme="7" tint="-0.499984740745262"/>
      </top>
      <bottom/>
      <diagonal/>
    </border>
    <border>
      <left style="mediumDashed">
        <color theme="7" tint="-0.499984740745262"/>
      </left>
      <right/>
      <top/>
      <bottom/>
      <diagonal/>
    </border>
    <border>
      <left style="mediumDashed">
        <color theme="7" tint="-0.499984740745262"/>
      </left>
      <right/>
      <top/>
      <bottom style="mediumDashed">
        <color theme="7" tint="-0.499984740745262"/>
      </bottom>
      <diagonal/>
    </border>
    <border>
      <left/>
      <right/>
      <top/>
      <bottom style="mediumDashed">
        <color theme="7" tint="-0.499984740745262"/>
      </bottom>
      <diagonal/>
    </border>
    <border>
      <left/>
      <right/>
      <top style="mediumDashed">
        <color auto="1"/>
      </top>
      <bottom/>
      <diagonal/>
    </border>
    <border>
      <left/>
      <right/>
      <top/>
      <bottom style="mediumDashed">
        <color auto="1"/>
      </bottom>
      <diagonal/>
    </border>
    <border>
      <left style="mediumDashed">
        <color auto="1"/>
      </left>
      <right/>
      <top/>
      <bottom/>
      <diagonal/>
    </border>
    <border>
      <left style="thin">
        <color rgb="FF66FFFF"/>
      </left>
      <right/>
      <top style="thin">
        <color rgb="FF66FFFF"/>
      </top>
      <bottom style="thin">
        <color rgb="FF66FFFF"/>
      </bottom>
      <diagonal/>
    </border>
    <border>
      <left/>
      <right/>
      <top style="thin">
        <color rgb="FF66FFFF"/>
      </top>
      <bottom style="thin">
        <color rgb="FF66FFFF"/>
      </bottom>
      <diagonal/>
    </border>
    <border>
      <left/>
      <right style="dashed">
        <color rgb="FF66FFFF"/>
      </right>
      <top style="thin">
        <color rgb="FF66FFFF"/>
      </top>
      <bottom style="thin">
        <color rgb="FF66FFFF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1069">
    <xf numFmtId="0" fontId="0" fillId="0" borderId="0" xfId="0"/>
    <xf numFmtId="0" fontId="1" fillId="0" borderId="0" xfId="0" applyFont="1" applyAlignment="1">
      <alignment wrapText="1"/>
    </xf>
    <xf numFmtId="0" fontId="0" fillId="7" borderId="0" xfId="0" applyFill="1" applyAlignment="1">
      <alignment vertical="center"/>
    </xf>
    <xf numFmtId="0" fontId="21" fillId="7" borderId="1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right" vertical="center" wrapText="1"/>
    </xf>
    <xf numFmtId="6" fontId="23" fillId="7" borderId="9" xfId="0" applyNumberFormat="1" applyFont="1" applyFill="1" applyBorder="1" applyAlignment="1">
      <alignment horizontal="left" vertical="center" wrapText="1"/>
    </xf>
    <xf numFmtId="0" fontId="16" fillId="7" borderId="2" xfId="0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 vertical="center" wrapText="1"/>
    </xf>
    <xf numFmtId="0" fontId="16" fillId="7" borderId="8" xfId="0" applyFont="1" applyFill="1" applyBorder="1" applyAlignment="1">
      <alignment horizontal="right" vertical="center"/>
    </xf>
    <xf numFmtId="6" fontId="23" fillId="7" borderId="7" xfId="0" applyNumberFormat="1" applyFont="1" applyFill="1" applyBorder="1" applyAlignment="1">
      <alignment horizontal="left" vertical="center"/>
    </xf>
    <xf numFmtId="0" fontId="1" fillId="8" borderId="0" xfId="0" applyFont="1" applyFill="1" applyAlignment="1">
      <alignment wrapText="1"/>
    </xf>
    <xf numFmtId="0" fontId="29" fillId="8" borderId="0" xfId="0" applyFont="1" applyFill="1" applyAlignment="1">
      <alignment horizontal="right" wrapText="1"/>
    </xf>
    <xf numFmtId="0" fontId="0" fillId="8" borderId="0" xfId="0" applyFill="1"/>
    <xf numFmtId="166" fontId="1" fillId="8" borderId="0" xfId="0" applyNumberFormat="1" applyFont="1" applyFill="1" applyAlignment="1">
      <alignment wrapText="1"/>
    </xf>
    <xf numFmtId="9" fontId="4" fillId="8" borderId="0" xfId="0" applyNumberFormat="1" applyFont="1" applyFill="1" applyAlignment="1">
      <alignment horizontal="left"/>
    </xf>
    <xf numFmtId="0" fontId="0" fillId="8" borderId="0" xfId="0" applyFill="1" applyAlignment="1">
      <alignment horizontal="left"/>
    </xf>
    <xf numFmtId="1" fontId="3" fillId="8" borderId="0" xfId="0" applyNumberFormat="1" applyFont="1" applyFill="1" applyAlignment="1">
      <alignment horizontal="right"/>
    </xf>
    <xf numFmtId="0" fontId="4" fillId="8" borderId="0" xfId="0" applyFont="1" applyFill="1" applyAlignment="1">
      <alignment horizontal="left"/>
    </xf>
    <xf numFmtId="0" fontId="2" fillId="8" borderId="0" xfId="0" applyFont="1" applyFill="1" applyAlignment="1">
      <alignment horizontal="left" wrapText="1"/>
    </xf>
    <xf numFmtId="0" fontId="0" fillId="8" borderId="0" xfId="0" applyFill="1" applyAlignment="1">
      <alignment horizontal="right"/>
    </xf>
    <xf numFmtId="0" fontId="1" fillId="8" borderId="0" xfId="0" applyFont="1" applyFill="1" applyAlignment="1">
      <alignment horizontal="right" wrapText="1"/>
    </xf>
    <xf numFmtId="0" fontId="9" fillId="8" borderId="0" xfId="0" applyFont="1" applyFill="1" applyAlignment="1">
      <alignment horizontal="right"/>
    </xf>
    <xf numFmtId="0" fontId="14" fillId="8" borderId="0" xfId="0" applyFont="1" applyFill="1" applyAlignment="1">
      <alignment horizontal="left"/>
    </xf>
    <xf numFmtId="0" fontId="9" fillId="8" borderId="0" xfId="0" applyFont="1" applyFill="1"/>
    <xf numFmtId="0" fontId="7" fillId="8" borderId="0" xfId="0" applyFont="1" applyFill="1" applyAlignment="1">
      <alignment horizontal="right"/>
    </xf>
    <xf numFmtId="9" fontId="7" fillId="8" borderId="0" xfId="0" applyNumberFormat="1" applyFont="1" applyFill="1"/>
    <xf numFmtId="9" fontId="7" fillId="8" borderId="0" xfId="0" applyNumberFormat="1" applyFont="1" applyFill="1" applyAlignment="1">
      <alignment horizontal="left"/>
    </xf>
    <xf numFmtId="0" fontId="36" fillId="0" borderId="0" xfId="0" applyFont="1" applyAlignment="1">
      <alignment horizontal="center"/>
    </xf>
    <xf numFmtId="0" fontId="0" fillId="0" borderId="0" xfId="0" applyAlignment="1">
      <alignment horizontal="left"/>
    </xf>
    <xf numFmtId="0" fontId="50" fillId="0" borderId="0" xfId="0" quotePrefix="1" applyFont="1" applyAlignment="1">
      <alignment horizontal="left"/>
    </xf>
    <xf numFmtId="0" fontId="51" fillId="3" borderId="0" xfId="0" applyFont="1" applyFill="1" applyAlignment="1">
      <alignment vertical="center"/>
    </xf>
    <xf numFmtId="0" fontId="14" fillId="7" borderId="2" xfId="0" applyFont="1" applyFill="1" applyBorder="1" applyAlignment="1">
      <alignment horizontal="center" vertical="center" wrapText="1"/>
    </xf>
    <xf numFmtId="0" fontId="16" fillId="7" borderId="3" xfId="0" applyFont="1" applyFill="1" applyBorder="1" applyAlignment="1">
      <alignment horizontal="center" vertical="center"/>
    </xf>
    <xf numFmtId="0" fontId="1" fillId="10" borderId="0" xfId="0" applyFont="1" applyFill="1" applyAlignment="1">
      <alignment wrapText="1"/>
    </xf>
    <xf numFmtId="0" fontId="3" fillId="10" borderId="0" xfId="0" applyFont="1" applyFill="1" applyAlignment="1" applyProtection="1">
      <alignment horizontal="right" vertical="center"/>
      <protection locked="0"/>
    </xf>
    <xf numFmtId="164" fontId="3" fillId="10" borderId="0" xfId="0" applyNumberFormat="1" applyFont="1" applyFill="1" applyAlignment="1" applyProtection="1">
      <alignment horizontal="left" vertical="center"/>
      <protection locked="0"/>
    </xf>
    <xf numFmtId="0" fontId="29" fillId="10" borderId="0" xfId="0" applyFont="1" applyFill="1" applyAlignment="1">
      <alignment wrapText="1"/>
    </xf>
    <xf numFmtId="0" fontId="7" fillId="10" borderId="0" xfId="0" applyFont="1" applyFill="1" applyAlignment="1" applyProtection="1">
      <alignment horizontal="right" vertical="center"/>
      <protection locked="0"/>
    </xf>
    <xf numFmtId="0" fontId="7" fillId="10" borderId="0" xfId="0" applyFont="1" applyFill="1" applyAlignment="1" applyProtection="1">
      <alignment horizontal="left" vertical="center"/>
      <protection locked="0"/>
    </xf>
    <xf numFmtId="0" fontId="29" fillId="10" borderId="0" xfId="0" applyFont="1" applyFill="1" applyAlignment="1">
      <alignment horizontal="right" wrapText="1"/>
    </xf>
    <xf numFmtId="9" fontId="7" fillId="10" borderId="0" xfId="0" applyNumberFormat="1" applyFont="1" applyFill="1" applyAlignment="1">
      <alignment horizontal="left"/>
    </xf>
    <xf numFmtId="166" fontId="1" fillId="10" borderId="0" xfId="0" applyNumberFormat="1" applyFont="1" applyFill="1" applyAlignment="1">
      <alignment wrapText="1"/>
    </xf>
    <xf numFmtId="9" fontId="4" fillId="10" borderId="0" xfId="0" applyNumberFormat="1" applyFont="1" applyFill="1" applyAlignment="1">
      <alignment horizontal="left"/>
    </xf>
    <xf numFmtId="0" fontId="0" fillId="7" borderId="0" xfId="0" applyFill="1"/>
    <xf numFmtId="0" fontId="16" fillId="7" borderId="0" xfId="0" applyFont="1" applyFill="1" applyAlignment="1">
      <alignment vertical="center"/>
    </xf>
    <xf numFmtId="0" fontId="14" fillId="7" borderId="0" xfId="0" applyFont="1" applyFill="1" applyAlignment="1">
      <alignment vertical="center"/>
    </xf>
    <xf numFmtId="0" fontId="8" fillId="8" borderId="0" xfId="0" applyFont="1" applyFill="1" applyAlignment="1">
      <alignment horizontal="left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12" borderId="0" xfId="0" applyFill="1" applyAlignment="1" applyProtection="1">
      <alignment vertical="center"/>
      <protection hidden="1"/>
    </xf>
    <xf numFmtId="0" fontId="0" fillId="12" borderId="0" xfId="0" applyFill="1" applyAlignment="1" applyProtection="1">
      <alignment horizontal="center" vertical="center"/>
      <protection hidden="1"/>
    </xf>
    <xf numFmtId="0" fontId="0" fillId="18" borderId="0" xfId="0" applyFill="1" applyProtection="1">
      <protection hidden="1"/>
    </xf>
    <xf numFmtId="0" fontId="0" fillId="18" borderId="0" xfId="0" applyFill="1" applyAlignment="1" applyProtection="1">
      <alignment horizontal="center"/>
      <protection hidden="1"/>
    </xf>
    <xf numFmtId="0" fontId="0" fillId="10" borderId="0" xfId="0" applyFill="1" applyAlignment="1" applyProtection="1">
      <alignment horizontal="center" vertical="center"/>
      <protection hidden="1"/>
    </xf>
    <xf numFmtId="0" fontId="39" fillId="14" borderId="0" xfId="0" applyFont="1" applyFill="1" applyAlignment="1" applyProtection="1">
      <alignment horizontal="right" vertical="center"/>
      <protection hidden="1"/>
    </xf>
    <xf numFmtId="0" fontId="17" fillId="15" borderId="0" xfId="0" applyFont="1" applyFill="1" applyAlignment="1" applyProtection="1">
      <alignment horizontal="left" vertical="center"/>
      <protection hidden="1"/>
    </xf>
    <xf numFmtId="0" fontId="85" fillId="15" borderId="0" xfId="0" quotePrefix="1" applyFont="1" applyFill="1" applyAlignment="1" applyProtection="1">
      <alignment horizontal="center" vertical="center"/>
      <protection hidden="1"/>
    </xf>
    <xf numFmtId="0" fontId="14" fillId="18" borderId="0" xfId="0" applyFont="1" applyFill="1" applyAlignment="1" applyProtection="1">
      <alignment horizontal="center" vertical="center"/>
      <protection hidden="1"/>
    </xf>
    <xf numFmtId="0" fontId="107" fillId="18" borderId="0" xfId="0" quotePrefix="1" applyFont="1" applyFill="1" applyAlignment="1" applyProtection="1">
      <alignment horizontal="center" vertical="center"/>
      <protection hidden="1"/>
    </xf>
    <xf numFmtId="0" fontId="0" fillId="18" borderId="0" xfId="0" applyFill="1" applyAlignment="1" applyProtection="1">
      <alignment vertical="center"/>
      <protection hidden="1"/>
    </xf>
    <xf numFmtId="0" fontId="85" fillId="18" borderId="0" xfId="0" quotePrefix="1" applyFont="1" applyFill="1" applyAlignment="1" applyProtection="1">
      <alignment horizontal="right" vertical="center"/>
      <protection hidden="1"/>
    </xf>
    <xf numFmtId="164" fontId="68" fillId="15" borderId="0" xfId="0" applyNumberFormat="1" applyFont="1" applyFill="1" applyAlignment="1" applyProtection="1">
      <alignment horizontal="right" vertical="center"/>
      <protection hidden="1"/>
    </xf>
    <xf numFmtId="4" fontId="8" fillId="15" borderId="0" xfId="0" applyNumberFormat="1" applyFont="1" applyFill="1" applyAlignment="1" applyProtection="1">
      <alignment horizontal="center" vertical="center"/>
      <protection hidden="1"/>
    </xf>
    <xf numFmtId="0" fontId="73" fillId="15" borderId="0" xfId="0" quotePrefix="1" applyFont="1" applyFill="1" applyAlignment="1" applyProtection="1">
      <alignment horizontal="center" vertical="center"/>
      <protection hidden="1"/>
    </xf>
    <xf numFmtId="164" fontId="68" fillId="3" borderId="0" xfId="0" applyNumberFormat="1" applyFont="1" applyFill="1" applyAlignment="1" applyProtection="1">
      <alignment horizontal="right" vertical="center"/>
      <protection hidden="1"/>
    </xf>
    <xf numFmtId="4" fontId="8" fillId="3" borderId="0" xfId="0" applyNumberFormat="1" applyFont="1" applyFill="1" applyAlignment="1" applyProtection="1">
      <alignment horizontal="center" vertical="center"/>
      <protection hidden="1"/>
    </xf>
    <xf numFmtId="0" fontId="17" fillId="20" borderId="0" xfId="0" applyFont="1" applyFill="1" applyAlignment="1" applyProtection="1">
      <alignment horizontal="left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vertical="top" wrapText="1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0" fillId="15" borderId="0" xfId="0" applyFill="1" applyAlignment="1" applyProtection="1">
      <alignment vertical="center"/>
      <protection hidden="1"/>
    </xf>
    <xf numFmtId="0" fontId="8" fillId="12" borderId="0" xfId="0" applyFont="1" applyFill="1" applyAlignment="1" applyProtection="1">
      <alignment vertical="center"/>
      <protection hidden="1"/>
    </xf>
    <xf numFmtId="0" fontId="65" fillId="12" borderId="0" xfId="0" applyFont="1" applyFill="1" applyAlignment="1" applyProtection="1">
      <alignment horizontal="right" vertical="center"/>
      <protection hidden="1"/>
    </xf>
    <xf numFmtId="0" fontId="0" fillId="12" borderId="0" xfId="0" applyFill="1" applyAlignment="1" applyProtection="1">
      <alignment horizontal="right" vertical="center"/>
      <protection hidden="1"/>
    </xf>
    <xf numFmtId="0" fontId="0" fillId="10" borderId="0" xfId="0" applyFill="1" applyAlignment="1" applyProtection="1">
      <alignment vertical="center"/>
      <protection hidden="1"/>
    </xf>
    <xf numFmtId="0" fontId="17" fillId="18" borderId="0" xfId="0" applyFont="1" applyFill="1" applyAlignment="1" applyProtection="1">
      <alignment horizontal="center" vertical="center"/>
      <protection hidden="1"/>
    </xf>
    <xf numFmtId="0" fontId="130" fillId="12" borderId="0" xfId="0" quotePrefix="1" applyFont="1" applyFill="1" applyAlignment="1" applyProtection="1">
      <alignment horizontal="right" vertical="center"/>
      <protection hidden="1"/>
    </xf>
    <xf numFmtId="0" fontId="16" fillId="12" borderId="0" xfId="0" applyFont="1" applyFill="1" applyAlignment="1" applyProtection="1">
      <alignment horizontal="left" vertical="center"/>
      <protection hidden="1"/>
    </xf>
    <xf numFmtId="0" fontId="1" fillId="12" borderId="0" xfId="0" applyFont="1" applyFill="1" applyAlignment="1" applyProtection="1">
      <alignment vertical="center"/>
      <protection hidden="1"/>
    </xf>
    <xf numFmtId="0" fontId="12" fillId="12" borderId="0" xfId="0" applyFont="1" applyFill="1" applyAlignment="1" applyProtection="1">
      <alignment horizontal="center" vertical="center"/>
      <protection hidden="1"/>
    </xf>
    <xf numFmtId="0" fontId="52" fillId="3" borderId="0" xfId="1" applyFont="1" applyFill="1" applyAlignment="1" applyProtection="1">
      <alignment horizontal="left" vertical="center"/>
      <protection hidden="1"/>
    </xf>
    <xf numFmtId="0" fontId="52" fillId="3" borderId="0" xfId="1" applyFont="1" applyFill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 wrapText="1"/>
      <protection hidden="1"/>
    </xf>
    <xf numFmtId="164" fontId="27" fillId="0" borderId="0" xfId="0" applyNumberFormat="1" applyFont="1" applyAlignment="1" applyProtection="1">
      <alignment horizontal="left" vertical="center" wrapText="1"/>
      <protection hidden="1"/>
    </xf>
    <xf numFmtId="164" fontId="33" fillId="3" borderId="0" xfId="0" applyNumberFormat="1" applyFont="1" applyFill="1" applyAlignment="1" applyProtection="1">
      <alignment horizontal="right" vertical="center"/>
      <protection hidden="1"/>
    </xf>
    <xf numFmtId="0" fontId="0" fillId="3" borderId="0" xfId="0" applyFill="1" applyAlignment="1" applyProtection="1">
      <alignment horizontal="center" vertical="center"/>
      <protection hidden="1"/>
    </xf>
    <xf numFmtId="0" fontId="0" fillId="5" borderId="0" xfId="0" applyFill="1" applyAlignment="1" applyProtection="1">
      <alignment vertical="center"/>
      <protection hidden="1"/>
    </xf>
    <xf numFmtId="0" fontId="9" fillId="5" borderId="0" xfId="0" applyFont="1" applyFill="1" applyAlignment="1" applyProtection="1">
      <alignment horizontal="left" vertical="center"/>
      <protection hidden="1"/>
    </xf>
    <xf numFmtId="0" fontId="0" fillId="5" borderId="0" xfId="0" applyFill="1" applyAlignment="1" applyProtection="1">
      <alignment horizontal="left" vertical="center"/>
      <protection hidden="1"/>
    </xf>
    <xf numFmtId="164" fontId="3" fillId="5" borderId="0" xfId="0" applyNumberFormat="1" applyFont="1" applyFill="1" applyAlignment="1" applyProtection="1">
      <alignment horizontal="right" vertical="center"/>
      <protection hidden="1"/>
    </xf>
    <xf numFmtId="3" fontId="27" fillId="0" borderId="15" xfId="0" applyNumberFormat="1" applyFont="1" applyBorder="1" applyAlignment="1" applyProtection="1">
      <alignment horizontal="left" vertical="center" wrapText="1"/>
      <protection hidden="1"/>
    </xf>
    <xf numFmtId="164" fontId="27" fillId="3" borderId="0" xfId="0" applyNumberFormat="1" applyFont="1" applyFill="1" applyAlignment="1" applyProtection="1">
      <alignment horizontal="right" vertical="center"/>
      <protection hidden="1"/>
    </xf>
    <xf numFmtId="164" fontId="14" fillId="15" borderId="0" xfId="0" applyNumberFormat="1" applyFont="1" applyFill="1" applyAlignment="1" applyProtection="1">
      <alignment horizontal="center" vertical="center"/>
      <protection hidden="1"/>
    </xf>
    <xf numFmtId="0" fontId="9" fillId="4" borderId="0" xfId="0" applyFont="1" applyFill="1" applyAlignment="1" applyProtection="1">
      <alignment horizontal="left" vertical="center"/>
      <protection hidden="1"/>
    </xf>
    <xf numFmtId="0" fontId="9" fillId="4" borderId="0" xfId="0" applyFont="1" applyFill="1" applyAlignment="1" applyProtection="1">
      <alignment horizontal="center" vertical="center"/>
      <protection hidden="1"/>
    </xf>
    <xf numFmtId="0" fontId="1" fillId="4" borderId="0" xfId="0" applyFont="1" applyFill="1" applyAlignment="1" applyProtection="1">
      <alignment horizontal="center" vertical="center"/>
      <protection hidden="1"/>
    </xf>
    <xf numFmtId="164" fontId="1" fillId="4" borderId="0" xfId="0" applyNumberFormat="1" applyFont="1" applyFill="1" applyAlignment="1" applyProtection="1">
      <alignment horizontal="left" vertical="center"/>
      <protection hidden="1"/>
    </xf>
    <xf numFmtId="0" fontId="1" fillId="3" borderId="0" xfId="0" applyFont="1" applyFill="1" applyAlignment="1" applyProtection="1">
      <alignment horizontal="center" vertical="center"/>
      <protection locked="0" hidden="1"/>
    </xf>
    <xf numFmtId="164" fontId="1" fillId="5" borderId="0" xfId="0" applyNumberFormat="1" applyFont="1" applyFill="1" applyAlignment="1" applyProtection="1">
      <alignment horizontal="left" vertical="center"/>
      <protection hidden="1"/>
    </xf>
    <xf numFmtId="0" fontId="3" fillId="3" borderId="0" xfId="0" applyFont="1" applyFill="1" applyAlignment="1" applyProtection="1">
      <alignment horizontal="left" vertical="center" wrapText="1"/>
      <protection hidden="1"/>
    </xf>
    <xf numFmtId="3" fontId="27" fillId="0" borderId="0" xfId="0" applyNumberFormat="1" applyFont="1" applyAlignment="1" applyProtection="1">
      <alignment horizontal="left" vertical="center" wrapText="1"/>
      <protection hidden="1"/>
    </xf>
    <xf numFmtId="0" fontId="9" fillId="23" borderId="0" xfId="0" applyFont="1" applyFill="1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54" fillId="0" borderId="0" xfId="0" applyFont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164" fontId="1" fillId="0" borderId="0" xfId="0" applyNumberFormat="1" applyFont="1" applyAlignment="1" applyProtection="1">
      <alignment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34" fillId="3" borderId="0" xfId="1" applyFont="1" applyFill="1" applyAlignment="1" applyProtection="1">
      <alignment horizontal="center" vertical="center" wrapText="1"/>
      <protection hidden="1"/>
    </xf>
    <xf numFmtId="0" fontId="75" fillId="5" borderId="0" xfId="0" applyFont="1" applyFill="1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164" fontId="27" fillId="5" borderId="0" xfId="0" applyNumberFormat="1" applyFont="1" applyFill="1" applyAlignment="1" applyProtection="1">
      <alignment horizontal="left" vertical="center" wrapText="1"/>
      <protection hidden="1"/>
    </xf>
    <xf numFmtId="3" fontId="3" fillId="3" borderId="0" xfId="0" applyNumberFormat="1" applyFont="1" applyFill="1" applyAlignment="1" applyProtection="1">
      <alignment horizontal="left" vertical="center" wrapText="1"/>
      <protection hidden="1"/>
    </xf>
    <xf numFmtId="0" fontId="0" fillId="4" borderId="0" xfId="0" applyFill="1" applyAlignment="1" applyProtection="1">
      <alignment horizontal="left" vertical="center"/>
      <protection hidden="1"/>
    </xf>
    <xf numFmtId="0" fontId="12" fillId="5" borderId="0" xfId="0" applyFont="1" applyFill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 vertical="center"/>
      <protection hidden="1"/>
    </xf>
    <xf numFmtId="0" fontId="9" fillId="3" borderId="0" xfId="0" applyFont="1" applyFill="1" applyAlignment="1" applyProtection="1">
      <alignment horizontal="center" vertical="center"/>
      <protection hidden="1"/>
    </xf>
    <xf numFmtId="0" fontId="1" fillId="3" borderId="0" xfId="0" applyFont="1" applyFill="1" applyAlignment="1" applyProtection="1">
      <alignment horizontal="center" vertical="center"/>
      <protection hidden="1"/>
    </xf>
    <xf numFmtId="164" fontId="1" fillId="3" borderId="0" xfId="0" applyNumberFormat="1" applyFont="1" applyFill="1" applyAlignment="1" applyProtection="1">
      <alignment horizontal="left" vertical="center"/>
      <protection hidden="1"/>
    </xf>
    <xf numFmtId="9" fontId="38" fillId="3" borderId="0" xfId="0" applyNumberFormat="1" applyFont="1" applyFill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33" fillId="0" borderId="0" xfId="0" applyFont="1" applyAlignment="1" applyProtection="1">
      <alignment horizontal="left" vertical="center"/>
      <protection hidden="1"/>
    </xf>
    <xf numFmtId="2" fontId="27" fillId="0" borderId="0" xfId="0" applyNumberFormat="1" applyFont="1" applyAlignment="1" applyProtection="1">
      <alignment horizontal="left" vertical="center"/>
      <protection hidden="1"/>
    </xf>
    <xf numFmtId="2" fontId="27" fillId="0" borderId="0" xfId="0" applyNumberFormat="1" applyFont="1" applyAlignment="1" applyProtection="1">
      <alignment horizontal="left" vertical="center" wrapText="1"/>
      <protection hidden="1"/>
    </xf>
    <xf numFmtId="0" fontId="3" fillId="5" borderId="0" xfId="0" applyFont="1" applyFill="1" applyAlignment="1" applyProtection="1">
      <alignment horizontal="left" vertical="center" wrapText="1"/>
      <protection hidden="1"/>
    </xf>
    <xf numFmtId="0" fontId="0" fillId="4" borderId="0" xfId="0" applyFill="1" applyAlignment="1" applyProtection="1">
      <alignment vertical="center"/>
      <protection hidden="1"/>
    </xf>
    <xf numFmtId="0" fontId="5" fillId="5" borderId="0" xfId="1" applyFill="1" applyAlignment="1" applyProtection="1">
      <alignment horizontal="center" vertical="center"/>
      <protection hidden="1"/>
    </xf>
    <xf numFmtId="0" fontId="9" fillId="5" borderId="0" xfId="0" applyFont="1" applyFill="1" applyAlignment="1" applyProtection="1">
      <alignment horizontal="center" vertical="center"/>
      <protection hidden="1"/>
    </xf>
    <xf numFmtId="0" fontId="1" fillId="5" borderId="0" xfId="0" applyFont="1" applyFill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164" fontId="1" fillId="0" borderId="0" xfId="0" applyNumberFormat="1" applyFont="1" applyAlignment="1" applyProtection="1">
      <alignment horizontal="left"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9" fillId="5" borderId="0" xfId="0" applyFont="1" applyFill="1" applyAlignment="1" applyProtection="1">
      <alignment horizontal="left" vertical="center" wrapText="1"/>
      <protection hidden="1"/>
    </xf>
    <xf numFmtId="0" fontId="12" fillId="5" borderId="0" xfId="0" applyFont="1" applyFill="1" applyAlignment="1" applyProtection="1">
      <alignment vertical="center"/>
      <protection hidden="1"/>
    </xf>
    <xf numFmtId="0" fontId="9" fillId="5" borderId="0" xfId="0" applyFont="1" applyFill="1" applyAlignment="1" applyProtection="1">
      <alignment vertical="center"/>
      <protection hidden="1"/>
    </xf>
    <xf numFmtId="0" fontId="3" fillId="5" borderId="0" xfId="0" applyFont="1" applyFill="1" applyAlignment="1" applyProtection="1">
      <alignment vertical="center" wrapText="1"/>
      <protection hidden="1"/>
    </xf>
    <xf numFmtId="164" fontId="27" fillId="5" borderId="0" xfId="0" applyNumberFormat="1" applyFont="1" applyFill="1" applyAlignment="1" applyProtection="1">
      <alignment vertical="center" wrapText="1"/>
      <protection hidden="1"/>
    </xf>
    <xf numFmtId="0" fontId="2" fillId="3" borderId="0" xfId="0" applyFont="1" applyFill="1" applyAlignment="1" applyProtection="1">
      <alignment horizontal="left" vertical="center"/>
      <protection hidden="1"/>
    </xf>
    <xf numFmtId="164" fontId="27" fillId="3" borderId="0" xfId="0" applyNumberFormat="1" applyFont="1" applyFill="1" applyAlignment="1" applyProtection="1">
      <alignment horizontal="left" vertical="center"/>
      <protection hidden="1"/>
    </xf>
    <xf numFmtId="16" fontId="9" fillId="5" borderId="0" xfId="0" quotePrefix="1" applyNumberFormat="1" applyFont="1" applyFill="1" applyAlignment="1" applyProtection="1">
      <alignment horizontal="center"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95" fillId="0" borderId="0" xfId="1" applyFont="1" applyAlignment="1" applyProtection="1">
      <alignment horizontal="left" vertic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54" fillId="0" borderId="0" xfId="0" applyFont="1" applyAlignment="1" applyProtection="1">
      <alignment vertical="center"/>
      <protection hidden="1"/>
    </xf>
    <xf numFmtId="0" fontId="55" fillId="0" borderId="0" xfId="0" applyFont="1" applyAlignment="1" applyProtection="1">
      <alignment horizontal="left" vertical="center"/>
      <protection hidden="1"/>
    </xf>
    <xf numFmtId="0" fontId="39" fillId="0" borderId="0" xfId="0" applyFont="1" applyAlignment="1" applyProtection="1">
      <alignment horizontal="left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0" fontId="27" fillId="0" borderId="0" xfId="0" applyFont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9" fillId="12" borderId="0" xfId="0" applyFont="1" applyFill="1" applyAlignment="1" applyProtection="1">
      <alignment horizontal="center" vertical="center"/>
      <protection hidden="1"/>
    </xf>
    <xf numFmtId="0" fontId="0" fillId="6" borderId="0" xfId="0" applyFill="1" applyAlignment="1" applyProtection="1">
      <alignment vertical="center"/>
      <protection hidden="1"/>
    </xf>
    <xf numFmtId="0" fontId="9" fillId="6" borderId="0" xfId="0" applyFont="1" applyFill="1" applyAlignment="1" applyProtection="1">
      <alignment horizontal="left" vertical="center"/>
      <protection hidden="1"/>
    </xf>
    <xf numFmtId="164" fontId="3" fillId="6" borderId="0" xfId="0" applyNumberFormat="1" applyFont="1" applyFill="1" applyAlignment="1" applyProtection="1">
      <alignment horizontal="right" vertical="center"/>
      <protection hidden="1"/>
    </xf>
    <xf numFmtId="0" fontId="9" fillId="6" borderId="0" xfId="0" applyFont="1" applyFill="1" applyAlignment="1" applyProtection="1">
      <alignment horizontal="center" vertical="center"/>
      <protection hidden="1"/>
    </xf>
    <xf numFmtId="0" fontId="1" fillId="6" borderId="0" xfId="0" applyFont="1" applyFill="1" applyAlignment="1" applyProtection="1">
      <alignment horizontal="center" vertical="center"/>
      <protection hidden="1"/>
    </xf>
    <xf numFmtId="164" fontId="1" fillId="6" borderId="0" xfId="0" applyNumberFormat="1" applyFont="1" applyFill="1" applyAlignment="1" applyProtection="1">
      <alignment horizontal="left" vertical="center"/>
      <protection hidden="1"/>
    </xf>
    <xf numFmtId="0" fontId="16" fillId="0" borderId="0" xfId="0" applyFont="1" applyAlignment="1" applyProtection="1">
      <alignment vertical="center"/>
      <protection hidden="1"/>
    </xf>
    <xf numFmtId="0" fontId="0" fillId="6" borderId="0" xfId="0" applyFill="1" applyAlignment="1" applyProtection="1">
      <alignment horizontal="left" vertical="center"/>
      <protection hidden="1"/>
    </xf>
    <xf numFmtId="0" fontId="9" fillId="6" borderId="0" xfId="0" applyFont="1" applyFill="1" applyAlignment="1" applyProtection="1">
      <alignment horizontal="left" vertical="center" wrapText="1"/>
      <protection hidden="1"/>
    </xf>
    <xf numFmtId="0" fontId="0" fillId="6" borderId="0" xfId="0" applyFill="1" applyAlignment="1" applyProtection="1">
      <alignment horizontal="left" vertical="center" wrapText="1"/>
      <protection hidden="1"/>
    </xf>
    <xf numFmtId="0" fontId="5" fillId="6" borderId="0" xfId="1" applyFill="1" applyAlignment="1" applyProtection="1">
      <alignment horizontal="center" vertical="center"/>
      <protection hidden="1"/>
    </xf>
    <xf numFmtId="0" fontId="9" fillId="6" borderId="0" xfId="0" quotePrefix="1" applyFont="1" applyFill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vertical="center"/>
      <protection hidden="1"/>
    </xf>
    <xf numFmtId="0" fontId="3" fillId="6" borderId="0" xfId="0" applyFont="1" applyFill="1" applyAlignment="1" applyProtection="1">
      <alignment horizontal="left" vertical="center" wrapText="1"/>
      <protection hidden="1"/>
    </xf>
    <xf numFmtId="164" fontId="27" fillId="6" borderId="0" xfId="0" applyNumberFormat="1" applyFont="1" applyFill="1" applyAlignment="1" applyProtection="1">
      <alignment horizontal="left" vertical="center" wrapText="1"/>
      <protection hidden="1"/>
    </xf>
    <xf numFmtId="16" fontId="9" fillId="6" borderId="0" xfId="0" quotePrefix="1" applyNumberFormat="1" applyFont="1" applyFill="1" applyAlignment="1" applyProtection="1">
      <alignment horizontal="center" vertical="center"/>
      <protection hidden="1"/>
    </xf>
    <xf numFmtId="0" fontId="55" fillId="3" borderId="0" xfId="0" applyFont="1" applyFill="1" applyAlignment="1" applyProtection="1">
      <alignment horizontal="left" vertical="center"/>
      <protection hidden="1"/>
    </xf>
    <xf numFmtId="0" fontId="107" fillId="0" borderId="0" xfId="0" applyFont="1" applyAlignment="1" applyProtection="1">
      <alignment vertical="center"/>
      <protection hidden="1"/>
    </xf>
    <xf numFmtId="0" fontId="9" fillId="6" borderId="0" xfId="0" applyFont="1" applyFill="1" applyAlignment="1" applyProtection="1">
      <alignment vertical="top"/>
      <protection hidden="1"/>
    </xf>
    <xf numFmtId="0" fontId="0" fillId="6" borderId="0" xfId="0" applyFill="1" applyProtection="1">
      <protection hidden="1"/>
    </xf>
    <xf numFmtId="0" fontId="55" fillId="0" borderId="0" xfId="0" applyFont="1" applyAlignment="1" applyProtection="1">
      <alignment horizontal="right" vertical="center"/>
      <protection hidden="1"/>
    </xf>
    <xf numFmtId="0" fontId="57" fillId="0" borderId="0" xfId="1" applyFont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38" fillId="3" borderId="0" xfId="0" applyFont="1" applyFill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8" fillId="12" borderId="0" xfId="0" applyFont="1" applyFill="1" applyAlignment="1" applyProtection="1">
      <alignment horizontal="center" vertical="center"/>
      <protection hidden="1"/>
    </xf>
    <xf numFmtId="0" fontId="54" fillId="0" borderId="0" xfId="0" applyFont="1" applyAlignment="1" applyProtection="1">
      <alignment horizontal="right" vertical="center"/>
      <protection hidden="1"/>
    </xf>
    <xf numFmtId="0" fontId="5" fillId="0" borderId="0" xfId="1" applyAlignment="1" applyProtection="1">
      <alignment vertical="center"/>
      <protection hidden="1"/>
    </xf>
    <xf numFmtId="0" fontId="16" fillId="3" borderId="0" xfId="0" applyFont="1" applyFill="1" applyAlignment="1" applyProtection="1">
      <alignment horizontal="left" vertical="center"/>
      <protection hidden="1"/>
    </xf>
    <xf numFmtId="0" fontId="27" fillId="3" borderId="0" xfId="0" applyFont="1" applyFill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164" fontId="3" fillId="3" borderId="0" xfId="0" applyNumberFormat="1" applyFont="1" applyFill="1" applyAlignment="1" applyProtection="1">
      <alignment horizontal="left" vertical="center"/>
      <protection hidden="1"/>
    </xf>
    <xf numFmtId="0" fontId="33" fillId="0" borderId="0" xfId="1" applyFont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164" fontId="58" fillId="3" borderId="0" xfId="0" applyNumberFormat="1" applyFont="1" applyFill="1" applyAlignment="1" applyProtection="1">
      <alignment horizontal="left" vertical="center"/>
      <protection hidden="1"/>
    </xf>
    <xf numFmtId="164" fontId="6" fillId="0" borderId="0" xfId="0" applyNumberFormat="1" applyFont="1" applyAlignment="1" applyProtection="1">
      <alignment horizontal="left" vertical="center"/>
      <protection hidden="1"/>
    </xf>
    <xf numFmtId="0" fontId="57" fillId="0" borderId="0" xfId="1" applyFont="1" applyAlignment="1" applyProtection="1">
      <alignment horizontal="left" vertical="center"/>
      <protection hidden="1"/>
    </xf>
    <xf numFmtId="0" fontId="9" fillId="3" borderId="0" xfId="0" applyFont="1" applyFill="1" applyAlignment="1" applyProtection="1">
      <alignment horizontal="left" vertical="center"/>
      <protection hidden="1"/>
    </xf>
    <xf numFmtId="0" fontId="30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54" fillId="3" borderId="0" xfId="0" applyFont="1" applyFill="1" applyAlignment="1" applyProtection="1">
      <alignment horizontal="left" vertical="center"/>
      <protection hidden="1"/>
    </xf>
    <xf numFmtId="164" fontId="27" fillId="3" borderId="0" xfId="0" applyNumberFormat="1" applyFont="1" applyFill="1" applyAlignment="1" applyProtection="1">
      <alignment horizontal="left" vertical="center" wrapText="1"/>
      <protection hidden="1"/>
    </xf>
    <xf numFmtId="164" fontId="61" fillId="3" borderId="0" xfId="0" applyNumberFormat="1" applyFont="1" applyFill="1" applyAlignment="1" applyProtection="1">
      <alignment horizontal="center" vertical="center" wrapText="1"/>
      <protection hidden="1"/>
    </xf>
    <xf numFmtId="3" fontId="27" fillId="3" borderId="0" xfId="0" applyNumberFormat="1" applyFont="1" applyFill="1" applyAlignment="1" applyProtection="1">
      <alignment horizontal="left" vertical="center" wrapText="1"/>
      <protection hidden="1"/>
    </xf>
    <xf numFmtId="0" fontId="25" fillId="3" borderId="0" xfId="0" applyFont="1" applyFill="1" applyAlignment="1" applyProtection="1">
      <alignment vertical="center"/>
      <protection hidden="1"/>
    </xf>
    <xf numFmtId="0" fontId="94" fillId="0" borderId="0" xfId="1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horizontal="right" vertical="center"/>
      <protection hidden="1"/>
    </xf>
    <xf numFmtId="0" fontId="33" fillId="3" borderId="0" xfId="0" applyFont="1" applyFill="1" applyAlignment="1" applyProtection="1">
      <alignment horizontal="left" vertical="center"/>
      <protection hidden="1"/>
    </xf>
    <xf numFmtId="0" fontId="1" fillId="3" borderId="0" xfId="0" applyFont="1" applyFill="1" applyAlignment="1" applyProtection="1">
      <alignment vertical="center"/>
      <protection hidden="1"/>
    </xf>
    <xf numFmtId="164" fontId="1" fillId="3" borderId="0" xfId="0" applyNumberFormat="1" applyFont="1" applyFill="1" applyAlignment="1" applyProtection="1">
      <alignment vertical="center"/>
      <protection hidden="1"/>
    </xf>
    <xf numFmtId="164" fontId="3" fillId="0" borderId="0" xfId="0" applyNumberFormat="1" applyFont="1" applyAlignment="1" applyProtection="1">
      <alignment horizontal="right" vertical="center"/>
      <protection hidden="1"/>
    </xf>
    <xf numFmtId="0" fontId="9" fillId="5" borderId="0" xfId="0" applyFont="1" applyFill="1" applyAlignment="1" applyProtection="1">
      <alignment vertical="top"/>
      <protection hidden="1"/>
    </xf>
    <xf numFmtId="164" fontId="97" fillId="6" borderId="0" xfId="1" applyNumberFormat="1" applyFont="1" applyFill="1" applyAlignment="1" applyProtection="1">
      <alignment horizontal="center" vertical="center"/>
      <protection hidden="1"/>
    </xf>
    <xf numFmtId="0" fontId="37" fillId="0" borderId="0" xfId="0" applyFont="1" applyAlignment="1" applyProtection="1">
      <alignment horizontal="center" vertical="center" wrapText="1"/>
      <protection hidden="1"/>
    </xf>
    <xf numFmtId="0" fontId="40" fillId="0" borderId="0" xfId="0" applyFont="1" applyAlignment="1" applyProtection="1">
      <alignment horizontal="center" vertical="center"/>
      <protection hidden="1"/>
    </xf>
    <xf numFmtId="164" fontId="40" fillId="0" borderId="0" xfId="0" applyNumberFormat="1" applyFont="1" applyAlignment="1" applyProtection="1">
      <alignment horizontal="left" vertical="center"/>
      <protection hidden="1"/>
    </xf>
    <xf numFmtId="2" fontId="30" fillId="0" borderId="0" xfId="0" applyNumberFormat="1" applyFont="1" applyAlignment="1" applyProtection="1">
      <alignment horizontal="left" vertical="center"/>
      <protection hidden="1"/>
    </xf>
    <xf numFmtId="2" fontId="30" fillId="0" borderId="0" xfId="0" applyNumberFormat="1" applyFont="1" applyAlignment="1" applyProtection="1">
      <alignment horizontal="left" vertical="center" wrapText="1"/>
      <protection hidden="1"/>
    </xf>
    <xf numFmtId="164" fontId="30" fillId="0" borderId="0" xfId="0" applyNumberFormat="1" applyFont="1" applyAlignment="1" applyProtection="1">
      <alignment horizontal="left" vertical="center" wrapText="1"/>
      <protection hidden="1"/>
    </xf>
    <xf numFmtId="0" fontId="37" fillId="0" borderId="0" xfId="0" applyFont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5" fillId="0" borderId="0" xfId="1" applyAlignment="1" applyProtection="1">
      <alignment horizontal="left" vertical="center"/>
      <protection hidden="1"/>
    </xf>
    <xf numFmtId="0" fontId="74" fillId="0" borderId="0" xfId="0" applyFont="1" applyAlignment="1" applyProtection="1">
      <alignment horizontal="left" vertical="center"/>
      <protection hidden="1"/>
    </xf>
    <xf numFmtId="0" fontId="3" fillId="9" borderId="0" xfId="0" applyFont="1" applyFill="1" applyAlignment="1" applyProtection="1">
      <alignment horizontal="left" vertical="center"/>
      <protection locked="0" hidden="1"/>
    </xf>
    <xf numFmtId="0" fontId="54" fillId="0" borderId="0" xfId="0" applyFont="1" applyAlignment="1" applyProtection="1">
      <alignment horizontal="left" vertical="center"/>
      <protection locked="0" hidden="1"/>
    </xf>
    <xf numFmtId="164" fontId="1" fillId="3" borderId="0" xfId="0" applyNumberFormat="1" applyFont="1" applyFill="1" applyAlignment="1" applyProtection="1">
      <alignment horizontal="left" vertical="center"/>
      <protection locked="0" hidden="1"/>
    </xf>
    <xf numFmtId="0" fontId="113" fillId="3" borderId="0" xfId="0" applyFont="1" applyFill="1" applyAlignment="1" applyProtection="1">
      <alignment horizontal="right" vertical="center"/>
      <protection hidden="1"/>
    </xf>
    <xf numFmtId="0" fontId="9" fillId="12" borderId="0" xfId="0" applyFont="1" applyFill="1" applyAlignment="1" applyProtection="1">
      <alignment horizontal="right" vertical="center"/>
      <protection hidden="1"/>
    </xf>
    <xf numFmtId="164" fontId="9" fillId="10" borderId="0" xfId="0" applyNumberFormat="1" applyFont="1" applyFill="1" applyAlignment="1" applyProtection="1">
      <alignment horizontal="left" vertical="center"/>
      <protection hidden="1"/>
    </xf>
    <xf numFmtId="164" fontId="9" fillId="12" borderId="0" xfId="0" applyNumberFormat="1" applyFont="1" applyFill="1" applyAlignment="1" applyProtection="1">
      <alignment horizontal="left" vertical="center"/>
      <protection hidden="1"/>
    </xf>
    <xf numFmtId="0" fontId="9" fillId="12" borderId="0" xfId="0" applyFont="1" applyFill="1" applyAlignment="1" applyProtection="1">
      <alignment vertical="center"/>
      <protection hidden="1"/>
    </xf>
    <xf numFmtId="164" fontId="9" fillId="3" borderId="0" xfId="0" applyNumberFormat="1" applyFont="1" applyFill="1" applyAlignment="1" applyProtection="1">
      <alignment horizontal="center" vertical="center"/>
      <protection hidden="1"/>
    </xf>
    <xf numFmtId="164" fontId="109" fillId="3" borderId="0" xfId="0" applyNumberFormat="1" applyFont="1" applyFill="1" applyAlignment="1" applyProtection="1">
      <alignment horizontal="center" vertical="center"/>
      <protection hidden="1"/>
    </xf>
    <xf numFmtId="164" fontId="99" fillId="3" borderId="0" xfId="0" applyNumberFormat="1" applyFont="1" applyFill="1" applyAlignment="1" applyProtection="1">
      <alignment horizontal="left" vertical="center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4" fontId="72" fillId="0" borderId="0" xfId="0" applyNumberFormat="1" applyFont="1" applyAlignment="1" applyProtection="1">
      <alignment vertical="center"/>
      <protection hidden="1"/>
    </xf>
    <xf numFmtId="164" fontId="8" fillId="3" borderId="0" xfId="0" applyNumberFormat="1" applyFont="1" applyFill="1" applyAlignment="1" applyProtection="1">
      <alignment horizontal="center" vertical="center"/>
      <protection hidden="1"/>
    </xf>
    <xf numFmtId="0" fontId="0" fillId="18" borderId="0" xfId="0" applyFill="1" applyAlignment="1" applyProtection="1">
      <alignment horizontal="left" vertical="center"/>
      <protection hidden="1"/>
    </xf>
    <xf numFmtId="0" fontId="0" fillId="18" borderId="0" xfId="0" applyFill="1" applyAlignment="1" applyProtection="1">
      <alignment horizontal="center" vertical="center"/>
      <protection hidden="1"/>
    </xf>
    <xf numFmtId="164" fontId="90" fillId="18" borderId="0" xfId="0" applyNumberFormat="1" applyFont="1" applyFill="1" applyAlignment="1" applyProtection="1">
      <alignment horizontal="left" vertical="center"/>
      <protection hidden="1"/>
    </xf>
    <xf numFmtId="0" fontId="10" fillId="18" borderId="0" xfId="0" applyFont="1" applyFill="1" applyAlignment="1" applyProtection="1">
      <alignment horizontal="left" vertical="center"/>
      <protection hidden="1"/>
    </xf>
    <xf numFmtId="10" fontId="10" fillId="18" borderId="0" xfId="0" applyNumberFormat="1" applyFont="1" applyFill="1" applyAlignment="1" applyProtection="1">
      <alignment horizontal="left" vertical="center"/>
      <protection hidden="1"/>
    </xf>
    <xf numFmtId="0" fontId="33" fillId="0" borderId="0" xfId="0" applyFont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vertical="center"/>
      <protection hidden="1"/>
    </xf>
    <xf numFmtId="0" fontId="41" fillId="18" borderId="0" xfId="0" applyFont="1" applyFill="1" applyAlignment="1" applyProtection="1">
      <alignment vertical="center"/>
      <protection hidden="1"/>
    </xf>
    <xf numFmtId="0" fontId="69" fillId="12" borderId="0" xfId="0" applyFont="1" applyFill="1" applyAlignment="1" applyProtection="1">
      <alignment horizontal="right" vertical="center"/>
      <protection hidden="1"/>
    </xf>
    <xf numFmtId="0" fontId="69" fillId="12" borderId="0" xfId="0" applyFont="1" applyFill="1" applyAlignment="1" applyProtection="1">
      <alignment horizontal="left" vertical="center"/>
      <protection hidden="1"/>
    </xf>
    <xf numFmtId="0" fontId="3" fillId="12" borderId="0" xfId="0" applyFont="1" applyFill="1" applyAlignment="1" applyProtection="1">
      <alignment horizontal="right" vertical="center"/>
      <protection hidden="1"/>
    </xf>
    <xf numFmtId="164" fontId="3" fillId="12" borderId="0" xfId="0" applyNumberFormat="1" applyFont="1" applyFill="1" applyAlignment="1" applyProtection="1">
      <alignment horizontal="left" vertical="center"/>
      <protection hidden="1"/>
    </xf>
    <xf numFmtId="0" fontId="88" fillId="12" borderId="0" xfId="0" applyFont="1" applyFill="1" applyAlignment="1" applyProtection="1">
      <alignment horizontal="right" vertical="center"/>
      <protection hidden="1"/>
    </xf>
    <xf numFmtId="0" fontId="8" fillId="12" borderId="0" xfId="0" applyFont="1" applyFill="1" applyAlignment="1" applyProtection="1">
      <alignment horizontal="right" vertical="center"/>
      <protection hidden="1"/>
    </xf>
    <xf numFmtId="9" fontId="8" fillId="12" borderId="0" xfId="0" applyNumberFormat="1" applyFont="1" applyFill="1" applyAlignment="1" applyProtection="1">
      <alignment horizontal="center" vertical="center"/>
      <protection hidden="1"/>
    </xf>
    <xf numFmtId="9" fontId="88" fillId="12" borderId="0" xfId="0" quotePrefix="1" applyNumberFormat="1" applyFont="1" applyFill="1" applyAlignment="1" applyProtection="1">
      <alignment horizontal="right" vertical="center"/>
      <protection hidden="1"/>
    </xf>
    <xf numFmtId="0" fontId="98" fillId="18" borderId="0" xfId="0" applyFont="1" applyFill="1" applyAlignment="1" applyProtection="1">
      <alignment horizontal="left" vertical="center"/>
      <protection hidden="1"/>
    </xf>
    <xf numFmtId="0" fontId="11" fillId="18" borderId="0" xfId="0" applyFont="1" applyFill="1" applyAlignment="1" applyProtection="1">
      <alignment horizontal="center" vertical="center"/>
      <protection hidden="1"/>
    </xf>
    <xf numFmtId="0" fontId="78" fillId="12" borderId="0" xfId="0" quotePrefix="1" applyFont="1" applyFill="1" applyAlignment="1" applyProtection="1">
      <alignment vertical="center"/>
      <protection hidden="1"/>
    </xf>
    <xf numFmtId="0" fontId="98" fillId="18" borderId="0" xfId="0" quotePrefix="1" applyFont="1" applyFill="1" applyAlignment="1" applyProtection="1">
      <alignment horizontal="right" vertical="center"/>
      <protection hidden="1"/>
    </xf>
    <xf numFmtId="0" fontId="1" fillId="18" borderId="0" xfId="0" applyFont="1" applyFill="1" applyAlignment="1" applyProtection="1">
      <alignment vertical="center"/>
      <protection hidden="1"/>
    </xf>
    <xf numFmtId="0" fontId="1" fillId="18" borderId="0" xfId="0" applyFont="1" applyFill="1" applyAlignment="1" applyProtection="1">
      <alignment horizontal="left" vertical="center"/>
      <protection hidden="1"/>
    </xf>
    <xf numFmtId="164" fontId="100" fillId="18" borderId="0" xfId="0" quotePrefix="1" applyNumberFormat="1" applyFont="1" applyFill="1" applyAlignment="1" applyProtection="1">
      <alignment horizontal="right"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3" fillId="3" borderId="0" xfId="0" applyFont="1" applyFill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85" fillId="0" borderId="0" xfId="0" applyFont="1" applyAlignment="1" applyProtection="1">
      <alignment horizontal="center" vertical="center"/>
      <protection hidden="1"/>
    </xf>
    <xf numFmtId="0" fontId="19" fillId="3" borderId="0" xfId="0" quotePrefix="1" applyFont="1" applyFill="1" applyAlignment="1" applyProtection="1">
      <alignment vertical="center"/>
      <protection hidden="1"/>
    </xf>
    <xf numFmtId="0" fontId="27" fillId="3" borderId="0" xfId="0" quotePrefix="1" applyFont="1" applyFill="1" applyAlignment="1" applyProtection="1">
      <alignment vertical="center"/>
      <protection hidden="1"/>
    </xf>
    <xf numFmtId="0" fontId="18" fillId="3" borderId="0" xfId="0" quotePrefix="1" applyFont="1" applyFill="1" applyAlignment="1" applyProtection="1">
      <alignment vertical="center"/>
      <protection hidden="1"/>
    </xf>
    <xf numFmtId="0" fontId="128" fillId="3" borderId="0" xfId="0" applyFont="1" applyFill="1" applyAlignment="1" applyProtection="1">
      <alignment horizontal="center" vertical="center"/>
      <protection hidden="1"/>
    </xf>
    <xf numFmtId="0" fontId="127" fillId="3" borderId="0" xfId="0" applyFont="1" applyFill="1" applyAlignment="1" applyProtection="1">
      <alignment vertical="center"/>
      <protection hidden="1"/>
    </xf>
    <xf numFmtId="0" fontId="105" fillId="18" borderId="0" xfId="0" quotePrefix="1" applyFont="1" applyFill="1" applyAlignment="1" applyProtection="1">
      <alignment horizontal="left" vertical="center"/>
      <protection hidden="1"/>
    </xf>
    <xf numFmtId="0" fontId="98" fillId="18" borderId="0" xfId="0" quotePrefix="1" applyFont="1" applyFill="1" applyAlignment="1" applyProtection="1">
      <alignment horizontal="left" vertical="center"/>
      <protection hidden="1"/>
    </xf>
    <xf numFmtId="0" fontId="116" fillId="18" borderId="0" xfId="0" applyFont="1" applyFill="1" applyAlignment="1" applyProtection="1">
      <alignment vertical="center"/>
      <protection hidden="1"/>
    </xf>
    <xf numFmtId="0" fontId="19" fillId="18" borderId="0" xfId="0" quotePrefix="1" applyFont="1" applyFill="1" applyAlignment="1" applyProtection="1">
      <alignment horizontal="right" vertical="center"/>
      <protection hidden="1"/>
    </xf>
    <xf numFmtId="0" fontId="0" fillId="18" borderId="0" xfId="0" applyFill="1" applyAlignment="1" applyProtection="1">
      <alignment horizontal="right" vertical="center"/>
      <protection hidden="1"/>
    </xf>
    <xf numFmtId="164" fontId="62" fillId="3" borderId="0" xfId="0" applyNumberFormat="1" applyFont="1" applyFill="1" applyAlignment="1" applyProtection="1">
      <alignment horizontal="left" vertical="center"/>
      <protection hidden="1"/>
    </xf>
    <xf numFmtId="0" fontId="18" fillId="18" borderId="0" xfId="0" applyFont="1" applyFill="1" applyAlignment="1" applyProtection="1">
      <alignment horizontal="left" vertical="center"/>
      <protection hidden="1"/>
    </xf>
    <xf numFmtId="0" fontId="18" fillId="18" borderId="0" xfId="0" applyFont="1" applyFill="1" applyAlignment="1" applyProtection="1">
      <alignment horizontal="center" vertical="center"/>
      <protection hidden="1"/>
    </xf>
    <xf numFmtId="0" fontId="27" fillId="18" borderId="0" xfId="0" applyFont="1" applyFill="1" applyAlignment="1" applyProtection="1">
      <alignment horizontal="center" vertical="center"/>
      <protection hidden="1"/>
    </xf>
    <xf numFmtId="0" fontId="3" fillId="18" borderId="0" xfId="0" applyFont="1" applyFill="1" applyAlignment="1" applyProtection="1">
      <alignment vertical="center"/>
      <protection hidden="1"/>
    </xf>
    <xf numFmtId="0" fontId="19" fillId="18" borderId="0" xfId="0" applyFont="1" applyFill="1" applyAlignment="1" applyProtection="1">
      <alignment horizontal="center" vertical="center"/>
      <protection hidden="1"/>
    </xf>
    <xf numFmtId="164" fontId="41" fillId="18" borderId="0" xfId="0" applyNumberFormat="1" applyFont="1" applyFill="1" applyAlignment="1" applyProtection="1">
      <alignment horizontal="left" vertical="center"/>
      <protection hidden="1"/>
    </xf>
    <xf numFmtId="0" fontId="20" fillId="18" borderId="0" xfId="0" applyFont="1" applyFill="1" applyAlignment="1" applyProtection="1">
      <alignment horizontal="left" vertical="center"/>
      <protection hidden="1"/>
    </xf>
    <xf numFmtId="9" fontId="4" fillId="18" borderId="0" xfId="0" applyNumberFormat="1" applyFont="1" applyFill="1" applyAlignment="1" applyProtection="1">
      <alignment horizontal="left" vertical="center"/>
      <protection hidden="1"/>
    </xf>
    <xf numFmtId="0" fontId="27" fillId="18" borderId="0" xfId="0" applyFont="1" applyFill="1" applyAlignment="1" applyProtection="1">
      <alignment horizontal="center" vertical="center" wrapText="1"/>
      <protection hidden="1"/>
    </xf>
    <xf numFmtId="0" fontId="76" fillId="18" borderId="0" xfId="0" quotePrefix="1" applyFont="1" applyFill="1" applyAlignment="1" applyProtection="1">
      <alignment horizontal="left" vertical="center"/>
      <protection hidden="1"/>
    </xf>
    <xf numFmtId="0" fontId="20" fillId="18" borderId="0" xfId="0" applyFont="1" applyFill="1" applyAlignment="1" applyProtection="1">
      <alignment horizontal="center" vertical="center"/>
      <protection hidden="1"/>
    </xf>
    <xf numFmtId="0" fontId="89" fillId="18" borderId="0" xfId="0" applyFont="1" applyFill="1" applyAlignment="1" applyProtection="1">
      <alignment horizontal="center" vertical="center"/>
      <protection hidden="1"/>
    </xf>
    <xf numFmtId="0" fontId="96" fillId="0" borderId="0" xfId="1" applyFont="1" applyAlignment="1" applyProtection="1">
      <alignment horizontal="right" vertical="center"/>
      <protection hidden="1"/>
    </xf>
    <xf numFmtId="0" fontId="18" fillId="18" borderId="0" xfId="0" applyFont="1" applyFill="1" applyAlignment="1" applyProtection="1">
      <alignment vertical="center"/>
      <protection hidden="1"/>
    </xf>
    <xf numFmtId="0" fontId="12" fillId="18" borderId="0" xfId="0" applyFont="1" applyFill="1" applyAlignment="1" applyProtection="1">
      <alignment vertical="center"/>
      <protection hidden="1"/>
    </xf>
    <xf numFmtId="0" fontId="8" fillId="18" borderId="0" xfId="0" applyFont="1" applyFill="1" applyAlignment="1" applyProtection="1">
      <alignment horizontal="left" vertical="center"/>
      <protection hidden="1"/>
    </xf>
    <xf numFmtId="164" fontId="13" fillId="18" borderId="0" xfId="0" applyNumberFormat="1" applyFont="1" applyFill="1" applyAlignment="1" applyProtection="1">
      <alignment horizontal="left" vertical="center"/>
      <protection hidden="1"/>
    </xf>
    <xf numFmtId="164" fontId="0" fillId="18" borderId="0" xfId="0" applyNumberFormat="1" applyFill="1" applyAlignment="1" applyProtection="1">
      <alignment horizontal="left" vertical="center"/>
      <protection hidden="1"/>
    </xf>
    <xf numFmtId="0" fontId="52" fillId="0" borderId="0" xfId="1" applyFont="1" applyAlignment="1" applyProtection="1">
      <alignment vertical="center"/>
      <protection hidden="1"/>
    </xf>
    <xf numFmtId="0" fontId="0" fillId="6" borderId="0" xfId="0" applyFill="1" applyAlignment="1" applyProtection="1">
      <alignment horizontal="center" vertical="center"/>
      <protection hidden="1"/>
    </xf>
    <xf numFmtId="0" fontId="17" fillId="6" borderId="0" xfId="0" applyFont="1" applyFill="1" applyAlignment="1" applyProtection="1">
      <alignment vertical="center"/>
      <protection hidden="1"/>
    </xf>
    <xf numFmtId="164" fontId="3" fillId="5" borderId="0" xfId="0" applyNumberFormat="1" applyFont="1" applyFill="1" applyAlignment="1" applyProtection="1">
      <alignment horizontal="center" vertical="center"/>
      <protection hidden="1"/>
    </xf>
    <xf numFmtId="0" fontId="3" fillId="6" borderId="0" xfId="0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0" fontId="141" fillId="0" borderId="0" xfId="1" applyFont="1" applyAlignment="1" applyProtection="1">
      <alignment vertical="center"/>
      <protection hidden="1"/>
    </xf>
    <xf numFmtId="164" fontId="3" fillId="3" borderId="0" xfId="0" applyNumberFormat="1" applyFont="1" applyFill="1" applyAlignment="1" applyProtection="1">
      <alignment horizontal="right" vertical="center"/>
      <protection hidden="1"/>
    </xf>
    <xf numFmtId="164" fontId="9" fillId="3" borderId="0" xfId="0" applyNumberFormat="1" applyFont="1" applyFill="1" applyAlignment="1" applyProtection="1">
      <alignment horizontal="left" vertical="center"/>
      <protection locked="0" hidden="1"/>
    </xf>
    <xf numFmtId="164" fontId="14" fillId="3" borderId="0" xfId="0" applyNumberFormat="1" applyFont="1" applyFill="1" applyAlignment="1" applyProtection="1">
      <alignment horizontal="center" vertical="center"/>
      <protection hidden="1"/>
    </xf>
    <xf numFmtId="0" fontId="12" fillId="6" borderId="0" xfId="0" applyFont="1" applyFill="1" applyAlignment="1" applyProtection="1">
      <alignment horizontal="center" vertical="center"/>
      <protection hidden="1"/>
    </xf>
    <xf numFmtId="164" fontId="3" fillId="3" borderId="0" xfId="0" applyNumberFormat="1" applyFont="1" applyFill="1" applyAlignment="1" applyProtection="1">
      <alignment horizontal="left" vertical="center" wrapText="1"/>
      <protection hidden="1"/>
    </xf>
    <xf numFmtId="0" fontId="3" fillId="9" borderId="0" xfId="0" applyFont="1" applyFill="1" applyAlignment="1" applyProtection="1">
      <alignment horizontal="right" vertical="center"/>
      <protection locked="0"/>
    </xf>
    <xf numFmtId="0" fontId="3" fillId="9" borderId="0" xfId="0" applyFont="1" applyFill="1" applyAlignment="1" applyProtection="1">
      <alignment horizontal="center" vertical="center"/>
      <protection locked="0"/>
    </xf>
    <xf numFmtId="164" fontId="3" fillId="9" borderId="0" xfId="0" applyNumberFormat="1" applyFont="1" applyFill="1" applyAlignment="1" applyProtection="1">
      <alignment horizontal="left" vertical="center"/>
      <protection locked="0"/>
    </xf>
    <xf numFmtId="0" fontId="85" fillId="12" borderId="0" xfId="0" applyFont="1" applyFill="1" applyAlignment="1" applyProtection="1">
      <alignment horizontal="center" vertical="center"/>
      <protection hidden="1"/>
    </xf>
    <xf numFmtId="0" fontId="105" fillId="3" borderId="0" xfId="0" quotePrefix="1" applyFont="1" applyFill="1" applyAlignment="1" applyProtection="1">
      <alignment horizontal="left" vertical="center"/>
      <protection hidden="1"/>
    </xf>
    <xf numFmtId="0" fontId="71" fillId="14" borderId="0" xfId="1" quotePrefix="1" applyFont="1" applyFill="1" applyAlignment="1" applyProtection="1">
      <alignment horizontal="right" vertical="center"/>
    </xf>
    <xf numFmtId="0" fontId="5" fillId="14" borderId="0" xfId="1" applyFill="1" applyAlignment="1" applyProtection="1">
      <alignment horizontal="left" vertical="center"/>
    </xf>
    <xf numFmtId="0" fontId="145" fillId="14" borderId="0" xfId="0" applyFont="1" applyFill="1" applyAlignment="1" applyProtection="1">
      <alignment horizontal="left" vertical="center"/>
      <protection hidden="1"/>
    </xf>
    <xf numFmtId="0" fontId="39" fillId="23" borderId="0" xfId="0" applyFont="1" applyFill="1" applyAlignment="1" applyProtection="1">
      <alignment vertical="center"/>
      <protection hidden="1"/>
    </xf>
    <xf numFmtId="4" fontId="39" fillId="23" borderId="0" xfId="0" applyNumberFormat="1" applyFont="1" applyFill="1" applyAlignment="1" applyProtection="1">
      <alignment horizontal="left" vertical="center"/>
      <protection hidden="1"/>
    </xf>
    <xf numFmtId="0" fontId="39" fillId="0" borderId="0" xfId="0" applyFont="1" applyAlignment="1" applyProtection="1">
      <alignment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65" fillId="0" borderId="0" xfId="0" applyFont="1" applyAlignment="1" applyProtection="1">
      <alignment vertical="center"/>
      <protection hidden="1"/>
    </xf>
    <xf numFmtId="4" fontId="65" fillId="3" borderId="0" xfId="0" applyNumberFormat="1" applyFont="1" applyFill="1" applyAlignment="1" applyProtection="1">
      <alignment horizontal="left" vertical="center"/>
      <protection hidden="1"/>
    </xf>
    <xf numFmtId="4" fontId="36" fillId="0" borderId="0" xfId="0" applyNumberFormat="1" applyFont="1" applyAlignment="1" applyProtection="1">
      <alignment horizontal="left" vertical="center"/>
      <protection hidden="1"/>
    </xf>
    <xf numFmtId="4" fontId="36" fillId="3" borderId="0" xfId="0" applyNumberFormat="1" applyFont="1" applyFill="1" applyAlignment="1" applyProtection="1">
      <alignment horizontal="left" vertical="center"/>
      <protection hidden="1"/>
    </xf>
    <xf numFmtId="0" fontId="2" fillId="18" borderId="20" xfId="0" applyFont="1" applyFill="1" applyBorder="1" applyAlignment="1" applyProtection="1">
      <alignment horizontal="left" vertical="center"/>
      <protection hidden="1"/>
    </xf>
    <xf numFmtId="4" fontId="39" fillId="3" borderId="0" xfId="0" applyNumberFormat="1" applyFont="1" applyFill="1" applyAlignment="1" applyProtection="1">
      <alignment horizontal="left" vertical="center"/>
      <protection hidden="1"/>
    </xf>
    <xf numFmtId="164" fontId="3" fillId="24" borderId="0" xfId="0" applyNumberFormat="1" applyFont="1" applyFill="1" applyAlignment="1" applyProtection="1">
      <alignment horizontal="left" vertical="center"/>
      <protection locked="0"/>
    </xf>
    <xf numFmtId="164" fontId="1" fillId="24" borderId="0" xfId="0" applyNumberFormat="1" applyFont="1" applyFill="1" applyAlignment="1" applyProtection="1">
      <alignment horizontal="left" vertical="center"/>
      <protection hidden="1"/>
    </xf>
    <xf numFmtId="0" fontId="14" fillId="18" borderId="0" xfId="0" applyFont="1" applyFill="1" applyAlignment="1" applyProtection="1">
      <alignment vertical="center"/>
      <protection hidden="1"/>
    </xf>
    <xf numFmtId="0" fontId="14" fillId="18" borderId="0" xfId="0" applyFont="1" applyFill="1" applyAlignment="1" applyProtection="1">
      <alignment horizontal="left" vertical="center"/>
      <protection hidden="1"/>
    </xf>
    <xf numFmtId="0" fontId="154" fillId="18" borderId="0" xfId="0" applyFont="1" applyFill="1" applyAlignment="1" applyProtection="1">
      <alignment vertical="center"/>
      <protection hidden="1"/>
    </xf>
    <xf numFmtId="164" fontId="156" fillId="18" borderId="0" xfId="0" applyNumberFormat="1" applyFont="1" applyFill="1" applyAlignment="1" applyProtection="1">
      <alignment horizontal="left" vertical="center"/>
      <protection hidden="1"/>
    </xf>
    <xf numFmtId="0" fontId="157" fillId="18" borderId="0" xfId="0" applyFont="1" applyFill="1" applyAlignment="1" applyProtection="1">
      <alignment vertical="center"/>
      <protection hidden="1"/>
    </xf>
    <xf numFmtId="0" fontId="157" fillId="18" borderId="0" xfId="0" applyFont="1" applyFill="1" applyAlignment="1" applyProtection="1">
      <alignment horizontal="left" vertical="top"/>
      <protection hidden="1"/>
    </xf>
    <xf numFmtId="164" fontId="158" fillId="18" borderId="20" xfId="0" applyNumberFormat="1" applyFont="1" applyFill="1" applyBorder="1" applyAlignment="1" applyProtection="1">
      <alignment horizontal="right" vertical="center"/>
      <protection hidden="1"/>
    </xf>
    <xf numFmtId="0" fontId="156" fillId="18" borderId="0" xfId="0" quotePrefix="1" applyFont="1" applyFill="1" applyAlignment="1" applyProtection="1">
      <alignment horizontal="right" vertical="center"/>
      <protection hidden="1"/>
    </xf>
    <xf numFmtId="0" fontId="156" fillId="18" borderId="0" xfId="0" applyFont="1" applyFill="1" applyAlignment="1" applyProtection="1">
      <alignment vertical="center"/>
      <protection hidden="1"/>
    </xf>
    <xf numFmtId="0" fontId="157" fillId="18" borderId="0" xfId="0" quotePrefix="1" applyFont="1" applyFill="1" applyAlignment="1" applyProtection="1">
      <alignment vertical="center"/>
      <protection hidden="1"/>
    </xf>
    <xf numFmtId="0" fontId="159" fillId="18" borderId="0" xfId="0" applyFont="1" applyFill="1" applyAlignment="1" applyProtection="1">
      <alignment horizontal="center" vertical="center"/>
      <protection hidden="1"/>
    </xf>
    <xf numFmtId="0" fontId="145" fillId="14" borderId="0" xfId="0" quotePrefix="1" applyFont="1" applyFill="1" applyAlignment="1" applyProtection="1">
      <alignment horizontal="left" vertical="center"/>
      <protection hidden="1"/>
    </xf>
    <xf numFmtId="0" fontId="164" fillId="3" borderId="0" xfId="0" applyFont="1" applyFill="1" applyAlignment="1" applyProtection="1">
      <alignment horizontal="left" vertical="center"/>
      <protection hidden="1"/>
    </xf>
    <xf numFmtId="0" fontId="85" fillId="12" borderId="0" xfId="0" applyFont="1" applyFill="1" applyAlignment="1" applyProtection="1">
      <alignment horizontal="right" vertical="center"/>
      <protection hidden="1"/>
    </xf>
    <xf numFmtId="0" fontId="1" fillId="10" borderId="0" xfId="0" applyFont="1" applyFill="1" applyAlignment="1">
      <alignment horizontal="right" vertical="center"/>
    </xf>
    <xf numFmtId="2" fontId="10" fillId="3" borderId="0" xfId="0" applyNumberFormat="1" applyFont="1" applyFill="1" applyAlignment="1" applyProtection="1">
      <alignment horizontal="right" vertical="center"/>
      <protection hidden="1"/>
    </xf>
    <xf numFmtId="0" fontId="8" fillId="18" borderId="0" xfId="0" quotePrefix="1" applyFont="1" applyFill="1" applyAlignment="1" applyProtection="1">
      <alignment vertical="center"/>
      <protection hidden="1"/>
    </xf>
    <xf numFmtId="0" fontId="110" fillId="18" borderId="0" xfId="0" quotePrefix="1" applyFont="1" applyFill="1" applyAlignment="1" applyProtection="1">
      <alignment horizontal="center" vertical="center"/>
      <protection hidden="1"/>
    </xf>
    <xf numFmtId="9" fontId="102" fillId="18" borderId="0" xfId="0" applyNumberFormat="1" applyFont="1" applyFill="1" applyAlignment="1" applyProtection="1">
      <alignment horizontal="left" vertical="center"/>
      <protection hidden="1"/>
    </xf>
    <xf numFmtId="0" fontId="12" fillId="0" borderId="0" xfId="0" quotePrefix="1" applyFont="1" applyAlignment="1" applyProtection="1">
      <alignment horizontal="center" vertical="center"/>
      <protection hidden="1"/>
    </xf>
    <xf numFmtId="0" fontId="73" fillId="12" borderId="0" xfId="0" quotePrefix="1" applyFont="1" applyFill="1" applyAlignment="1" applyProtection="1">
      <alignment horizontal="right" vertical="center"/>
      <protection hidden="1"/>
    </xf>
    <xf numFmtId="9" fontId="52" fillId="3" borderId="0" xfId="1" applyNumberFormat="1" applyFont="1" applyFill="1" applyBorder="1" applyAlignment="1" applyProtection="1">
      <alignment horizontal="center" vertical="center"/>
      <protection hidden="1"/>
    </xf>
    <xf numFmtId="164" fontId="167" fillId="18" borderId="0" xfId="0" applyNumberFormat="1" applyFont="1" applyFill="1" applyAlignment="1" applyProtection="1">
      <alignment horizontal="left" vertical="center"/>
      <protection hidden="1"/>
    </xf>
    <xf numFmtId="164" fontId="33" fillId="5" borderId="0" xfId="0" applyNumberFormat="1" applyFont="1" applyFill="1" applyAlignment="1" applyProtection="1">
      <alignment horizontal="right" vertical="center"/>
      <protection hidden="1"/>
    </xf>
    <xf numFmtId="0" fontId="171" fillId="4" borderId="0" xfId="0" applyFont="1" applyFill="1" applyAlignment="1" applyProtection="1">
      <alignment horizontal="left" vertical="center"/>
      <protection hidden="1"/>
    </xf>
    <xf numFmtId="0" fontId="170" fillId="6" borderId="0" xfId="0" applyFont="1" applyFill="1" applyAlignment="1" applyProtection="1">
      <alignment horizontal="left" vertical="center"/>
      <protection hidden="1"/>
    </xf>
    <xf numFmtId="0" fontId="33" fillId="0" borderId="0" xfId="0" quotePrefix="1" applyFont="1" applyAlignment="1" applyProtection="1">
      <alignment horizontal="left" vertical="center"/>
      <protection hidden="1"/>
    </xf>
    <xf numFmtId="164" fontId="167" fillId="18" borderId="0" xfId="0" applyNumberFormat="1" applyFont="1" applyFill="1" applyAlignment="1" applyProtection="1">
      <alignment horizontal="right" vertical="center"/>
      <protection hidden="1"/>
    </xf>
    <xf numFmtId="0" fontId="16" fillId="6" borderId="0" xfId="0" applyFont="1" applyFill="1" applyAlignment="1" applyProtection="1">
      <alignment horizontal="left" vertical="center"/>
      <protection hidden="1"/>
    </xf>
    <xf numFmtId="0" fontId="49" fillId="14" borderId="0" xfId="0" applyFont="1" applyFill="1" applyAlignment="1" applyProtection="1">
      <alignment horizontal="right" vertical="center"/>
      <protection hidden="1"/>
    </xf>
    <xf numFmtId="0" fontId="180" fillId="0" borderId="0" xfId="0" applyFont="1" applyAlignment="1" applyProtection="1">
      <alignment horizontal="center" vertical="center"/>
      <protection hidden="1"/>
    </xf>
    <xf numFmtId="0" fontId="181" fillId="20" borderId="0" xfId="0" applyFont="1" applyFill="1" applyAlignment="1" applyProtection="1">
      <alignment horizontal="left"/>
      <protection hidden="1"/>
    </xf>
    <xf numFmtId="0" fontId="182" fillId="3" borderId="0" xfId="0" applyFont="1" applyFill="1" applyAlignment="1" applyProtection="1">
      <alignment horizontal="center" vertical="center"/>
      <protection hidden="1"/>
    </xf>
    <xf numFmtId="0" fontId="182" fillId="3" borderId="0" xfId="0" applyFont="1" applyFill="1" applyAlignment="1" applyProtection="1">
      <alignment horizontal="center" vertical="center"/>
      <protection locked="0" hidden="1"/>
    </xf>
    <xf numFmtId="164" fontId="182" fillId="3" borderId="0" xfId="0" applyNumberFormat="1" applyFont="1" applyFill="1" applyAlignment="1" applyProtection="1">
      <alignment horizontal="center" vertical="center"/>
      <protection hidden="1"/>
    </xf>
    <xf numFmtId="0" fontId="181" fillId="0" borderId="0" xfId="0" applyFont="1" applyAlignment="1" applyProtection="1">
      <alignment vertical="center"/>
      <protection hidden="1"/>
    </xf>
    <xf numFmtId="0" fontId="181" fillId="3" borderId="0" xfId="0" applyFont="1" applyFill="1" applyAlignment="1" applyProtection="1">
      <alignment horizontal="center" vertical="center"/>
      <protection hidden="1"/>
    </xf>
    <xf numFmtId="0" fontId="181" fillId="0" borderId="0" xfId="0" applyFont="1" applyAlignment="1" applyProtection="1">
      <alignment horizontal="center" vertical="center"/>
      <protection hidden="1"/>
    </xf>
    <xf numFmtId="164" fontId="183" fillId="3" borderId="0" xfId="0" applyNumberFormat="1" applyFont="1" applyFill="1" applyAlignment="1" applyProtection="1">
      <alignment horizontal="center" vertical="center"/>
      <protection hidden="1"/>
    </xf>
    <xf numFmtId="0" fontId="185" fillId="0" borderId="0" xfId="0" applyFont="1" applyAlignment="1" applyProtection="1">
      <alignment horizontal="center" vertical="center"/>
      <protection hidden="1"/>
    </xf>
    <xf numFmtId="0" fontId="182" fillId="0" borderId="0" xfId="0" applyFont="1" applyAlignment="1" applyProtection="1">
      <alignment horizontal="center" vertical="center"/>
      <protection hidden="1"/>
    </xf>
    <xf numFmtId="164" fontId="185" fillId="3" borderId="0" xfId="0" applyNumberFormat="1" applyFont="1" applyFill="1" applyAlignment="1" applyProtection="1">
      <alignment horizontal="center" vertical="center"/>
      <protection hidden="1"/>
    </xf>
    <xf numFmtId="164" fontId="182" fillId="3" borderId="0" xfId="0" applyNumberFormat="1" applyFont="1" applyFill="1" applyAlignment="1" applyProtection="1">
      <alignment horizontal="center" vertical="center"/>
      <protection locked="0" hidden="1"/>
    </xf>
    <xf numFmtId="164" fontId="186" fillId="3" borderId="0" xfId="0" applyNumberFormat="1" applyFont="1" applyFill="1" applyAlignment="1" applyProtection="1">
      <alignment horizontal="center" vertical="center"/>
      <protection hidden="1"/>
    </xf>
    <xf numFmtId="0" fontId="181" fillId="18" borderId="0" xfId="0" applyFont="1" applyFill="1" applyAlignment="1" applyProtection="1">
      <alignment vertical="center"/>
      <protection hidden="1"/>
    </xf>
    <xf numFmtId="0" fontId="181" fillId="3" borderId="0" xfId="0" applyFont="1" applyFill="1" applyAlignment="1" applyProtection="1">
      <alignment vertical="center"/>
      <protection hidden="1"/>
    </xf>
    <xf numFmtId="0" fontId="187" fillId="18" borderId="0" xfId="0" applyFont="1" applyFill="1" applyAlignment="1" applyProtection="1">
      <alignment vertical="center"/>
      <protection hidden="1"/>
    </xf>
    <xf numFmtId="0" fontId="181" fillId="18" borderId="0" xfId="0" applyFont="1" applyFill="1" applyAlignment="1" applyProtection="1">
      <alignment horizontal="right" vertical="center"/>
      <protection hidden="1"/>
    </xf>
    <xf numFmtId="164" fontId="181" fillId="18" borderId="0" xfId="0" applyNumberFormat="1" applyFont="1" applyFill="1" applyAlignment="1" applyProtection="1">
      <alignment horizontal="center" vertical="center"/>
      <protection hidden="1"/>
    </xf>
    <xf numFmtId="0" fontId="181" fillId="18" borderId="0" xfId="0" applyFont="1" applyFill="1" applyAlignment="1" applyProtection="1">
      <alignment horizontal="center" vertical="center"/>
      <protection hidden="1"/>
    </xf>
    <xf numFmtId="0" fontId="182" fillId="18" borderId="0" xfId="0" applyFont="1" applyFill="1" applyAlignment="1" applyProtection="1">
      <alignment vertical="center"/>
      <protection hidden="1"/>
    </xf>
    <xf numFmtId="164" fontId="14" fillId="8" borderId="0" xfId="0" applyNumberFormat="1" applyFont="1" applyFill="1" applyAlignment="1" applyProtection="1">
      <alignment horizontal="left" vertical="center"/>
      <protection locked="0" hidden="1"/>
    </xf>
    <xf numFmtId="0" fontId="192" fillId="3" borderId="0" xfId="0" applyFont="1" applyFill="1" applyAlignment="1" applyProtection="1">
      <alignment horizontal="center" vertical="center"/>
      <protection hidden="1"/>
    </xf>
    <xf numFmtId="164" fontId="193" fillId="12" borderId="0" xfId="0" applyNumberFormat="1" applyFont="1" applyFill="1" applyAlignment="1" applyProtection="1">
      <alignment horizontal="right" vertical="center"/>
      <protection hidden="1"/>
    </xf>
    <xf numFmtId="0" fontId="195" fillId="0" borderId="0" xfId="0" applyFont="1" applyAlignment="1" applyProtection="1">
      <alignment vertical="center"/>
      <protection hidden="1"/>
    </xf>
    <xf numFmtId="0" fontId="2" fillId="6" borderId="0" xfId="0" applyFont="1" applyFill="1" applyAlignment="1">
      <alignment horizontal="left" vertical="center"/>
    </xf>
    <xf numFmtId="0" fontId="197" fillId="18" borderId="0" xfId="0" applyFont="1" applyFill="1" applyAlignment="1" applyProtection="1">
      <alignment horizontal="center" vertical="center"/>
      <protection hidden="1"/>
    </xf>
    <xf numFmtId="0" fontId="97" fillId="28" borderId="0" xfId="0" applyFont="1" applyFill="1" applyAlignment="1" applyProtection="1">
      <alignment horizontal="center" vertical="center"/>
      <protection hidden="1"/>
    </xf>
    <xf numFmtId="0" fontId="97" fillId="29" borderId="0" xfId="0" applyFont="1" applyFill="1" applyAlignment="1" applyProtection="1">
      <alignment horizontal="center" vertical="center"/>
      <protection hidden="1"/>
    </xf>
    <xf numFmtId="0" fontId="9" fillId="6" borderId="22" xfId="0" applyFont="1" applyFill="1" applyBorder="1" applyAlignment="1" applyProtection="1">
      <alignment horizontal="right" vertical="center"/>
      <protection hidden="1"/>
    </xf>
    <xf numFmtId="0" fontId="25" fillId="3" borderId="0" xfId="0" applyFont="1" applyFill="1" applyAlignment="1" applyProtection="1">
      <alignment horizontal="center" vertical="center"/>
      <protection hidden="1"/>
    </xf>
    <xf numFmtId="0" fontId="185" fillId="3" borderId="0" xfId="0" applyFont="1" applyFill="1" applyAlignment="1" applyProtection="1">
      <alignment horizontal="center" vertical="center"/>
      <protection hidden="1"/>
    </xf>
    <xf numFmtId="0" fontId="2" fillId="6" borderId="22" xfId="0" applyFont="1" applyFill="1" applyBorder="1" applyAlignment="1">
      <alignment horizontal="left" vertical="center"/>
    </xf>
    <xf numFmtId="0" fontId="182" fillId="3" borderId="0" xfId="0" applyFont="1" applyFill="1" applyAlignment="1" applyProtection="1">
      <alignment horizontal="left" vertical="center"/>
      <protection hidden="1"/>
    </xf>
    <xf numFmtId="0" fontId="9" fillId="6" borderId="23" xfId="0" applyFont="1" applyFill="1" applyBorder="1" applyAlignment="1" applyProtection="1">
      <alignment horizontal="right" vertical="center"/>
      <protection hidden="1"/>
    </xf>
    <xf numFmtId="0" fontId="27" fillId="28" borderId="0" xfId="0" applyFont="1" applyFill="1" applyAlignment="1" applyProtection="1">
      <alignment horizontal="left" vertical="center"/>
      <protection hidden="1"/>
    </xf>
    <xf numFmtId="0" fontId="27" fillId="28" borderId="0" xfId="0" applyFont="1" applyFill="1" applyAlignment="1" applyProtection="1">
      <alignment horizontal="center" vertical="center"/>
      <protection hidden="1"/>
    </xf>
    <xf numFmtId="164" fontId="27" fillId="28" borderId="0" xfId="0" applyNumberFormat="1" applyFont="1" applyFill="1" applyAlignment="1" applyProtection="1">
      <alignment vertical="center"/>
      <protection hidden="1"/>
    </xf>
    <xf numFmtId="164" fontId="97" fillId="28" borderId="0" xfId="0" applyNumberFormat="1" applyFont="1" applyFill="1" applyAlignment="1" applyProtection="1">
      <alignment horizontal="center" vertical="center"/>
      <protection hidden="1"/>
    </xf>
    <xf numFmtId="0" fontId="14" fillId="0" borderId="22" xfId="0" applyFont="1" applyBorder="1" applyAlignment="1" applyProtection="1">
      <alignment horizontal="left" vertical="center"/>
      <protection hidden="1"/>
    </xf>
    <xf numFmtId="0" fontId="82" fillId="0" borderId="22" xfId="0" applyFont="1" applyBorder="1" applyAlignment="1" applyProtection="1">
      <alignment horizontal="left" vertical="center"/>
      <protection hidden="1"/>
    </xf>
    <xf numFmtId="0" fontId="182" fillId="6" borderId="0" xfId="0" applyFont="1" applyFill="1" applyAlignment="1">
      <alignment horizontal="left" vertical="center"/>
    </xf>
    <xf numFmtId="0" fontId="16" fillId="0" borderId="0" xfId="0" applyFont="1" applyAlignment="1" applyProtection="1">
      <alignment horizontal="center" vertical="center"/>
      <protection hidden="1"/>
    </xf>
    <xf numFmtId="16" fontId="9" fillId="5" borderId="0" xfId="0" applyNumberFormat="1" applyFont="1" applyFill="1" applyAlignment="1" applyProtection="1">
      <alignment horizontal="center" vertical="center"/>
      <protection hidden="1"/>
    </xf>
    <xf numFmtId="164" fontId="58" fillId="0" borderId="0" xfId="0" applyNumberFormat="1" applyFont="1" applyAlignment="1" applyProtection="1">
      <alignment horizontal="left" vertical="center"/>
      <protection hidden="1"/>
    </xf>
    <xf numFmtId="0" fontId="9" fillId="5" borderId="0" xfId="0" quotePrefix="1" applyFont="1" applyFill="1" applyAlignment="1" applyProtection="1">
      <alignment horizontal="center" vertical="center"/>
      <protection hidden="1"/>
    </xf>
    <xf numFmtId="0" fontId="1" fillId="5" borderId="0" xfId="0" quotePrefix="1" applyFont="1" applyFill="1" applyAlignment="1" applyProtection="1">
      <alignment horizontal="center" vertical="center"/>
      <protection hidden="1"/>
    </xf>
    <xf numFmtId="0" fontId="63" fillId="28" borderId="22" xfId="0" quotePrefix="1" applyFont="1" applyFill="1" applyBorder="1" applyAlignment="1" applyProtection="1">
      <alignment vertical="center"/>
      <protection hidden="1"/>
    </xf>
    <xf numFmtId="17" fontId="9" fillId="6" borderId="0" xfId="0" quotePrefix="1" applyNumberFormat="1" applyFont="1" applyFill="1" applyAlignment="1" applyProtection="1">
      <alignment horizontal="center" vertical="center"/>
      <protection hidden="1"/>
    </xf>
    <xf numFmtId="0" fontId="58" fillId="3" borderId="0" xfId="0" applyFont="1" applyFill="1" applyAlignment="1" applyProtection="1">
      <alignment horizontal="center" vertical="center"/>
      <protection hidden="1"/>
    </xf>
    <xf numFmtId="17" fontId="9" fillId="6" borderId="0" xfId="0" applyNumberFormat="1" applyFont="1" applyFill="1" applyAlignment="1" applyProtection="1">
      <alignment horizontal="center" vertical="center"/>
      <protection hidden="1"/>
    </xf>
    <xf numFmtId="0" fontId="3" fillId="6" borderId="22" xfId="0" applyFont="1" applyFill="1" applyBorder="1" applyAlignment="1" applyProtection="1">
      <alignment horizontal="right" vertical="center"/>
      <protection hidden="1"/>
    </xf>
    <xf numFmtId="0" fontId="3" fillId="6" borderId="0" xfId="0" applyFont="1" applyFill="1" applyAlignment="1" applyProtection="1">
      <alignment horizontal="center" vertical="center"/>
      <protection hidden="1"/>
    </xf>
    <xf numFmtId="164" fontId="3" fillId="6" borderId="0" xfId="0" applyNumberFormat="1" applyFont="1" applyFill="1" applyAlignment="1" applyProtection="1">
      <alignment horizontal="left" vertical="center"/>
      <protection hidden="1"/>
    </xf>
    <xf numFmtId="0" fontId="3" fillId="6" borderId="0" xfId="0" applyFont="1" applyFill="1" applyAlignment="1" applyProtection="1">
      <alignment horizontal="left" vertical="center"/>
      <protection hidden="1"/>
    </xf>
    <xf numFmtId="164" fontId="27" fillId="3" borderId="0" xfId="0" applyNumberFormat="1" applyFont="1" applyFill="1" applyAlignment="1" applyProtection="1">
      <alignment horizontal="center" vertical="center"/>
      <protection hidden="1"/>
    </xf>
    <xf numFmtId="164" fontId="1" fillId="3" borderId="0" xfId="0" applyNumberFormat="1" applyFont="1" applyFill="1" applyAlignment="1" applyProtection="1">
      <alignment horizontal="center" vertical="center"/>
      <protection hidden="1"/>
    </xf>
    <xf numFmtId="0" fontId="1" fillId="6" borderId="0" xfId="0" quotePrefix="1" applyFont="1" applyFill="1" applyAlignment="1" applyProtection="1">
      <alignment horizontal="center" vertical="center"/>
      <protection hidden="1"/>
    </xf>
    <xf numFmtId="0" fontId="9" fillId="6" borderId="24" xfId="0" applyFont="1" applyFill="1" applyBorder="1" applyAlignment="1" applyProtection="1">
      <alignment horizontal="right" vertical="center"/>
      <protection hidden="1"/>
    </xf>
    <xf numFmtId="0" fontId="17" fillId="30" borderId="0" xfId="0" applyFont="1" applyFill="1" applyAlignment="1" applyProtection="1">
      <alignment vertical="center"/>
      <protection hidden="1"/>
    </xf>
    <xf numFmtId="0" fontId="63" fillId="30" borderId="25" xfId="0" quotePrefix="1" applyFont="1" applyFill="1" applyBorder="1" applyAlignment="1" applyProtection="1">
      <alignment vertical="center"/>
      <protection hidden="1"/>
    </xf>
    <xf numFmtId="0" fontId="17" fillId="30" borderId="0" xfId="0" applyFont="1" applyFill="1" applyAlignment="1" applyProtection="1">
      <alignment horizontal="left" vertical="center"/>
      <protection hidden="1"/>
    </xf>
    <xf numFmtId="0" fontId="17" fillId="30" borderId="0" xfId="0" applyFont="1" applyFill="1" applyAlignment="1" applyProtection="1">
      <alignment horizontal="center" vertical="center"/>
      <protection hidden="1"/>
    </xf>
    <xf numFmtId="0" fontId="63" fillId="30" borderId="0" xfId="0" applyFont="1" applyFill="1" applyAlignment="1" applyProtection="1">
      <alignment horizontal="center" vertical="center"/>
      <protection hidden="1"/>
    </xf>
    <xf numFmtId="0" fontId="72" fillId="30" borderId="0" xfId="0" applyFont="1" applyFill="1" applyAlignment="1" applyProtection="1">
      <alignment horizontal="center" vertical="center"/>
      <protection hidden="1"/>
    </xf>
    <xf numFmtId="0" fontId="9" fillId="5" borderId="25" xfId="0" applyFont="1" applyFill="1" applyBorder="1" applyAlignment="1" applyProtection="1">
      <alignment horizontal="right" vertical="center"/>
      <protection hidden="1"/>
    </xf>
    <xf numFmtId="0" fontId="9" fillId="4" borderId="25" xfId="0" applyFont="1" applyFill="1" applyBorder="1" applyAlignment="1" applyProtection="1">
      <alignment horizontal="right" vertical="center"/>
      <protection hidden="1"/>
    </xf>
    <xf numFmtId="0" fontId="97" fillId="30" borderId="0" xfId="0" applyFont="1" applyFill="1" applyAlignment="1" applyProtection="1">
      <alignment horizontal="center" vertical="center"/>
      <protection hidden="1"/>
    </xf>
    <xf numFmtId="0" fontId="39" fillId="5" borderId="0" xfId="0" applyFont="1" applyFill="1" applyAlignment="1" applyProtection="1">
      <alignment horizontal="center" vertical="center"/>
      <protection hidden="1"/>
    </xf>
    <xf numFmtId="164" fontId="184" fillId="3" borderId="0" xfId="0" applyNumberFormat="1" applyFont="1" applyFill="1" applyAlignment="1" applyProtection="1">
      <alignment horizontal="center" vertical="center"/>
      <protection hidden="1"/>
    </xf>
    <xf numFmtId="20" fontId="9" fillId="5" borderId="0" xfId="0" applyNumberFormat="1" applyFont="1" applyFill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horizontal="center" vertical="center"/>
      <protection hidden="1"/>
    </xf>
    <xf numFmtId="46" fontId="9" fillId="5" borderId="0" xfId="0" applyNumberFormat="1" applyFont="1" applyFill="1" applyAlignment="1" applyProtection="1">
      <alignment horizontal="center" vertical="center"/>
      <protection hidden="1"/>
    </xf>
    <xf numFmtId="164" fontId="4" fillId="3" borderId="0" xfId="0" applyNumberFormat="1" applyFont="1" applyFill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42" fillId="3" borderId="0" xfId="1" quotePrefix="1" applyFont="1" applyFill="1" applyAlignment="1" applyProtection="1">
      <alignment horizontal="left" vertical="center"/>
      <protection hidden="1"/>
    </xf>
    <xf numFmtId="0" fontId="207" fillId="0" borderId="0" xfId="0" applyFont="1" applyAlignment="1" applyProtection="1">
      <alignment horizontal="right" vertical="center"/>
      <protection hidden="1"/>
    </xf>
    <xf numFmtId="0" fontId="33" fillId="3" borderId="0" xfId="1" quotePrefix="1" applyFont="1" applyFill="1" applyAlignment="1" applyProtection="1">
      <alignment horizontal="left" vertical="center"/>
      <protection hidden="1"/>
    </xf>
    <xf numFmtId="0" fontId="112" fillId="12" borderId="0" xfId="1" quotePrefix="1" applyFont="1" applyFill="1" applyAlignment="1" applyProtection="1">
      <alignment horizontal="center" vertical="center"/>
      <protection hidden="1"/>
    </xf>
    <xf numFmtId="0" fontId="107" fillId="12" borderId="0" xfId="0" applyFont="1" applyFill="1" applyAlignment="1" applyProtection="1">
      <alignment horizontal="center" vertical="center"/>
      <protection hidden="1"/>
    </xf>
    <xf numFmtId="0" fontId="33" fillId="12" borderId="0" xfId="0" applyFont="1" applyFill="1" applyAlignment="1" applyProtection="1">
      <alignment horizontal="right" vertical="center"/>
      <protection hidden="1"/>
    </xf>
    <xf numFmtId="0" fontId="112" fillId="12" borderId="0" xfId="1" applyFont="1" applyFill="1" applyBorder="1" applyAlignment="1" applyProtection="1">
      <alignment horizontal="left" vertical="center"/>
      <protection hidden="1"/>
    </xf>
    <xf numFmtId="0" fontId="81" fillId="18" borderId="0" xfId="1" applyFont="1" applyFill="1" applyBorder="1" applyAlignment="1" applyProtection="1">
      <alignment horizontal="center" vertical="center"/>
      <protection hidden="1"/>
    </xf>
    <xf numFmtId="164" fontId="9" fillId="31" borderId="0" xfId="0" applyNumberFormat="1" applyFont="1" applyFill="1" applyAlignment="1" applyProtection="1">
      <alignment vertical="center"/>
      <protection hidden="1"/>
    </xf>
    <xf numFmtId="164" fontId="9" fillId="31" borderId="0" xfId="0" applyNumberFormat="1" applyFont="1" applyFill="1" applyAlignment="1" applyProtection="1">
      <alignment horizontal="center" vertical="center"/>
      <protection hidden="1"/>
    </xf>
    <xf numFmtId="0" fontId="170" fillId="5" borderId="0" xfId="0" applyFont="1" applyFill="1" applyAlignment="1" applyProtection="1">
      <alignment horizontal="left" vertical="center"/>
      <protection hidden="1"/>
    </xf>
    <xf numFmtId="0" fontId="212" fillId="8" borderId="29" xfId="0" applyFont="1" applyFill="1" applyBorder="1" applyAlignment="1" applyProtection="1">
      <alignment horizontal="left" vertical="center"/>
      <protection locked="0" hidden="1"/>
    </xf>
    <xf numFmtId="164" fontId="87" fillId="18" borderId="0" xfId="0" applyNumberFormat="1" applyFont="1" applyFill="1" applyAlignment="1" applyProtection="1">
      <alignment horizontal="center" vertical="center"/>
      <protection hidden="1"/>
    </xf>
    <xf numFmtId="164" fontId="214" fillId="18" borderId="0" xfId="0" applyNumberFormat="1" applyFont="1" applyFill="1" applyAlignment="1" applyProtection="1">
      <alignment horizontal="right" vertical="center"/>
      <protection hidden="1"/>
    </xf>
    <xf numFmtId="0" fontId="9" fillId="32" borderId="0" xfId="0" applyFont="1" applyFill="1" applyAlignment="1">
      <alignment horizontal="left" vertical="center"/>
    </xf>
    <xf numFmtId="0" fontId="9" fillId="32" borderId="0" xfId="0" applyFont="1" applyFill="1" applyAlignment="1">
      <alignment vertical="center"/>
    </xf>
    <xf numFmtId="0" fontId="3" fillId="32" borderId="0" xfId="0" applyFont="1" applyFill="1" applyAlignment="1">
      <alignment horizontal="left" vertical="center"/>
    </xf>
    <xf numFmtId="0" fontId="108" fillId="32" borderId="0" xfId="1" applyFont="1" applyFill="1" applyAlignment="1" applyProtection="1">
      <alignment horizontal="right" vertical="center"/>
      <protection hidden="1"/>
    </xf>
    <xf numFmtId="0" fontId="9" fillId="5" borderId="30" xfId="0" applyFont="1" applyFill="1" applyBorder="1" applyAlignment="1" applyProtection="1">
      <alignment horizontal="right" vertical="center"/>
      <protection hidden="1"/>
    </xf>
    <xf numFmtId="0" fontId="9" fillId="6" borderId="31" xfId="0" applyFont="1" applyFill="1" applyBorder="1" applyAlignment="1" applyProtection="1">
      <alignment horizontal="right" vertical="center"/>
      <protection hidden="1"/>
    </xf>
    <xf numFmtId="0" fontId="9" fillId="6" borderId="0" xfId="0" quotePrefix="1" applyFont="1" applyFill="1" applyAlignment="1" applyProtection="1">
      <alignment horizontal="left" vertical="center"/>
      <protection hidden="1"/>
    </xf>
    <xf numFmtId="164" fontId="55" fillId="0" borderId="0" xfId="0" applyNumberFormat="1" applyFont="1" applyAlignment="1" applyProtection="1">
      <alignment horizontal="left" vertical="center"/>
      <protection hidden="1"/>
    </xf>
    <xf numFmtId="0" fontId="6" fillId="3" borderId="0" xfId="0" applyFont="1" applyFill="1" applyAlignment="1" applyProtection="1">
      <alignment horizontal="left" vertical="center"/>
      <protection hidden="1"/>
    </xf>
    <xf numFmtId="0" fontId="9" fillId="6" borderId="33" xfId="0" applyFont="1" applyFill="1" applyBorder="1" applyAlignment="1" applyProtection="1">
      <alignment horizontal="right" vertical="center"/>
      <protection hidden="1"/>
    </xf>
    <xf numFmtId="0" fontId="131" fillId="13" borderId="0" xfId="0" applyFont="1" applyFill="1" applyAlignment="1" applyProtection="1">
      <alignment horizontal="left" vertical="center"/>
      <protection hidden="1"/>
    </xf>
    <xf numFmtId="0" fontId="97" fillId="37" borderId="0" xfId="0" applyFont="1" applyFill="1" applyAlignment="1" applyProtection="1">
      <alignment horizontal="center" vertical="center"/>
      <protection hidden="1"/>
    </xf>
    <xf numFmtId="0" fontId="9" fillId="6" borderId="34" xfId="0" applyFont="1" applyFill="1" applyBorder="1" applyAlignment="1" applyProtection="1">
      <alignment horizontal="right" vertical="center"/>
      <protection hidden="1"/>
    </xf>
    <xf numFmtId="0" fontId="9" fillId="5" borderId="34" xfId="0" applyFont="1" applyFill="1" applyBorder="1" applyAlignment="1" applyProtection="1">
      <alignment horizontal="right" vertical="center"/>
      <protection hidden="1"/>
    </xf>
    <xf numFmtId="0" fontId="73" fillId="12" borderId="0" xfId="0" quotePrefix="1" applyFont="1" applyFill="1" applyAlignment="1" applyProtection="1">
      <alignment horizontal="left" vertical="center"/>
      <protection hidden="1"/>
    </xf>
    <xf numFmtId="9" fontId="52" fillId="18" borderId="0" xfId="1" applyNumberFormat="1" applyFont="1" applyFill="1" applyBorder="1" applyAlignment="1" applyProtection="1">
      <alignment horizontal="left" vertical="center"/>
      <protection hidden="1"/>
    </xf>
    <xf numFmtId="164" fontId="182" fillId="12" borderId="0" xfId="0" applyNumberFormat="1" applyFont="1" applyFill="1" applyAlignment="1" applyProtection="1">
      <alignment horizontal="center" vertical="center"/>
      <protection hidden="1"/>
    </xf>
    <xf numFmtId="0" fontId="135" fillId="15" borderId="0" xfId="0" applyFont="1" applyFill="1" applyAlignment="1" applyProtection="1">
      <alignment horizontal="center" vertical="top"/>
      <protection hidden="1"/>
    </xf>
    <xf numFmtId="0" fontId="5" fillId="14" borderId="0" xfId="1" applyFill="1" applyAlignment="1" applyProtection="1">
      <alignment horizontal="right" vertical="center"/>
      <protection hidden="1"/>
    </xf>
    <xf numFmtId="0" fontId="0" fillId="14" borderId="0" xfId="0" applyFill="1" applyAlignment="1" applyProtection="1">
      <alignment vertical="center"/>
      <protection hidden="1"/>
    </xf>
    <xf numFmtId="0" fontId="82" fillId="0" borderId="25" xfId="0" applyFont="1" applyBorder="1" applyAlignment="1" applyProtection="1">
      <alignment vertical="center"/>
      <protection hidden="1"/>
    </xf>
    <xf numFmtId="0" fontId="50" fillId="0" borderId="25" xfId="0" applyFont="1" applyBorder="1" applyAlignment="1" applyProtection="1">
      <alignment vertical="center"/>
      <protection hidden="1"/>
    </xf>
    <xf numFmtId="0" fontId="22" fillId="0" borderId="25" xfId="0" applyFont="1" applyBorder="1" applyAlignment="1" applyProtection="1">
      <alignment horizontal="left" vertical="center"/>
      <protection hidden="1"/>
    </xf>
    <xf numFmtId="0" fontId="35" fillId="0" borderId="30" xfId="0" applyFont="1" applyBorder="1" applyAlignment="1" applyProtection="1">
      <alignment vertical="center"/>
      <protection hidden="1"/>
    </xf>
    <xf numFmtId="0" fontId="22" fillId="3" borderId="25" xfId="0" applyFont="1" applyFill="1" applyBorder="1" applyAlignment="1" applyProtection="1">
      <alignment horizontal="right" vertical="center"/>
      <protection hidden="1"/>
    </xf>
    <xf numFmtId="0" fontId="22" fillId="3" borderId="25" xfId="0" applyFont="1" applyFill="1" applyBorder="1" applyAlignment="1" applyProtection="1">
      <alignment horizontal="left" vertical="center"/>
      <protection hidden="1"/>
    </xf>
    <xf numFmtId="0" fontId="35" fillId="0" borderId="25" xfId="0" applyFont="1" applyBorder="1" applyAlignment="1" applyProtection="1">
      <alignment vertical="center"/>
      <protection hidden="1"/>
    </xf>
    <xf numFmtId="0" fontId="82" fillId="0" borderId="25" xfId="0" applyFont="1" applyBorder="1" applyAlignment="1" applyProtection="1">
      <alignment horizontal="left"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82" fillId="3" borderId="22" xfId="0" applyFont="1" applyFill="1" applyBorder="1" applyAlignment="1" applyProtection="1">
      <alignment horizontal="left" vertical="center"/>
      <protection hidden="1"/>
    </xf>
    <xf numFmtId="0" fontId="22" fillId="3" borderId="22" xfId="0" applyFont="1" applyFill="1" applyBorder="1" applyAlignment="1" applyProtection="1">
      <alignment horizontal="right" vertical="center"/>
      <protection hidden="1"/>
    </xf>
    <xf numFmtId="0" fontId="22" fillId="0" borderId="22" xfId="0" applyFont="1" applyBorder="1" applyAlignment="1" applyProtection="1">
      <alignment horizontal="left" vertical="center"/>
      <protection hidden="1"/>
    </xf>
    <xf numFmtId="0" fontId="35" fillId="0" borderId="22" xfId="0" applyFont="1" applyBorder="1" applyAlignment="1" applyProtection="1">
      <alignment vertical="center"/>
      <protection hidden="1"/>
    </xf>
    <xf numFmtId="0" fontId="82" fillId="3" borderId="31" xfId="0" applyFont="1" applyFill="1" applyBorder="1" applyAlignment="1" applyProtection="1">
      <alignment horizontal="left" vertical="center"/>
      <protection hidden="1"/>
    </xf>
    <xf numFmtId="0" fontId="22" fillId="3" borderId="22" xfId="0" applyFont="1" applyFill="1" applyBorder="1" applyAlignment="1" applyProtection="1">
      <alignment horizontal="left" vertical="center"/>
      <protection hidden="1"/>
    </xf>
    <xf numFmtId="0" fontId="35" fillId="0" borderId="31" xfId="0" applyFont="1" applyBorder="1" applyAlignment="1" applyProtection="1">
      <alignment vertical="center"/>
      <protection hidden="1"/>
    </xf>
    <xf numFmtId="0" fontId="82" fillId="0" borderId="22" xfId="0" applyFont="1" applyBorder="1" applyAlignment="1" applyProtection="1">
      <alignment vertical="center"/>
      <protection hidden="1"/>
    </xf>
    <xf numFmtId="0" fontId="228" fillId="3" borderId="22" xfId="0" applyFont="1" applyFill="1" applyBorder="1" applyAlignment="1" applyProtection="1">
      <alignment horizontal="right" vertical="center"/>
      <protection hidden="1"/>
    </xf>
    <xf numFmtId="0" fontId="22" fillId="0" borderId="22" xfId="0" applyFont="1" applyBorder="1" applyAlignment="1" applyProtection="1">
      <alignment vertical="center"/>
      <protection hidden="1"/>
    </xf>
    <xf numFmtId="0" fontId="22" fillId="0" borderId="25" xfId="0" applyFont="1" applyBorder="1" applyAlignment="1" applyProtection="1">
      <alignment vertical="center"/>
      <protection hidden="1"/>
    </xf>
    <xf numFmtId="0" fontId="82" fillId="3" borderId="25" xfId="0" applyFont="1" applyFill="1" applyBorder="1" applyAlignment="1" applyProtection="1">
      <alignment horizontal="left" vertical="center"/>
      <protection hidden="1"/>
    </xf>
    <xf numFmtId="0" fontId="82" fillId="3" borderId="30" xfId="0" applyFont="1" applyFill="1" applyBorder="1" applyAlignment="1" applyProtection="1">
      <alignment horizontal="left" vertical="center"/>
      <protection hidden="1"/>
    </xf>
    <xf numFmtId="0" fontId="35" fillId="0" borderId="24" xfId="0" applyFont="1" applyBorder="1" applyAlignment="1" applyProtection="1">
      <alignment vertical="center"/>
      <protection hidden="1"/>
    </xf>
    <xf numFmtId="0" fontId="22" fillId="3" borderId="0" xfId="0" applyFont="1" applyFill="1" applyAlignment="1" applyProtection="1">
      <alignment horizontal="left" vertical="center"/>
      <protection hidden="1"/>
    </xf>
    <xf numFmtId="0" fontId="22" fillId="3" borderId="31" xfId="0" applyFont="1" applyFill="1" applyBorder="1" applyAlignment="1" applyProtection="1">
      <alignment horizontal="right" vertical="center"/>
      <protection hidden="1"/>
    </xf>
    <xf numFmtId="0" fontId="82" fillId="0" borderId="0" xfId="0" applyFont="1" applyAlignment="1" applyProtection="1">
      <alignment vertical="center"/>
      <protection hidden="1"/>
    </xf>
    <xf numFmtId="0" fontId="22" fillId="3" borderId="23" xfId="0" applyFont="1" applyFill="1" applyBorder="1" applyAlignment="1" applyProtection="1">
      <alignment vertical="center"/>
      <protection hidden="1"/>
    </xf>
    <xf numFmtId="0" fontId="82" fillId="3" borderId="23" xfId="0" applyFont="1" applyFill="1" applyBorder="1" applyAlignment="1" applyProtection="1">
      <alignment horizontal="left" vertical="center"/>
      <protection hidden="1"/>
    </xf>
    <xf numFmtId="0" fontId="82" fillId="3" borderId="33" xfId="0" applyFont="1" applyFill="1" applyBorder="1" applyAlignment="1" applyProtection="1">
      <alignment horizontal="left" vertical="center"/>
      <protection hidden="1"/>
    </xf>
    <xf numFmtId="0" fontId="227" fillId="3" borderId="23" xfId="1" applyFont="1" applyFill="1" applyBorder="1" applyAlignment="1" applyProtection="1">
      <alignment vertical="center"/>
      <protection hidden="1"/>
    </xf>
    <xf numFmtId="0" fontId="22" fillId="3" borderId="34" xfId="0" applyFont="1" applyFill="1" applyBorder="1" applyAlignment="1" applyProtection="1">
      <alignment horizontal="right" vertical="center"/>
      <protection hidden="1"/>
    </xf>
    <xf numFmtId="0" fontId="22" fillId="3" borderId="34" xfId="0" applyFont="1" applyFill="1" applyBorder="1" applyAlignment="1" applyProtection="1">
      <alignment horizontal="left" vertical="center"/>
      <protection hidden="1"/>
    </xf>
    <xf numFmtId="0" fontId="82" fillId="0" borderId="34" xfId="0" applyFont="1" applyBorder="1" applyAlignment="1" applyProtection="1">
      <alignment vertical="center"/>
      <protection hidden="1"/>
    </xf>
    <xf numFmtId="0" fontId="82" fillId="3" borderId="34" xfId="0" applyFont="1" applyFill="1" applyBorder="1" applyAlignment="1" applyProtection="1">
      <alignment vertical="center"/>
      <protection hidden="1"/>
    </xf>
    <xf numFmtId="0" fontId="22" fillId="3" borderId="34" xfId="0" applyFont="1" applyFill="1" applyBorder="1" applyAlignment="1" applyProtection="1">
      <alignment vertical="center"/>
      <protection hidden="1"/>
    </xf>
    <xf numFmtId="0" fontId="22" fillId="0" borderId="34" xfId="0" applyFont="1" applyBorder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hidden="1"/>
    </xf>
    <xf numFmtId="164" fontId="230" fillId="0" borderId="25" xfId="0" applyNumberFormat="1" applyFont="1" applyBorder="1" applyAlignment="1" applyProtection="1">
      <alignment horizontal="left" vertical="center"/>
      <protection hidden="1"/>
    </xf>
    <xf numFmtId="0" fontId="22" fillId="0" borderId="22" xfId="0" applyFont="1" applyBorder="1" applyAlignment="1" applyProtection="1">
      <alignment horizontal="right" vertical="center"/>
      <protection hidden="1"/>
    </xf>
    <xf numFmtId="0" fontId="35" fillId="0" borderId="0" xfId="0" applyFont="1" applyAlignment="1" applyProtection="1">
      <alignment vertical="center"/>
      <protection locked="0" hidden="1"/>
    </xf>
    <xf numFmtId="0" fontId="82" fillId="0" borderId="31" xfId="0" applyFont="1" applyBorder="1" applyAlignment="1" applyProtection="1">
      <alignment vertical="center"/>
      <protection hidden="1"/>
    </xf>
    <xf numFmtId="0" fontId="22" fillId="0" borderId="30" xfId="0" applyFont="1" applyBorder="1" applyAlignment="1" applyProtection="1">
      <alignment horizontal="left" vertical="center"/>
      <protection hidden="1"/>
    </xf>
    <xf numFmtId="0" fontId="22" fillId="3" borderId="31" xfId="0" applyFont="1" applyFill="1" applyBorder="1" applyAlignment="1" applyProtection="1">
      <alignment horizontal="left" vertical="center"/>
      <protection hidden="1"/>
    </xf>
    <xf numFmtId="0" fontId="22" fillId="0" borderId="30" xfId="0" applyFont="1" applyBorder="1" applyAlignment="1" applyProtection="1">
      <alignment vertical="center"/>
      <protection hidden="1"/>
    </xf>
    <xf numFmtId="0" fontId="22" fillId="0" borderId="31" xfId="0" applyFont="1" applyBorder="1" applyAlignment="1" applyProtection="1">
      <alignment horizontal="left" vertical="center"/>
      <protection hidden="1"/>
    </xf>
    <xf numFmtId="0" fontId="22" fillId="3" borderId="30" xfId="0" applyFont="1" applyFill="1" applyBorder="1" applyAlignment="1" applyProtection="1">
      <alignment horizontal="left" vertical="center"/>
      <protection hidden="1"/>
    </xf>
    <xf numFmtId="164" fontId="230" fillId="0" borderId="30" xfId="0" applyNumberFormat="1" applyFont="1" applyBorder="1" applyAlignment="1" applyProtection="1">
      <alignment horizontal="left" vertical="center"/>
      <protection hidden="1"/>
    </xf>
    <xf numFmtId="0" fontId="229" fillId="3" borderId="23" xfId="0" applyFont="1" applyFill="1" applyBorder="1" applyAlignment="1" applyProtection="1">
      <alignment horizontal="left" vertical="center"/>
      <protection hidden="1"/>
    </xf>
    <xf numFmtId="0" fontId="54" fillId="24" borderId="0" xfId="0" applyFont="1" applyFill="1" applyAlignment="1" applyProtection="1">
      <alignment horizontal="left" vertical="center"/>
      <protection locked="0" hidden="1"/>
    </xf>
    <xf numFmtId="0" fontId="1" fillId="24" borderId="0" xfId="0" applyFont="1" applyFill="1" applyAlignment="1" applyProtection="1">
      <alignment horizontal="center" vertical="center"/>
      <protection locked="0" hidden="1"/>
    </xf>
    <xf numFmtId="164" fontId="1" fillId="24" borderId="0" xfId="0" applyNumberFormat="1" applyFont="1" applyFill="1" applyAlignment="1" applyProtection="1">
      <alignment horizontal="left" vertical="center"/>
      <protection locked="0" hidden="1"/>
    </xf>
    <xf numFmtId="164" fontId="182" fillId="24" borderId="0" xfId="0" applyNumberFormat="1" applyFont="1" applyFill="1" applyAlignment="1" applyProtection="1">
      <alignment horizontal="center" vertical="center"/>
      <protection locked="0" hidden="1"/>
    </xf>
    <xf numFmtId="0" fontId="14" fillId="24" borderId="0" xfId="0" applyFont="1" applyFill="1" applyAlignment="1" applyProtection="1">
      <alignment horizontal="left" vertical="center"/>
      <protection locked="0" hidden="1"/>
    </xf>
    <xf numFmtId="0" fontId="85" fillId="12" borderId="0" xfId="0" quotePrefix="1" applyFont="1" applyFill="1" applyAlignment="1" applyProtection="1">
      <alignment vertical="center"/>
      <protection hidden="1"/>
    </xf>
    <xf numFmtId="0" fontId="51" fillId="0" borderId="0" xfId="0" applyFont="1"/>
    <xf numFmtId="0" fontId="50" fillId="0" borderId="0" xfId="0" applyFont="1" applyAlignment="1">
      <alignment horizontal="left"/>
    </xf>
    <xf numFmtId="3" fontId="232" fillId="30" borderId="0" xfId="0" applyNumberFormat="1" applyFont="1" applyFill="1" applyAlignment="1" applyProtection="1">
      <alignment horizontal="right" vertical="center"/>
      <protection hidden="1"/>
    </xf>
    <xf numFmtId="0" fontId="233" fillId="30" borderId="0" xfId="0" applyFont="1" applyFill="1" applyAlignment="1" applyProtection="1">
      <alignment horizontal="left" vertical="center"/>
      <protection hidden="1"/>
    </xf>
    <xf numFmtId="3" fontId="232" fillId="28" borderId="0" xfId="0" applyNumberFormat="1" applyFont="1" applyFill="1" applyAlignment="1" applyProtection="1">
      <alignment horizontal="right" vertical="center"/>
      <protection hidden="1"/>
    </xf>
    <xf numFmtId="0" fontId="233" fillId="28" borderId="0" xfId="0" applyFont="1" applyFill="1" applyAlignment="1" applyProtection="1">
      <alignment horizontal="left" vertical="center"/>
      <protection hidden="1"/>
    </xf>
    <xf numFmtId="3" fontId="232" fillId="29" borderId="0" xfId="0" applyNumberFormat="1" applyFont="1" applyFill="1" applyAlignment="1" applyProtection="1">
      <alignment horizontal="right" vertical="center"/>
      <protection hidden="1"/>
    </xf>
    <xf numFmtId="0" fontId="233" fillId="29" borderId="0" xfId="0" applyFont="1" applyFill="1" applyAlignment="1" applyProtection="1">
      <alignment horizontal="left" vertical="center"/>
      <protection hidden="1"/>
    </xf>
    <xf numFmtId="3" fontId="232" fillId="37" borderId="0" xfId="0" applyNumberFormat="1" applyFont="1" applyFill="1" applyAlignment="1" applyProtection="1">
      <alignment horizontal="right" vertical="center"/>
      <protection hidden="1"/>
    </xf>
    <xf numFmtId="0" fontId="233" fillId="37" borderId="0" xfId="0" applyFont="1" applyFill="1" applyAlignment="1" applyProtection="1">
      <alignment horizontal="left" vertical="center"/>
      <protection hidden="1"/>
    </xf>
    <xf numFmtId="0" fontId="233" fillId="30" borderId="0" xfId="0" applyFont="1" applyFill="1" applyAlignment="1" applyProtection="1">
      <alignment horizontal="right" vertical="center"/>
      <protection hidden="1"/>
    </xf>
    <xf numFmtId="0" fontId="234" fillId="28" borderId="0" xfId="0" applyFont="1" applyFill="1" applyAlignment="1" applyProtection="1">
      <alignment horizontal="right" vertical="center"/>
      <protection hidden="1"/>
    </xf>
    <xf numFmtId="0" fontId="211" fillId="3" borderId="0" xfId="1" applyFont="1" applyFill="1" applyBorder="1" applyAlignment="1" applyProtection="1">
      <alignment horizontal="right" vertical="center"/>
      <protection hidden="1"/>
    </xf>
    <xf numFmtId="0" fontId="50" fillId="0" borderId="22" xfId="0" applyFont="1" applyBorder="1" applyAlignment="1" applyProtection="1">
      <alignment vertical="center"/>
      <protection hidden="1"/>
    </xf>
    <xf numFmtId="164" fontId="165" fillId="3" borderId="0" xfId="0" applyNumberFormat="1" applyFont="1" applyFill="1" applyAlignment="1" applyProtection="1">
      <alignment horizontal="right" vertical="center"/>
      <protection hidden="1"/>
    </xf>
    <xf numFmtId="0" fontId="235" fillId="18" borderId="0" xfId="0" quotePrefix="1" applyFont="1" applyFill="1" applyAlignment="1" applyProtection="1">
      <alignment horizontal="right" vertical="center"/>
      <protection hidden="1"/>
    </xf>
    <xf numFmtId="164" fontId="127" fillId="18" borderId="0" xfId="0" applyNumberFormat="1" applyFont="1" applyFill="1" applyAlignment="1" applyProtection="1">
      <alignment vertical="center"/>
      <protection hidden="1"/>
    </xf>
    <xf numFmtId="0" fontId="237" fillId="18" borderId="0" xfId="0" applyFont="1" applyFill="1" applyAlignment="1" applyProtection="1">
      <alignment horizontal="left" vertical="center"/>
      <protection hidden="1"/>
    </xf>
    <xf numFmtId="0" fontId="158" fillId="18" borderId="0" xfId="0" applyFont="1" applyFill="1" applyAlignment="1" applyProtection="1">
      <alignment horizontal="right" vertical="center"/>
      <protection hidden="1"/>
    </xf>
    <xf numFmtId="164" fontId="12" fillId="18" borderId="0" xfId="0" applyNumberFormat="1" applyFont="1" applyFill="1" applyAlignment="1" applyProtection="1">
      <alignment horizontal="left" vertical="center"/>
      <protection hidden="1"/>
    </xf>
    <xf numFmtId="0" fontId="0" fillId="23" borderId="0" xfId="0" applyFill="1" applyAlignment="1" applyProtection="1">
      <alignment vertical="center"/>
      <protection hidden="1"/>
    </xf>
    <xf numFmtId="164" fontId="14" fillId="10" borderId="0" xfId="0" applyNumberFormat="1" applyFont="1" applyFill="1" applyAlignment="1" applyProtection="1">
      <alignment horizontal="left" vertical="center"/>
      <protection hidden="1"/>
    </xf>
    <xf numFmtId="2" fontId="112" fillId="12" borderId="0" xfId="1" applyNumberFormat="1" applyFont="1" applyFill="1" applyBorder="1" applyAlignment="1" applyProtection="1">
      <alignment horizontal="left" vertical="center"/>
      <protection hidden="1"/>
    </xf>
    <xf numFmtId="2" fontId="3" fillId="0" borderId="0" xfId="0" applyNumberFormat="1" applyFont="1" applyAlignment="1" applyProtection="1">
      <alignment horizontal="left" vertical="center" wrapText="1"/>
      <protection hidden="1"/>
    </xf>
    <xf numFmtId="2" fontId="3" fillId="3" borderId="0" xfId="0" applyNumberFormat="1" applyFont="1" applyFill="1" applyAlignment="1" applyProtection="1">
      <alignment horizontal="left" vertical="center" wrapText="1"/>
      <protection hidden="1"/>
    </xf>
    <xf numFmtId="2" fontId="75" fillId="5" borderId="0" xfId="0" applyNumberFormat="1" applyFont="1" applyFill="1" applyAlignment="1" applyProtection="1">
      <alignment horizontal="left" vertical="center" wrapText="1"/>
      <protection hidden="1"/>
    </xf>
    <xf numFmtId="2" fontId="3" fillId="5" borderId="0" xfId="0" applyNumberFormat="1" applyFont="1" applyFill="1" applyAlignment="1" applyProtection="1">
      <alignment horizontal="left" vertical="center" wrapText="1"/>
      <protection hidden="1"/>
    </xf>
    <xf numFmtId="2" fontId="12" fillId="0" borderId="0" xfId="0" applyNumberFormat="1" applyFont="1" applyAlignment="1" applyProtection="1">
      <alignment vertical="center"/>
      <protection hidden="1"/>
    </xf>
    <xf numFmtId="2" fontId="3" fillId="0" borderId="0" xfId="0" applyNumberFormat="1" applyFont="1" applyAlignment="1" applyProtection="1">
      <alignment vertical="center" wrapText="1"/>
      <protection hidden="1"/>
    </xf>
    <xf numFmtId="2" fontId="0" fillId="0" borderId="0" xfId="0" applyNumberFormat="1" applyAlignment="1" applyProtection="1">
      <alignment vertical="center"/>
      <protection hidden="1"/>
    </xf>
    <xf numFmtId="2" fontId="3" fillId="6" borderId="0" xfId="0" applyNumberFormat="1" applyFont="1" applyFill="1" applyAlignment="1" applyProtection="1">
      <alignment horizontal="left" vertical="center" wrapText="1"/>
      <protection hidden="1"/>
    </xf>
    <xf numFmtId="2" fontId="37" fillId="0" borderId="0" xfId="0" applyNumberFormat="1" applyFont="1" applyAlignment="1" applyProtection="1">
      <alignment horizontal="left" vertical="center" wrapText="1"/>
      <protection hidden="1"/>
    </xf>
    <xf numFmtId="2" fontId="3" fillId="6" borderId="0" xfId="0" applyNumberFormat="1" applyFont="1" applyFill="1" applyAlignment="1" applyProtection="1">
      <alignment horizontal="right" vertical="center"/>
      <protection hidden="1"/>
    </xf>
    <xf numFmtId="2" fontId="0" fillId="12" borderId="0" xfId="0" applyNumberFormat="1" applyFill="1" applyAlignment="1" applyProtection="1">
      <alignment horizontal="right" vertical="center"/>
      <protection hidden="1"/>
    </xf>
    <xf numFmtId="2" fontId="18" fillId="3" borderId="0" xfId="0" quotePrefix="1" applyNumberFormat="1" applyFont="1" applyFill="1" applyAlignment="1" applyProtection="1">
      <alignment vertical="center"/>
      <protection hidden="1"/>
    </xf>
    <xf numFmtId="2" fontId="41" fillId="3" borderId="0" xfId="0" applyNumberFormat="1" applyFont="1" applyFill="1" applyAlignment="1" applyProtection="1">
      <alignment horizontal="left" vertical="center"/>
      <protection hidden="1"/>
    </xf>
    <xf numFmtId="2" fontId="0" fillId="5" borderId="0" xfId="0" applyNumberFormat="1" applyFill="1" applyAlignment="1" applyProtection="1">
      <alignment vertical="center"/>
      <protection hidden="1"/>
    </xf>
    <xf numFmtId="2" fontId="3" fillId="5" borderId="0" xfId="0" applyNumberFormat="1" applyFont="1" applyFill="1" applyAlignment="1" applyProtection="1">
      <alignment vertical="center" wrapText="1"/>
      <protection hidden="1"/>
    </xf>
    <xf numFmtId="0" fontId="12" fillId="3" borderId="0" xfId="0" applyFont="1" applyFill="1" applyAlignment="1" applyProtection="1">
      <alignment vertical="center"/>
      <protection hidden="1"/>
    </xf>
    <xf numFmtId="2" fontId="12" fillId="3" borderId="0" xfId="0" applyNumberFormat="1" applyFont="1" applyFill="1" applyAlignment="1" applyProtection="1">
      <alignment vertical="center"/>
      <protection hidden="1"/>
    </xf>
    <xf numFmtId="0" fontId="130" fillId="3" borderId="0" xfId="0" quotePrefix="1" applyFont="1" applyFill="1" applyAlignment="1" applyProtection="1">
      <alignment horizontal="right" vertical="center"/>
      <protection hidden="1"/>
    </xf>
    <xf numFmtId="0" fontId="231" fillId="18" borderId="0" xfId="0" applyFont="1" applyFill="1" applyAlignment="1" applyProtection="1">
      <alignment horizontal="center" vertical="center"/>
      <protection hidden="1"/>
    </xf>
    <xf numFmtId="0" fontId="241" fillId="38" borderId="0" xfId="0" applyFont="1" applyFill="1" applyAlignment="1" applyProtection="1">
      <alignment horizontal="center" vertical="center"/>
      <protection hidden="1"/>
    </xf>
    <xf numFmtId="0" fontId="87" fillId="18" borderId="0" xfId="1" applyFont="1" applyFill="1" applyBorder="1" applyAlignment="1" applyProtection="1">
      <alignment horizontal="right" vertical="center"/>
      <protection hidden="1"/>
    </xf>
    <xf numFmtId="0" fontId="242" fillId="18" borderId="0" xfId="0" applyFont="1" applyFill="1" applyAlignment="1" applyProtection="1">
      <alignment horizontal="left" vertical="center"/>
      <protection hidden="1"/>
    </xf>
    <xf numFmtId="0" fontId="242" fillId="18" borderId="0" xfId="0" quotePrefix="1" applyFont="1" applyFill="1" applyAlignment="1" applyProtection="1">
      <alignment horizontal="left" vertical="center"/>
      <protection hidden="1"/>
    </xf>
    <xf numFmtId="0" fontId="240" fillId="18" borderId="0" xfId="0" applyFont="1" applyFill="1" applyAlignment="1" applyProtection="1">
      <alignment horizontal="left" vertical="center"/>
      <protection hidden="1"/>
    </xf>
    <xf numFmtId="0" fontId="125" fillId="20" borderId="0" xfId="1" applyFont="1" applyFill="1" applyAlignment="1" applyProtection="1">
      <alignment horizontal="center"/>
      <protection hidden="1"/>
    </xf>
    <xf numFmtId="164" fontId="138" fillId="3" borderId="0" xfId="0" quotePrefix="1" applyNumberFormat="1" applyFont="1" applyFill="1" applyAlignment="1" applyProtection="1">
      <alignment horizontal="center" vertical="center"/>
      <protection hidden="1"/>
    </xf>
    <xf numFmtId="0" fontId="177" fillId="18" borderId="0" xfId="0" applyFont="1" applyFill="1" applyAlignment="1" applyProtection="1">
      <alignment vertical="center"/>
      <protection locked="0" hidden="1"/>
    </xf>
    <xf numFmtId="0" fontId="9" fillId="42" borderId="0" xfId="0" applyFont="1" applyFill="1" applyAlignment="1" applyProtection="1">
      <alignment horizontal="left" vertical="center"/>
      <protection hidden="1"/>
    </xf>
    <xf numFmtId="0" fontId="5" fillId="39" borderId="0" xfId="1" applyFill="1" applyAlignment="1" applyProtection="1">
      <alignment horizontal="left" vertical="center"/>
      <protection hidden="1"/>
    </xf>
    <xf numFmtId="0" fontId="0" fillId="41" borderId="0" xfId="0" applyFill="1" applyAlignment="1" applyProtection="1">
      <alignment vertical="center"/>
      <protection hidden="1"/>
    </xf>
    <xf numFmtId="0" fontId="248" fillId="3" borderId="0" xfId="0" applyFont="1" applyFill="1" applyAlignment="1" applyProtection="1">
      <alignment horizontal="left" vertical="center"/>
      <protection hidden="1"/>
    </xf>
    <xf numFmtId="9" fontId="248" fillId="3" borderId="0" xfId="0" applyNumberFormat="1" applyFont="1" applyFill="1" applyAlignment="1" applyProtection="1">
      <alignment horizontal="left" vertical="center"/>
      <protection hidden="1"/>
    </xf>
    <xf numFmtId="164" fontId="114" fillId="3" borderId="0" xfId="0" applyNumberFormat="1" applyFont="1" applyFill="1" applyAlignment="1" applyProtection="1">
      <alignment horizontal="left" vertical="center"/>
      <protection hidden="1"/>
    </xf>
    <xf numFmtId="0" fontId="256" fillId="3" borderId="0" xfId="0" applyFont="1" applyFill="1" applyAlignment="1" applyProtection="1">
      <alignment horizontal="center" vertical="center"/>
      <protection hidden="1"/>
    </xf>
    <xf numFmtId="164" fontId="98" fillId="18" borderId="0" xfId="0" applyNumberFormat="1" applyFont="1" applyFill="1" applyAlignment="1" applyProtection="1">
      <alignment horizontal="left" vertical="center"/>
      <protection hidden="1"/>
    </xf>
    <xf numFmtId="9" fontId="248" fillId="3" borderId="0" xfId="0" applyNumberFormat="1" applyFont="1" applyFill="1" applyAlignment="1" applyProtection="1">
      <alignment horizontal="right" vertical="center"/>
      <protection hidden="1"/>
    </xf>
    <xf numFmtId="164" fontId="114" fillId="3" borderId="0" xfId="0" applyNumberFormat="1" applyFont="1" applyFill="1" applyAlignment="1" applyProtection="1">
      <alignment horizontal="right" vertical="center"/>
      <protection hidden="1"/>
    </xf>
    <xf numFmtId="0" fontId="248" fillId="3" borderId="0" xfId="0" applyFont="1" applyFill="1" applyAlignment="1" applyProtection="1">
      <alignment horizontal="right" vertical="center"/>
      <protection hidden="1"/>
    </xf>
    <xf numFmtId="0" fontId="258" fillId="12" borderId="0" xfId="0" quotePrefix="1" applyFont="1" applyFill="1" applyAlignment="1" applyProtection="1">
      <alignment horizontal="right" vertical="center"/>
      <protection hidden="1"/>
    </xf>
    <xf numFmtId="0" fontId="70" fillId="31" borderId="0" xfId="0" applyFont="1" applyFill="1" applyAlignment="1" applyProtection="1">
      <alignment horizontal="left" vertical="center"/>
      <protection hidden="1"/>
    </xf>
    <xf numFmtId="0" fontId="0" fillId="31" borderId="0" xfId="0" applyFill="1" applyAlignment="1" applyProtection="1">
      <alignment horizontal="center" vertical="center"/>
      <protection hidden="1"/>
    </xf>
    <xf numFmtId="0" fontId="78" fillId="8" borderId="0" xfId="0" applyFont="1" applyFill="1" applyAlignment="1" applyProtection="1">
      <alignment horizontal="right" vertical="center"/>
      <protection hidden="1"/>
    </xf>
    <xf numFmtId="164" fontId="260" fillId="18" borderId="0" xfId="0" quotePrefix="1" applyNumberFormat="1" applyFont="1" applyFill="1" applyAlignment="1" applyProtection="1">
      <alignment vertical="center"/>
      <protection hidden="1"/>
    </xf>
    <xf numFmtId="0" fontId="259" fillId="18" borderId="0" xfId="0" applyFont="1" applyFill="1" applyAlignment="1" applyProtection="1">
      <alignment vertical="center"/>
      <protection hidden="1"/>
    </xf>
    <xf numFmtId="0" fontId="8" fillId="18" borderId="0" xfId="0" quotePrefix="1" applyFont="1" applyFill="1" applyAlignment="1" applyProtection="1">
      <alignment horizontal="left" vertical="center"/>
      <protection hidden="1"/>
    </xf>
    <xf numFmtId="164" fontId="97" fillId="3" borderId="0" xfId="0" applyNumberFormat="1" applyFont="1" applyFill="1" applyAlignment="1" applyProtection="1">
      <alignment horizontal="left" vertical="center"/>
      <protection hidden="1"/>
    </xf>
    <xf numFmtId="0" fontId="24" fillId="0" borderId="0" xfId="0" applyFont="1" applyAlignment="1" applyProtection="1">
      <alignment vertical="center"/>
      <protection hidden="1"/>
    </xf>
    <xf numFmtId="0" fontId="24" fillId="3" borderId="0" xfId="0" applyFont="1" applyFill="1" applyAlignment="1" applyProtection="1">
      <alignment vertical="center"/>
      <protection hidden="1"/>
    </xf>
    <xf numFmtId="0" fontId="8" fillId="3" borderId="0" xfId="0" applyFont="1" applyFill="1" applyAlignment="1" applyProtection="1">
      <alignment vertical="center"/>
      <protection hidden="1"/>
    </xf>
    <xf numFmtId="0" fontId="104" fillId="18" borderId="0" xfId="0" applyFont="1" applyFill="1" applyAlignment="1" applyProtection="1">
      <alignment vertical="center"/>
      <protection hidden="1"/>
    </xf>
    <xf numFmtId="0" fontId="262" fillId="18" borderId="0" xfId="0" applyFont="1" applyFill="1" applyAlignment="1" applyProtection="1">
      <alignment horizontal="center" vertical="center"/>
      <protection hidden="1"/>
    </xf>
    <xf numFmtId="0" fontId="8" fillId="18" borderId="0" xfId="0" applyFont="1" applyFill="1" applyAlignment="1" applyProtection="1">
      <alignment vertical="center"/>
      <protection hidden="1"/>
    </xf>
    <xf numFmtId="164" fontId="1" fillId="41" borderId="0" xfId="0" applyNumberFormat="1" applyFont="1" applyFill="1" applyAlignment="1" applyProtection="1">
      <alignment horizontal="left" vertical="center"/>
      <protection hidden="1"/>
    </xf>
    <xf numFmtId="0" fontId="3" fillId="24" borderId="0" xfId="0" applyFont="1" applyFill="1" applyAlignment="1" applyProtection="1">
      <alignment horizontal="center" vertical="center"/>
      <protection locked="0"/>
    </xf>
    <xf numFmtId="0" fontId="194" fillId="18" borderId="0" xfId="0" quotePrefix="1" applyFont="1" applyFill="1" applyAlignment="1" applyProtection="1">
      <alignment horizontal="right"/>
      <protection hidden="1"/>
    </xf>
    <xf numFmtId="0" fontId="10" fillId="18" borderId="0" xfId="0" quotePrefix="1" applyFont="1" applyFill="1" applyAlignment="1" applyProtection="1">
      <alignment vertical="center"/>
      <protection hidden="1"/>
    </xf>
    <xf numFmtId="0" fontId="236" fillId="18" borderId="0" xfId="0" quotePrefix="1" applyFont="1" applyFill="1" applyAlignment="1" applyProtection="1">
      <alignment vertical="center"/>
      <protection hidden="1"/>
    </xf>
    <xf numFmtId="0" fontId="265" fillId="32" borderId="0" xfId="0" applyFont="1" applyFill="1" applyAlignment="1">
      <alignment horizontal="left" vertical="center"/>
    </xf>
    <xf numFmtId="0" fontId="140" fillId="39" borderId="0" xfId="0" applyFont="1" applyFill="1" applyAlignment="1">
      <alignment vertical="center"/>
    </xf>
    <xf numFmtId="0" fontId="3" fillId="0" borderId="0" xfId="0" quotePrefix="1" applyFont="1" applyAlignment="1" applyProtection="1">
      <alignment horizontal="center" vertical="center" wrapText="1"/>
      <protection hidden="1"/>
    </xf>
    <xf numFmtId="0" fontId="52" fillId="4" borderId="0" xfId="1" applyFont="1" applyFill="1" applyAlignment="1" applyProtection="1">
      <alignment vertical="center"/>
      <protection hidden="1"/>
    </xf>
    <xf numFmtId="0" fontId="52" fillId="5" borderId="0" xfId="1" applyFont="1" applyFill="1" applyAlignment="1" applyProtection="1">
      <alignment horizontal="left" vertical="center"/>
      <protection hidden="1"/>
    </xf>
    <xf numFmtId="0" fontId="14" fillId="4" borderId="0" xfId="0" applyFont="1" applyFill="1" applyAlignment="1" applyProtection="1">
      <alignment horizontal="left" vertical="center"/>
      <protection hidden="1"/>
    </xf>
    <xf numFmtId="0" fontId="52" fillId="5" borderId="0" xfId="1" applyFont="1" applyFill="1" applyAlignment="1" applyProtection="1">
      <alignment vertical="center"/>
      <protection hidden="1"/>
    </xf>
    <xf numFmtId="0" fontId="52" fillId="4" borderId="0" xfId="1" applyFont="1" applyFill="1" applyAlignment="1" applyProtection="1">
      <alignment horizontal="left" vertical="center"/>
      <protection hidden="1"/>
    </xf>
    <xf numFmtId="0" fontId="268" fillId="20" borderId="0" xfId="0" quotePrefix="1" applyFont="1" applyFill="1" applyAlignment="1" applyProtection="1">
      <alignment horizontal="left"/>
      <protection hidden="1"/>
    </xf>
    <xf numFmtId="0" fontId="269" fillId="12" borderId="0" xfId="0" applyFont="1" applyFill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hidden="1"/>
    </xf>
    <xf numFmtId="164" fontId="2" fillId="0" borderId="0" xfId="0" applyNumberFormat="1" applyFont="1" applyAlignment="1" applyProtection="1">
      <alignment horizontal="left" vertical="center"/>
      <protection hidden="1"/>
    </xf>
    <xf numFmtId="164" fontId="2" fillId="3" borderId="0" xfId="0" applyNumberFormat="1" applyFont="1" applyFill="1" applyAlignment="1" applyProtection="1">
      <alignment horizontal="left" vertical="center"/>
      <protection hidden="1"/>
    </xf>
    <xf numFmtId="0" fontId="270" fillId="28" borderId="0" xfId="0" applyFont="1" applyFill="1" applyAlignment="1" applyProtection="1">
      <alignment vertical="center"/>
      <protection hidden="1"/>
    </xf>
    <xf numFmtId="0" fontId="52" fillId="6" borderId="0" xfId="1" applyFont="1" applyFill="1" applyAlignment="1" applyProtection="1">
      <alignment vertical="center"/>
      <protection hidden="1"/>
    </xf>
    <xf numFmtId="0" fontId="64" fillId="0" borderId="0" xfId="0" applyFont="1" applyAlignment="1" applyProtection="1">
      <alignment horizontal="right" vertical="center"/>
      <protection hidden="1"/>
    </xf>
    <xf numFmtId="0" fontId="52" fillId="6" borderId="0" xfId="1" applyFont="1" applyFill="1" applyBorder="1" applyAlignment="1" applyProtection="1">
      <alignment vertical="center"/>
      <protection hidden="1"/>
    </xf>
    <xf numFmtId="0" fontId="270" fillId="30" borderId="0" xfId="0" applyFont="1" applyFill="1" applyAlignment="1" applyProtection="1">
      <alignment vertical="center"/>
      <protection hidden="1"/>
    </xf>
    <xf numFmtId="0" fontId="8" fillId="0" borderId="0" xfId="0" applyFont="1" applyProtection="1">
      <protection hidden="1"/>
    </xf>
    <xf numFmtId="0" fontId="101" fillId="0" borderId="0" xfId="0" applyFont="1" applyAlignment="1" applyProtection="1">
      <alignment horizontal="right" vertical="center"/>
      <protection hidden="1"/>
    </xf>
    <xf numFmtId="0" fontId="271" fillId="0" borderId="0" xfId="1" applyFont="1" applyAlignment="1" applyProtection="1">
      <alignment horizontal="left" vertical="center"/>
      <protection hidden="1"/>
    </xf>
    <xf numFmtId="0" fontId="270" fillId="29" borderId="0" xfId="0" applyFont="1" applyFill="1" applyAlignment="1" applyProtection="1">
      <alignment vertical="center"/>
      <protection hidden="1"/>
    </xf>
    <xf numFmtId="0" fontId="270" fillId="37" borderId="0" xfId="0" applyFont="1" applyFill="1" applyAlignment="1" applyProtection="1">
      <alignment vertical="center"/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52" fillId="41" borderId="0" xfId="1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164" fontId="38" fillId="0" borderId="0" xfId="0" applyNumberFormat="1" applyFont="1" applyAlignment="1" applyProtection="1">
      <alignment horizontal="left" vertical="center"/>
      <protection hidden="1"/>
    </xf>
    <xf numFmtId="164" fontId="2" fillId="24" borderId="0" xfId="0" applyNumberFormat="1" applyFont="1" applyFill="1" applyAlignment="1" applyProtection="1">
      <alignment horizontal="left" vertical="center"/>
      <protection hidden="1"/>
    </xf>
    <xf numFmtId="164" fontId="109" fillId="3" borderId="0" xfId="0" applyNumberFormat="1" applyFont="1" applyFill="1" applyAlignment="1" applyProtection="1">
      <alignment horizontal="left" vertical="center"/>
      <protection hidden="1"/>
    </xf>
    <xf numFmtId="0" fontId="166" fillId="12" borderId="0" xfId="0" quotePrefix="1" applyFont="1" applyFill="1" applyAlignment="1" applyProtection="1">
      <alignment horizontal="right" vertical="center"/>
      <protection hidden="1"/>
    </xf>
    <xf numFmtId="0" fontId="271" fillId="0" borderId="0" xfId="1" applyFont="1" applyAlignment="1" applyProtection="1">
      <alignment vertical="center"/>
      <protection hidden="1"/>
    </xf>
    <xf numFmtId="0" fontId="269" fillId="12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52" fillId="6" borderId="0" xfId="1" applyFont="1" applyFill="1" applyAlignment="1" applyProtection="1">
      <alignment horizontal="left" vertical="center"/>
      <protection hidden="1"/>
    </xf>
    <xf numFmtId="0" fontId="52" fillId="6" borderId="0" xfId="1" applyFont="1" applyFill="1" applyAlignment="1" applyProtection="1">
      <alignment horizontal="center" vertical="center"/>
      <protection hidden="1"/>
    </xf>
    <xf numFmtId="0" fontId="141" fillId="0" borderId="0" xfId="1" applyFont="1" applyAlignment="1" applyProtection="1">
      <alignment horizontal="left" vertical="center"/>
      <protection hidden="1"/>
    </xf>
    <xf numFmtId="0" fontId="52" fillId="6" borderId="0" xfId="1" applyFont="1" applyFill="1" applyBorder="1" applyAlignment="1" applyProtection="1">
      <alignment horizontal="left" vertical="center"/>
      <protection hidden="1"/>
    </xf>
    <xf numFmtId="0" fontId="52" fillId="5" borderId="0" xfId="1" applyFont="1" applyFill="1" applyAlignment="1" applyProtection="1">
      <alignment horizontal="center" vertical="center"/>
      <protection hidden="1"/>
    </xf>
    <xf numFmtId="0" fontId="72" fillId="28" borderId="0" xfId="0" applyFont="1" applyFill="1" applyAlignment="1" applyProtection="1">
      <alignment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52" fillId="41" borderId="0" xfId="1" applyFont="1" applyFill="1" applyAlignment="1" applyProtection="1">
      <alignment horizontal="center" vertical="center"/>
      <protection hidden="1"/>
    </xf>
    <xf numFmtId="0" fontId="231" fillId="18" borderId="0" xfId="0" applyFont="1" applyFill="1" applyAlignment="1" applyProtection="1">
      <alignment horizontal="left" vertical="center"/>
      <protection hidden="1"/>
    </xf>
    <xf numFmtId="0" fontId="231" fillId="18" borderId="0" xfId="0" quotePrefix="1" applyFont="1" applyFill="1" applyAlignment="1" applyProtection="1">
      <alignment horizontal="left" vertical="center"/>
      <protection hidden="1"/>
    </xf>
    <xf numFmtId="164" fontId="274" fillId="12" borderId="0" xfId="0" applyNumberFormat="1" applyFont="1" applyFill="1" applyAlignment="1" applyProtection="1">
      <alignment horizontal="right" vertical="center"/>
      <protection hidden="1"/>
    </xf>
    <xf numFmtId="0" fontId="275" fillId="43" borderId="0" xfId="0" applyFont="1" applyFill="1" applyAlignment="1" applyProtection="1">
      <alignment horizontal="right" vertical="center"/>
      <protection locked="0"/>
    </xf>
    <xf numFmtId="0" fontId="276" fillId="43" borderId="39" xfId="0" applyFont="1" applyFill="1" applyBorder="1" applyAlignment="1" applyProtection="1">
      <alignment horizontal="left" vertical="center"/>
      <protection locked="0" hidden="1"/>
    </xf>
    <xf numFmtId="0" fontId="279" fillId="43" borderId="40" xfId="0" applyFont="1" applyFill="1" applyBorder="1" applyAlignment="1" applyProtection="1">
      <alignment horizontal="left" vertical="center"/>
      <protection locked="0" hidden="1"/>
    </xf>
    <xf numFmtId="0" fontId="280" fillId="43" borderId="40" xfId="0" applyFont="1" applyFill="1" applyBorder="1" applyAlignment="1" applyProtection="1">
      <alignment horizontal="center" vertical="center"/>
      <protection locked="0" hidden="1"/>
    </xf>
    <xf numFmtId="164" fontId="280" fillId="43" borderId="40" xfId="0" applyNumberFormat="1" applyFont="1" applyFill="1" applyBorder="1" applyAlignment="1" applyProtection="1">
      <alignment horizontal="left" vertical="center"/>
      <protection locked="0" hidden="1"/>
    </xf>
    <xf numFmtId="164" fontId="277" fillId="43" borderId="40" xfId="0" applyNumberFormat="1" applyFont="1" applyFill="1" applyBorder="1" applyAlignment="1" applyProtection="1">
      <alignment horizontal="center" vertical="center"/>
      <protection locked="0" hidden="1"/>
    </xf>
    <xf numFmtId="164" fontId="280" fillId="43" borderId="40" xfId="0" applyNumberFormat="1" applyFont="1" applyFill="1" applyBorder="1" applyAlignment="1" applyProtection="1">
      <alignment horizontal="left" vertical="center"/>
      <protection hidden="1"/>
    </xf>
    <xf numFmtId="164" fontId="277" fillId="43" borderId="40" xfId="0" applyNumberFormat="1" applyFont="1" applyFill="1" applyBorder="1" applyAlignment="1" applyProtection="1">
      <alignment horizontal="left" vertical="center"/>
      <protection hidden="1"/>
    </xf>
    <xf numFmtId="0" fontId="280" fillId="43" borderId="44" xfId="0" applyFont="1" applyFill="1" applyBorder="1" applyAlignment="1" applyProtection="1">
      <alignment horizontal="center" vertical="center" wrapText="1"/>
      <protection hidden="1"/>
    </xf>
    <xf numFmtId="0" fontId="275" fillId="43" borderId="41" xfId="0" applyFont="1" applyFill="1" applyBorder="1" applyAlignment="1" applyProtection="1">
      <alignment horizontal="left" vertical="center"/>
      <protection locked="0"/>
    </xf>
    <xf numFmtId="164" fontId="277" fillId="43" borderId="0" xfId="0" applyNumberFormat="1" applyFont="1" applyFill="1" applyAlignment="1" applyProtection="1">
      <alignment vertical="center"/>
      <protection hidden="1"/>
    </xf>
    <xf numFmtId="0" fontId="280" fillId="43" borderId="0" xfId="0" applyFont="1" applyFill="1" applyAlignment="1" applyProtection="1">
      <alignment horizontal="center" vertical="center" wrapText="1"/>
      <protection hidden="1"/>
    </xf>
    <xf numFmtId="0" fontId="275" fillId="43" borderId="0" xfId="0" applyFont="1" applyFill="1" applyAlignment="1" applyProtection="1">
      <alignment vertical="center"/>
      <protection locked="0"/>
    </xf>
    <xf numFmtId="0" fontId="275" fillId="43" borderId="42" xfId="0" applyFont="1" applyFill="1" applyBorder="1" applyAlignment="1" applyProtection="1">
      <alignment horizontal="left" vertical="center"/>
      <protection locked="0"/>
    </xf>
    <xf numFmtId="0" fontId="275" fillId="43" borderId="43" xfId="0" applyFont="1" applyFill="1" applyBorder="1" applyAlignment="1" applyProtection="1">
      <alignment horizontal="right" vertical="center"/>
      <protection locked="0"/>
    </xf>
    <xf numFmtId="0" fontId="280" fillId="43" borderId="45" xfId="0" applyFont="1" applyFill="1" applyBorder="1" applyAlignment="1" applyProtection="1">
      <alignment horizontal="center" vertical="center"/>
      <protection locked="0" hidden="1"/>
    </xf>
    <xf numFmtId="0" fontId="275" fillId="43" borderId="45" xfId="0" applyFont="1" applyFill="1" applyBorder="1" applyAlignment="1" applyProtection="1">
      <alignment vertical="center"/>
      <protection locked="0"/>
    </xf>
    <xf numFmtId="0" fontId="280" fillId="43" borderId="45" xfId="0" applyFont="1" applyFill="1" applyBorder="1" applyAlignment="1" applyProtection="1">
      <alignment horizontal="center" vertical="center" wrapText="1"/>
      <protection hidden="1"/>
    </xf>
    <xf numFmtId="0" fontId="275" fillId="43" borderId="44" xfId="0" applyFont="1" applyFill="1" applyBorder="1" applyAlignment="1" applyProtection="1">
      <alignment vertical="center"/>
      <protection locked="0"/>
    </xf>
    <xf numFmtId="0" fontId="275" fillId="3" borderId="46" xfId="0" applyFont="1" applyFill="1" applyBorder="1" applyAlignment="1" applyProtection="1">
      <alignment vertical="center"/>
      <protection locked="0"/>
    </xf>
    <xf numFmtId="9" fontId="165" fillId="3" borderId="0" xfId="0" quotePrefix="1" applyNumberFormat="1" applyFont="1" applyFill="1" applyAlignment="1" applyProtection="1">
      <alignment horizontal="right" vertical="center"/>
      <protection locked="0" hidden="1"/>
    </xf>
    <xf numFmtId="0" fontId="284" fillId="32" borderId="0" xfId="0" applyFont="1" applyFill="1" applyAlignment="1">
      <alignment horizontal="left" vertical="center"/>
    </xf>
    <xf numFmtId="0" fontId="285" fillId="12" borderId="0" xfId="1" applyFont="1" applyFill="1" applyAlignment="1" applyProtection="1">
      <alignment horizontal="right" vertical="center"/>
      <protection hidden="1"/>
    </xf>
    <xf numFmtId="0" fontId="5" fillId="5" borderId="0" xfId="1" applyFill="1" applyAlignment="1" applyProtection="1">
      <alignment vertical="center"/>
      <protection hidden="1"/>
    </xf>
    <xf numFmtId="0" fontId="5" fillId="5" borderId="0" xfId="1" applyFill="1" applyAlignment="1" applyProtection="1">
      <alignment horizontal="left" vertical="center"/>
      <protection hidden="1"/>
    </xf>
    <xf numFmtId="0" fontId="70" fillId="12" borderId="0" xfId="0" applyFont="1" applyFill="1" applyAlignment="1" applyProtection="1">
      <alignment horizontal="center" vertical="center"/>
      <protection hidden="1"/>
    </xf>
    <xf numFmtId="0" fontId="0" fillId="42" borderId="0" xfId="0" applyFill="1" applyAlignment="1" applyProtection="1">
      <alignment horizontal="left" vertical="center"/>
      <protection hidden="1"/>
    </xf>
    <xf numFmtId="0" fontId="0" fillId="42" borderId="0" xfId="0" applyFill="1" applyAlignment="1" applyProtection="1">
      <alignment vertical="center"/>
      <protection hidden="1"/>
    </xf>
    <xf numFmtId="0" fontId="3" fillId="42" borderId="0" xfId="0" applyFont="1" applyFill="1" applyAlignment="1" applyProtection="1">
      <alignment horizontal="left" vertical="center" wrapText="1"/>
      <protection hidden="1"/>
    </xf>
    <xf numFmtId="2" fontId="3" fillId="42" borderId="0" xfId="0" applyNumberFormat="1" applyFont="1" applyFill="1" applyAlignment="1" applyProtection="1">
      <alignment horizontal="left" vertical="center" wrapText="1"/>
      <protection hidden="1"/>
    </xf>
    <xf numFmtId="164" fontId="3" fillId="42" borderId="0" xfId="0" applyNumberFormat="1" applyFont="1" applyFill="1" applyAlignment="1" applyProtection="1">
      <alignment horizontal="right" vertical="center"/>
      <protection hidden="1"/>
    </xf>
    <xf numFmtId="0" fontId="60" fillId="18" borderId="0" xfId="0" quotePrefix="1" applyFont="1" applyFill="1" applyAlignment="1" applyProtection="1">
      <alignment horizontal="left" vertical="center"/>
      <protection hidden="1"/>
    </xf>
    <xf numFmtId="0" fontId="287" fillId="20" borderId="0" xfId="0" quotePrefix="1" applyFont="1" applyFill="1" applyAlignment="1" applyProtection="1">
      <alignment horizontal="left" vertical="center"/>
      <protection hidden="1"/>
    </xf>
    <xf numFmtId="164" fontId="288" fillId="12" borderId="0" xfId="0" applyNumberFormat="1" applyFont="1" applyFill="1" applyAlignment="1" applyProtection="1">
      <alignment vertical="center"/>
      <protection hidden="1"/>
    </xf>
    <xf numFmtId="9" fontId="248" fillId="0" borderId="0" xfId="0" applyNumberFormat="1" applyFont="1" applyAlignment="1" applyProtection="1">
      <alignment horizontal="left" vertical="center"/>
      <protection locked="0" hidden="1"/>
    </xf>
    <xf numFmtId="0" fontId="17" fillId="44" borderId="0" xfId="0" applyFont="1" applyFill="1" applyAlignment="1" applyProtection="1">
      <alignment horizontal="left" vertical="center"/>
      <protection hidden="1"/>
    </xf>
    <xf numFmtId="0" fontId="263" fillId="18" borderId="0" xfId="0" applyFont="1" applyFill="1" applyAlignment="1" applyProtection="1">
      <alignment vertical="center"/>
      <protection hidden="1"/>
    </xf>
    <xf numFmtId="9" fontId="34" fillId="3" borderId="0" xfId="1" applyNumberFormat="1" applyFont="1" applyFill="1" applyBorder="1" applyAlignment="1" applyProtection="1">
      <alignment vertical="center"/>
      <protection hidden="1"/>
    </xf>
    <xf numFmtId="0" fontId="269" fillId="44" borderId="0" xfId="0" applyFont="1" applyFill="1" applyAlignment="1" applyProtection="1">
      <alignment horizontal="right" vertical="center"/>
      <protection hidden="1"/>
    </xf>
    <xf numFmtId="0" fontId="289" fillId="44" borderId="29" xfId="0" applyFont="1" applyFill="1" applyBorder="1" applyAlignment="1" applyProtection="1">
      <alignment horizontal="center" vertical="center"/>
      <protection locked="0" hidden="1"/>
    </xf>
    <xf numFmtId="0" fontId="290" fillId="44" borderId="0" xfId="0" quotePrefix="1" applyFont="1" applyFill="1" applyAlignment="1" applyProtection="1">
      <alignment horizontal="left" vertical="center"/>
      <protection hidden="1"/>
    </xf>
    <xf numFmtId="0" fontId="0" fillId="44" borderId="0" xfId="0" applyFill="1" applyAlignment="1" applyProtection="1">
      <alignment horizontal="left" vertical="center"/>
      <protection hidden="1"/>
    </xf>
    <xf numFmtId="0" fontId="235" fillId="10" borderId="0" xfId="0" applyFont="1" applyFill="1" applyAlignment="1" applyProtection="1">
      <alignment vertical="center"/>
      <protection hidden="1"/>
    </xf>
    <xf numFmtId="3" fontId="27" fillId="0" borderId="0" xfId="0" applyNumberFormat="1" applyFont="1" applyAlignment="1" applyProtection="1">
      <alignment horizontal="left" vertical="center"/>
      <protection hidden="1"/>
    </xf>
    <xf numFmtId="0" fontId="0" fillId="3" borderId="0" xfId="0" applyFill="1" applyAlignment="1" applyProtection="1">
      <alignment vertical="top" wrapText="1"/>
      <protection hidden="1"/>
    </xf>
    <xf numFmtId="0" fontId="0" fillId="3" borderId="0" xfId="0" applyFill="1" applyAlignment="1" applyProtection="1">
      <alignment horizontal="right" vertical="center"/>
      <protection hidden="1"/>
    </xf>
    <xf numFmtId="0" fontId="260" fillId="10" borderId="0" xfId="1" applyFont="1" applyFill="1" applyAlignment="1" applyProtection="1">
      <alignment horizontal="center" vertical="top" wrapText="1"/>
      <protection hidden="1"/>
    </xf>
    <xf numFmtId="164" fontId="0" fillId="0" borderId="0" xfId="0" applyNumberFormat="1" applyAlignment="1" applyProtection="1">
      <alignment vertical="center"/>
      <protection hidden="1"/>
    </xf>
    <xf numFmtId="164" fontId="292" fillId="18" borderId="0" xfId="0" applyNumberFormat="1" applyFont="1" applyFill="1" applyAlignment="1" applyProtection="1">
      <alignment horizontal="right" vertical="center"/>
      <protection hidden="1"/>
    </xf>
    <xf numFmtId="4" fontId="39" fillId="23" borderId="0" xfId="0" applyNumberFormat="1" applyFont="1" applyFill="1" applyAlignment="1" applyProtection="1">
      <alignment horizontal="right" vertical="center"/>
      <protection hidden="1"/>
    </xf>
    <xf numFmtId="0" fontId="0" fillId="18" borderId="0" xfId="0" applyFill="1" applyAlignment="1" applyProtection="1">
      <alignment vertical="center"/>
      <protection locked="0" hidden="1"/>
    </xf>
    <xf numFmtId="0" fontId="9" fillId="42" borderId="0" xfId="0" quotePrefix="1" applyFont="1" applyFill="1" applyAlignment="1" applyProtection="1">
      <alignment horizontal="center" vertical="center"/>
      <protection hidden="1"/>
    </xf>
    <xf numFmtId="0" fontId="170" fillId="42" borderId="0" xfId="0" applyFont="1" applyFill="1" applyAlignment="1" applyProtection="1">
      <alignment horizontal="left" vertical="center"/>
      <protection hidden="1"/>
    </xf>
    <xf numFmtId="0" fontId="52" fillId="42" borderId="0" xfId="1" applyFont="1" applyFill="1" applyAlignment="1" applyProtection="1">
      <alignment vertical="center"/>
      <protection hidden="1"/>
    </xf>
    <xf numFmtId="0" fontId="52" fillId="42" borderId="0" xfId="1" applyFont="1" applyFill="1" applyAlignment="1" applyProtection="1">
      <alignment horizontal="left" vertical="center"/>
      <protection hidden="1"/>
    </xf>
    <xf numFmtId="0" fontId="9" fillId="42" borderId="0" xfId="0" applyFont="1" applyFill="1" applyAlignment="1" applyProtection="1">
      <alignment vertical="top"/>
      <protection hidden="1"/>
    </xf>
    <xf numFmtId="0" fontId="9" fillId="42" borderId="34" xfId="0" applyFont="1" applyFill="1" applyBorder="1" applyAlignment="1" applyProtection="1">
      <alignment horizontal="right" vertical="center"/>
      <protection hidden="1"/>
    </xf>
    <xf numFmtId="0" fontId="1" fillId="42" borderId="0" xfId="0" applyFont="1" applyFill="1" applyAlignment="1" applyProtection="1">
      <alignment horizontal="center" vertical="center"/>
      <protection hidden="1"/>
    </xf>
    <xf numFmtId="164" fontId="1" fillId="42" borderId="0" xfId="0" applyNumberFormat="1" applyFont="1" applyFill="1" applyAlignment="1" applyProtection="1">
      <alignment horizontal="left" vertical="center"/>
      <protection hidden="1"/>
    </xf>
    <xf numFmtId="0" fontId="5" fillId="4" borderId="0" xfId="1" applyFill="1" applyAlignment="1" applyProtection="1">
      <alignment vertical="center"/>
      <protection hidden="1"/>
    </xf>
    <xf numFmtId="0" fontId="296" fillId="18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304" fillId="18" borderId="0" xfId="0" quotePrefix="1" applyFont="1" applyFill="1" applyAlignment="1" applyProtection="1">
      <alignment vertical="center"/>
      <protection hidden="1"/>
    </xf>
    <xf numFmtId="9" fontId="306" fillId="5" borderId="0" xfId="0" quotePrefix="1" applyNumberFormat="1" applyFont="1" applyFill="1" applyAlignment="1" applyProtection="1">
      <alignment horizontal="left" vertical="center"/>
      <protection hidden="1"/>
    </xf>
    <xf numFmtId="9" fontId="307" fillId="4" borderId="0" xfId="0" applyNumberFormat="1" applyFont="1" applyFill="1" applyAlignment="1" applyProtection="1">
      <alignment horizontal="center" vertical="center"/>
      <protection locked="0" hidden="1"/>
    </xf>
    <xf numFmtId="0" fontId="181" fillId="18" borderId="0" xfId="0" applyFont="1" applyFill="1" applyAlignment="1" applyProtection="1">
      <alignment horizontal="right"/>
      <protection locked="0" hidden="1"/>
    </xf>
    <xf numFmtId="0" fontId="308" fillId="18" borderId="0" xfId="0" applyFont="1" applyFill="1" applyAlignment="1" applyProtection="1">
      <alignment horizontal="left" vertical="center"/>
      <protection hidden="1"/>
    </xf>
    <xf numFmtId="164" fontId="182" fillId="12" borderId="0" xfId="0" applyNumberFormat="1" applyFont="1" applyFill="1" applyAlignment="1" applyProtection="1">
      <alignment vertical="center"/>
      <protection hidden="1"/>
    </xf>
    <xf numFmtId="164" fontId="182" fillId="0" borderId="0" xfId="0" applyNumberFormat="1" applyFont="1" applyAlignment="1" applyProtection="1">
      <alignment vertical="center"/>
      <protection hidden="1"/>
    </xf>
    <xf numFmtId="164" fontId="182" fillId="0" borderId="0" xfId="0" applyNumberFormat="1" applyFont="1" applyAlignment="1" applyProtection="1">
      <alignment horizontal="left" vertical="center"/>
      <protection hidden="1"/>
    </xf>
    <xf numFmtId="164" fontId="182" fillId="3" borderId="0" xfId="0" applyNumberFormat="1" applyFont="1" applyFill="1" applyAlignment="1" applyProtection="1">
      <alignment horizontal="left" vertical="center"/>
      <protection hidden="1"/>
    </xf>
    <xf numFmtId="164" fontId="309" fillId="0" borderId="0" xfId="0" applyNumberFormat="1" applyFont="1" applyAlignment="1" applyProtection="1">
      <alignment horizontal="left" vertical="center"/>
      <protection hidden="1"/>
    </xf>
    <xf numFmtId="9" fontId="307" fillId="41" borderId="0" xfId="0" applyNumberFormat="1" applyFont="1" applyFill="1" applyAlignment="1" applyProtection="1">
      <alignment horizontal="center" vertical="center"/>
      <protection locked="0" hidden="1"/>
    </xf>
    <xf numFmtId="0" fontId="182" fillId="0" borderId="0" xfId="0" applyFont="1" applyAlignment="1" applyProtection="1">
      <alignment horizontal="left" vertical="center"/>
      <protection hidden="1"/>
    </xf>
    <xf numFmtId="0" fontId="182" fillId="30" borderId="0" xfId="0" applyFont="1" applyFill="1" applyAlignment="1" applyProtection="1">
      <alignment horizontal="right" vertical="center"/>
      <protection hidden="1"/>
    </xf>
    <xf numFmtId="0" fontId="182" fillId="28" borderId="0" xfId="0" applyFont="1" applyFill="1" applyAlignment="1" applyProtection="1">
      <alignment horizontal="right" vertical="center"/>
      <protection hidden="1"/>
    </xf>
    <xf numFmtId="0" fontId="185" fillId="0" borderId="0" xfId="0" applyFont="1" applyAlignment="1" applyProtection="1">
      <alignment vertical="center"/>
      <protection hidden="1"/>
    </xf>
    <xf numFmtId="0" fontId="182" fillId="29" borderId="0" xfId="0" applyFont="1" applyFill="1" applyAlignment="1" applyProtection="1">
      <alignment horizontal="right" vertical="center"/>
      <protection hidden="1"/>
    </xf>
    <xf numFmtId="0" fontId="185" fillId="3" borderId="0" xfId="0" applyFont="1" applyFill="1" applyAlignment="1" applyProtection="1">
      <alignment vertical="center"/>
      <protection hidden="1"/>
    </xf>
    <xf numFmtId="0" fontId="181" fillId="37" borderId="0" xfId="0" applyFont="1" applyFill="1" applyAlignment="1" applyProtection="1">
      <alignment vertical="center"/>
      <protection hidden="1"/>
    </xf>
    <xf numFmtId="164" fontId="182" fillId="3" borderId="0" xfId="0" applyNumberFormat="1" applyFont="1" applyFill="1" applyAlignment="1" applyProtection="1">
      <alignment vertical="center"/>
      <protection hidden="1"/>
    </xf>
    <xf numFmtId="9" fontId="307" fillId="42" borderId="0" xfId="0" applyNumberFormat="1" applyFont="1" applyFill="1" applyAlignment="1" applyProtection="1">
      <alignment horizontal="center" vertical="center"/>
      <protection locked="0" hidden="1"/>
    </xf>
    <xf numFmtId="0" fontId="181" fillId="30" borderId="0" xfId="0" applyFont="1" applyFill="1" applyAlignment="1" applyProtection="1">
      <alignment vertical="center"/>
      <protection hidden="1"/>
    </xf>
    <xf numFmtId="164" fontId="185" fillId="0" borderId="0" xfId="0" applyNumberFormat="1" applyFont="1" applyAlignment="1" applyProtection="1">
      <alignment horizontal="left" vertical="center"/>
      <protection hidden="1"/>
    </xf>
    <xf numFmtId="164" fontId="182" fillId="28" borderId="0" xfId="0" applyNumberFormat="1" applyFont="1" applyFill="1" applyAlignment="1" applyProtection="1">
      <alignment vertical="center"/>
      <protection hidden="1"/>
    </xf>
    <xf numFmtId="0" fontId="182" fillId="6" borderId="0" xfId="0" applyFont="1" applyFill="1" applyAlignment="1" applyProtection="1">
      <alignment horizontal="left" vertical="center"/>
      <protection hidden="1"/>
    </xf>
    <xf numFmtId="164" fontId="182" fillId="24" borderId="0" xfId="0" applyNumberFormat="1" applyFont="1" applyFill="1" applyAlignment="1" applyProtection="1">
      <alignment horizontal="left" vertical="center"/>
      <protection locked="0" hidden="1"/>
    </xf>
    <xf numFmtId="9" fontId="307" fillId="24" borderId="0" xfId="0" applyNumberFormat="1" applyFont="1" applyFill="1" applyAlignment="1" applyProtection="1">
      <alignment horizontal="center" vertical="center"/>
      <protection locked="0" hidden="1"/>
    </xf>
    <xf numFmtId="164" fontId="182" fillId="3" borderId="0" xfId="0" applyNumberFormat="1" applyFont="1" applyFill="1" applyAlignment="1" applyProtection="1">
      <alignment horizontal="left" vertical="center"/>
      <protection locked="0" hidden="1"/>
    </xf>
    <xf numFmtId="164" fontId="182" fillId="43" borderId="40" xfId="0" applyNumberFormat="1" applyFont="1" applyFill="1" applyBorder="1" applyAlignment="1" applyProtection="1">
      <alignment horizontal="left" vertical="center"/>
      <protection locked="0" hidden="1"/>
    </xf>
    <xf numFmtId="0" fontId="309" fillId="43" borderId="0" xfId="0" applyFont="1" applyFill="1" applyAlignment="1" applyProtection="1">
      <alignment vertical="center"/>
      <protection locked="0"/>
    </xf>
    <xf numFmtId="0" fontId="309" fillId="43" borderId="45" xfId="0" applyFont="1" applyFill="1" applyBorder="1" applyAlignment="1" applyProtection="1">
      <alignment vertical="center"/>
      <protection locked="0"/>
    </xf>
    <xf numFmtId="0" fontId="190" fillId="0" borderId="0" xfId="0" applyFont="1" applyAlignment="1" applyProtection="1">
      <alignment vertical="center"/>
      <protection hidden="1"/>
    </xf>
    <xf numFmtId="0" fontId="186" fillId="3" borderId="0" xfId="0" applyFont="1" applyFill="1" applyAlignment="1" applyProtection="1">
      <alignment vertical="center"/>
      <protection hidden="1"/>
    </xf>
    <xf numFmtId="164" fontId="186" fillId="18" borderId="0" xfId="0" applyNumberFormat="1" applyFont="1" applyFill="1" applyAlignment="1" applyProtection="1">
      <alignment horizontal="right" vertical="center"/>
      <protection hidden="1"/>
    </xf>
    <xf numFmtId="1" fontId="181" fillId="18" borderId="0" xfId="0" applyNumberFormat="1" applyFont="1" applyFill="1" applyAlignment="1" applyProtection="1">
      <alignment horizontal="right" vertical="center"/>
      <protection hidden="1"/>
    </xf>
    <xf numFmtId="167" fontId="187" fillId="18" borderId="0" xfId="0" applyNumberFormat="1" applyFont="1" applyFill="1" applyAlignment="1" applyProtection="1">
      <alignment horizontal="right" vertical="center"/>
      <protection hidden="1"/>
    </xf>
    <xf numFmtId="0" fontId="182" fillId="18" borderId="0" xfId="0" quotePrefix="1" applyFont="1" applyFill="1" applyAlignment="1" applyProtection="1">
      <alignment horizontal="center" vertical="center"/>
      <protection hidden="1"/>
    </xf>
    <xf numFmtId="9" fontId="182" fillId="18" borderId="0" xfId="0" applyNumberFormat="1" applyFont="1" applyFill="1" applyAlignment="1" applyProtection="1">
      <alignment horizontal="left" vertical="center"/>
      <protection hidden="1"/>
    </xf>
    <xf numFmtId="164" fontId="181" fillId="18" borderId="0" xfId="0" applyNumberFormat="1" applyFont="1" applyFill="1" applyAlignment="1" applyProtection="1">
      <alignment horizontal="left" vertical="center"/>
      <protection hidden="1"/>
    </xf>
    <xf numFmtId="0" fontId="181" fillId="18" borderId="0" xfId="0" applyFont="1" applyFill="1" applyAlignment="1" applyProtection="1">
      <alignment horizontal="left" vertical="center"/>
      <protection hidden="1"/>
    </xf>
    <xf numFmtId="0" fontId="310" fillId="20" borderId="0" xfId="0" applyFont="1" applyFill="1" applyAlignment="1" applyProtection="1">
      <alignment horizontal="left"/>
      <protection hidden="1"/>
    </xf>
    <xf numFmtId="164" fontId="185" fillId="0" borderId="0" xfId="0" applyNumberFormat="1" applyFont="1" applyAlignment="1" applyProtection="1">
      <alignment horizontal="center" vertical="center"/>
      <protection hidden="1"/>
    </xf>
    <xf numFmtId="9" fontId="185" fillId="0" borderId="0" xfId="0" applyNumberFormat="1" applyFont="1" applyAlignment="1" applyProtection="1">
      <alignment horizontal="center" vertical="center"/>
      <protection hidden="1"/>
    </xf>
    <xf numFmtId="9" fontId="185" fillId="3" borderId="0" xfId="0" applyNumberFormat="1" applyFont="1" applyFill="1" applyAlignment="1" applyProtection="1">
      <alignment horizontal="center" vertical="center"/>
      <protection hidden="1"/>
    </xf>
    <xf numFmtId="0" fontId="310" fillId="0" borderId="0" xfId="0" applyFont="1" applyAlignment="1" applyProtection="1">
      <alignment vertical="center"/>
      <protection hidden="1"/>
    </xf>
    <xf numFmtId="0" fontId="312" fillId="0" borderId="0" xfId="0" applyFont="1" applyAlignment="1" applyProtection="1">
      <alignment horizontal="center" vertical="center"/>
      <protection hidden="1"/>
    </xf>
    <xf numFmtId="9" fontId="306" fillId="41" borderId="0" xfId="0" quotePrefix="1" applyNumberFormat="1" applyFont="1" applyFill="1" applyAlignment="1" applyProtection="1">
      <alignment horizontal="left" vertical="center"/>
      <protection hidden="1"/>
    </xf>
    <xf numFmtId="0" fontId="312" fillId="0" borderId="0" xfId="0" applyFont="1" applyAlignment="1" applyProtection="1">
      <alignment vertical="center"/>
      <protection hidden="1"/>
    </xf>
    <xf numFmtId="0" fontId="313" fillId="30" borderId="0" xfId="1" applyFont="1" applyFill="1" applyBorder="1" applyAlignment="1" applyProtection="1">
      <alignment vertical="center"/>
    </xf>
    <xf numFmtId="0" fontId="313" fillId="28" borderId="0" xfId="1" applyFont="1" applyFill="1" applyAlignment="1" applyProtection="1">
      <alignment vertical="center"/>
      <protection hidden="1"/>
    </xf>
    <xf numFmtId="0" fontId="313" fillId="29" borderId="0" xfId="1" applyFont="1" applyFill="1" applyAlignment="1" applyProtection="1">
      <alignment vertical="center"/>
      <protection hidden="1"/>
    </xf>
    <xf numFmtId="0" fontId="312" fillId="3" borderId="0" xfId="0" applyFont="1" applyFill="1" applyAlignment="1" applyProtection="1">
      <alignment vertical="center"/>
      <protection hidden="1"/>
    </xf>
    <xf numFmtId="0" fontId="313" fillId="37" borderId="0" xfId="1" applyFont="1" applyFill="1" applyAlignment="1" applyProtection="1">
      <alignment vertical="center"/>
      <protection hidden="1"/>
    </xf>
    <xf numFmtId="9" fontId="306" fillId="42" borderId="0" xfId="0" quotePrefix="1" applyNumberFormat="1" applyFont="1" applyFill="1" applyAlignment="1" applyProtection="1">
      <alignment horizontal="left" vertical="center"/>
      <protection hidden="1"/>
    </xf>
    <xf numFmtId="0" fontId="312" fillId="30" borderId="0" xfId="0" applyFont="1" applyFill="1" applyAlignment="1" applyProtection="1">
      <alignment vertical="center"/>
      <protection hidden="1"/>
    </xf>
    <xf numFmtId="0" fontId="185" fillId="0" borderId="0" xfId="0" applyFont="1" applyAlignment="1" applyProtection="1">
      <alignment horizontal="left" vertical="center"/>
      <protection hidden="1"/>
    </xf>
    <xf numFmtId="164" fontId="185" fillId="28" borderId="0" xfId="0" applyNumberFormat="1" applyFont="1" applyFill="1" applyAlignment="1" applyProtection="1">
      <alignment horizontal="center" vertical="center"/>
      <protection hidden="1"/>
    </xf>
    <xf numFmtId="9" fontId="306" fillId="24" borderId="0" xfId="0" quotePrefix="1" applyNumberFormat="1" applyFont="1" applyFill="1" applyAlignment="1" applyProtection="1">
      <alignment horizontal="left" vertical="center"/>
      <protection hidden="1"/>
    </xf>
    <xf numFmtId="9" fontId="185" fillId="43" borderId="40" xfId="0" applyNumberFormat="1" applyFont="1" applyFill="1" applyBorder="1" applyAlignment="1" applyProtection="1">
      <alignment horizontal="center" vertical="center"/>
      <protection hidden="1"/>
    </xf>
    <xf numFmtId="0" fontId="311" fillId="3" borderId="0" xfId="1" applyFont="1" applyFill="1" applyAlignment="1" applyProtection="1">
      <alignment vertical="center"/>
    </xf>
    <xf numFmtId="0" fontId="314" fillId="3" borderId="0" xfId="0" applyFont="1" applyFill="1" applyAlignment="1">
      <alignment vertical="center"/>
    </xf>
    <xf numFmtId="0" fontId="310" fillId="18" borderId="0" xfId="0" applyFont="1" applyFill="1" applyAlignment="1" applyProtection="1">
      <alignment vertical="center"/>
      <protection hidden="1"/>
    </xf>
    <xf numFmtId="0" fontId="310" fillId="18" borderId="0" xfId="0" applyFont="1" applyFill="1" applyAlignment="1" applyProtection="1">
      <alignment horizontal="left" vertical="top"/>
      <protection hidden="1"/>
    </xf>
    <xf numFmtId="164" fontId="185" fillId="12" borderId="0" xfId="0" applyNumberFormat="1" applyFont="1" applyFill="1" applyAlignment="1" applyProtection="1">
      <alignment horizontal="center" vertical="center"/>
      <protection hidden="1"/>
    </xf>
    <xf numFmtId="0" fontId="310" fillId="3" borderId="0" xfId="0" applyFont="1" applyFill="1" applyAlignment="1" applyProtection="1">
      <alignment vertical="center"/>
      <protection hidden="1"/>
    </xf>
    <xf numFmtId="0" fontId="315" fillId="18" borderId="0" xfId="0" applyFont="1" applyFill="1" applyAlignment="1" applyProtection="1">
      <alignment vertical="center"/>
      <protection hidden="1"/>
    </xf>
    <xf numFmtId="0" fontId="316" fillId="18" borderId="0" xfId="0" applyFont="1" applyFill="1" applyAlignment="1" applyProtection="1">
      <alignment vertical="center"/>
      <protection hidden="1"/>
    </xf>
    <xf numFmtId="0" fontId="185" fillId="0" borderId="0" xfId="0" applyFont="1" applyAlignment="1">
      <alignment horizontal="center" vertical="center"/>
    </xf>
    <xf numFmtId="164" fontId="317" fillId="4" borderId="0" xfId="0" applyNumberFormat="1" applyFont="1" applyFill="1" applyAlignment="1" applyProtection="1">
      <alignment horizontal="center" vertical="center"/>
      <protection hidden="1"/>
    </xf>
    <xf numFmtId="0" fontId="318" fillId="38" borderId="35" xfId="0" applyFont="1" applyFill="1" applyBorder="1" applyAlignment="1" applyProtection="1">
      <alignment horizontal="center" vertical="center"/>
      <protection hidden="1"/>
    </xf>
    <xf numFmtId="0" fontId="242" fillId="18" borderId="0" xfId="0" quotePrefix="1" applyFont="1" applyFill="1" applyAlignment="1" applyProtection="1">
      <alignment horizontal="center" vertical="center"/>
      <protection hidden="1"/>
    </xf>
    <xf numFmtId="164" fontId="317" fillId="5" borderId="0" xfId="0" applyNumberFormat="1" applyFont="1" applyFill="1" applyAlignment="1" applyProtection="1">
      <alignment horizontal="center" vertical="center"/>
      <protection hidden="1"/>
    </xf>
    <xf numFmtId="164" fontId="317" fillId="6" borderId="0" xfId="0" applyNumberFormat="1" applyFont="1" applyFill="1" applyAlignment="1" applyProtection="1">
      <alignment horizontal="center" vertical="center"/>
      <protection hidden="1"/>
    </xf>
    <xf numFmtId="164" fontId="24" fillId="6" borderId="0" xfId="0" applyNumberFormat="1" applyFont="1" applyFill="1" applyAlignment="1" applyProtection="1">
      <alignment horizontal="center" vertical="center"/>
      <protection hidden="1"/>
    </xf>
    <xf numFmtId="164" fontId="24" fillId="5" borderId="0" xfId="0" applyNumberFormat="1" applyFont="1" applyFill="1" applyAlignment="1" applyProtection="1">
      <alignment horizontal="center" vertical="center"/>
      <protection hidden="1"/>
    </xf>
    <xf numFmtId="164" fontId="24" fillId="4" borderId="0" xfId="0" applyNumberFormat="1" applyFont="1" applyFill="1" applyAlignment="1" applyProtection="1">
      <alignment horizontal="center" vertical="center"/>
      <protection hidden="1"/>
    </xf>
    <xf numFmtId="9" fontId="319" fillId="5" borderId="0" xfId="0" quotePrefix="1" applyNumberFormat="1" applyFont="1" applyFill="1" applyAlignment="1" applyProtection="1">
      <alignment horizontal="left" vertical="center"/>
      <protection hidden="1"/>
    </xf>
    <xf numFmtId="164" fontId="24" fillId="42" borderId="0" xfId="0" applyNumberFormat="1" applyFont="1" applyFill="1" applyAlignment="1" applyProtection="1">
      <alignment horizontal="center" vertical="center"/>
      <protection hidden="1"/>
    </xf>
    <xf numFmtId="9" fontId="24" fillId="24" borderId="0" xfId="0" applyNumberFormat="1" applyFont="1" applyFill="1" applyAlignment="1" applyProtection="1">
      <alignment horizontal="center" vertical="center"/>
      <protection hidden="1"/>
    </xf>
    <xf numFmtId="0" fontId="85" fillId="18" borderId="0" xfId="0" applyFont="1" applyFill="1" applyAlignment="1" applyProtection="1">
      <alignment horizontal="right" vertical="center"/>
      <protection hidden="1"/>
    </xf>
    <xf numFmtId="9" fontId="138" fillId="3" borderId="0" xfId="0" applyNumberFormat="1" applyFont="1" applyFill="1" applyAlignment="1" applyProtection="1">
      <alignment horizontal="left" vertical="center"/>
      <protection hidden="1"/>
    </xf>
    <xf numFmtId="9" fontId="85" fillId="18" borderId="0" xfId="0" applyNumberFormat="1" applyFont="1" applyFill="1" applyAlignment="1" applyProtection="1">
      <alignment horizontal="right" vertical="center"/>
      <protection locked="0" hidden="1"/>
    </xf>
    <xf numFmtId="0" fontId="87" fillId="18" borderId="0" xfId="0" quotePrefix="1" applyFont="1" applyFill="1" applyAlignment="1" applyProtection="1">
      <alignment horizontal="right" vertical="center"/>
      <protection hidden="1"/>
    </xf>
    <xf numFmtId="164" fontId="100" fillId="18" borderId="0" xfId="0" applyNumberFormat="1" applyFont="1" applyFill="1" applyAlignment="1" applyProtection="1">
      <alignment horizontal="right" vertical="center"/>
      <protection locked="0" hidden="1"/>
    </xf>
    <xf numFmtId="164" fontId="322" fillId="12" borderId="0" xfId="0" quotePrefix="1" applyNumberFormat="1" applyFont="1" applyFill="1" applyAlignment="1" applyProtection="1">
      <alignment horizontal="left" vertical="center"/>
      <protection hidden="1"/>
    </xf>
    <xf numFmtId="0" fontId="112" fillId="12" borderId="0" xfId="1" applyFont="1" applyFill="1" applyBorder="1" applyAlignment="1" applyProtection="1">
      <alignment horizontal="center" vertical="center"/>
      <protection hidden="1"/>
    </xf>
    <xf numFmtId="9" fontId="165" fillId="18" borderId="0" xfId="0" applyNumberFormat="1" applyFont="1" applyFill="1" applyAlignment="1" applyProtection="1">
      <alignment horizontal="right" vertical="center"/>
      <protection locked="0" hidden="1"/>
    </xf>
    <xf numFmtId="0" fontId="0" fillId="12" borderId="0" xfId="0" applyFill="1" applyAlignment="1" applyProtection="1">
      <alignment horizontal="center"/>
      <protection hidden="1"/>
    </xf>
    <xf numFmtId="3" fontId="27" fillId="12" borderId="0" xfId="0" applyNumberFormat="1" applyFont="1" applyFill="1" applyAlignment="1" applyProtection="1">
      <alignment horizontal="left" vertical="center" wrapText="1"/>
      <protection hidden="1"/>
    </xf>
    <xf numFmtId="0" fontId="96" fillId="12" borderId="0" xfId="1" applyFont="1" applyFill="1" applyAlignment="1" applyProtection="1">
      <alignment horizontal="right" vertical="center"/>
      <protection hidden="1"/>
    </xf>
    <xf numFmtId="164" fontId="72" fillId="12" borderId="0" xfId="0" applyNumberFormat="1" applyFont="1" applyFill="1" applyAlignment="1" applyProtection="1">
      <alignment vertical="center"/>
      <protection hidden="1"/>
    </xf>
    <xf numFmtId="3" fontId="283" fillId="3" borderId="0" xfId="0" applyNumberFormat="1" applyFont="1" applyFill="1" applyAlignment="1" applyProtection="1">
      <alignment horizontal="left" vertical="center" wrapText="1"/>
      <protection hidden="1"/>
    </xf>
    <xf numFmtId="0" fontId="96" fillId="3" borderId="0" xfId="1" applyFont="1" applyFill="1" applyAlignment="1" applyProtection="1">
      <alignment horizontal="right" vertical="center"/>
      <protection hidden="1"/>
    </xf>
    <xf numFmtId="3" fontId="27" fillId="3" borderId="0" xfId="0" applyNumberFormat="1" applyFont="1" applyFill="1" applyAlignment="1" applyProtection="1">
      <alignment horizontal="left" vertical="center"/>
      <protection hidden="1"/>
    </xf>
    <xf numFmtId="0" fontId="80" fillId="12" borderId="0" xfId="0" applyFont="1" applyFill="1" applyAlignment="1" applyProtection="1">
      <alignment horizontal="center" vertical="center"/>
      <protection hidden="1"/>
    </xf>
    <xf numFmtId="0" fontId="162" fillId="3" borderId="0" xfId="0" applyFont="1" applyFill="1" applyAlignment="1" applyProtection="1">
      <alignment horizontal="left" vertical="center"/>
      <protection hidden="1"/>
    </xf>
    <xf numFmtId="0" fontId="85" fillId="31" borderId="0" xfId="0" quotePrefix="1" applyFont="1" applyFill="1" applyAlignment="1" applyProtection="1">
      <alignment horizontal="right" vertical="center"/>
      <protection hidden="1"/>
    </xf>
    <xf numFmtId="164" fontId="324" fillId="18" borderId="0" xfId="0" applyNumberFormat="1" applyFont="1" applyFill="1" applyAlignment="1" applyProtection="1">
      <alignment horizontal="right" vertical="center"/>
      <protection hidden="1"/>
    </xf>
    <xf numFmtId="9" fontId="292" fillId="18" borderId="11" xfId="0" applyNumberFormat="1" applyFont="1" applyFill="1" applyBorder="1" applyAlignment="1" applyProtection="1">
      <alignment horizontal="left" vertical="center"/>
      <protection locked="0" hidden="1"/>
    </xf>
    <xf numFmtId="0" fontId="325" fillId="18" borderId="0" xfId="0" applyFont="1" applyFill="1" applyAlignment="1" applyProtection="1">
      <alignment horizontal="left" vertical="center"/>
      <protection hidden="1"/>
    </xf>
    <xf numFmtId="3" fontId="264" fillId="18" borderId="0" xfId="0" applyNumberFormat="1" applyFont="1" applyFill="1" applyAlignment="1" applyProtection="1">
      <alignment horizontal="right" vertical="center"/>
      <protection hidden="1"/>
    </xf>
    <xf numFmtId="0" fontId="0" fillId="3" borderId="0" xfId="0" applyFill="1"/>
    <xf numFmtId="0" fontId="49" fillId="6" borderId="0" xfId="0" applyFont="1" applyFill="1" applyAlignment="1" applyProtection="1">
      <alignment horizontal="right" vertical="center"/>
      <protection hidden="1"/>
    </xf>
    <xf numFmtId="0" fontId="48" fillId="3" borderId="0" xfId="0" applyFont="1" applyFill="1" applyAlignment="1">
      <alignment vertical="center" wrapText="1"/>
    </xf>
    <xf numFmtId="0" fontId="45" fillId="3" borderId="0" xfId="0" applyFont="1" applyFill="1" applyAlignment="1">
      <alignment vertical="center" wrapText="1"/>
    </xf>
    <xf numFmtId="0" fontId="44" fillId="3" borderId="0" xfId="0" applyFont="1" applyFill="1" applyAlignment="1">
      <alignment vertical="center"/>
    </xf>
    <xf numFmtId="0" fontId="45" fillId="3" borderId="0" xfId="0" applyFont="1" applyFill="1" applyAlignment="1">
      <alignment vertical="center"/>
    </xf>
    <xf numFmtId="0" fontId="44" fillId="3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47" fillId="3" borderId="0" xfId="0" applyFont="1" applyFill="1" applyAlignment="1">
      <alignment vertical="center"/>
    </xf>
    <xf numFmtId="0" fontId="53" fillId="3" borderId="0" xfId="0" applyFont="1" applyFill="1" applyAlignment="1">
      <alignment horizontal="center" vertical="center"/>
    </xf>
    <xf numFmtId="9" fontId="45" fillId="3" borderId="0" xfId="0" applyNumberFormat="1" applyFont="1" applyFill="1" applyAlignment="1">
      <alignment horizontal="left" vertical="center"/>
    </xf>
    <xf numFmtId="0" fontId="5" fillId="3" borderId="0" xfId="1" applyFill="1" applyAlignment="1" applyProtection="1">
      <alignment horizontal="left" vertical="center"/>
      <protection hidden="1"/>
    </xf>
    <xf numFmtId="0" fontId="48" fillId="3" borderId="0" xfId="0" applyFont="1" applyFill="1" applyAlignment="1">
      <alignment vertical="center"/>
    </xf>
    <xf numFmtId="0" fontId="81" fillId="6" borderId="0" xfId="1" applyFont="1" applyFill="1" applyAlignment="1" applyProtection="1">
      <alignment vertical="center"/>
      <protection hidden="1"/>
    </xf>
    <xf numFmtId="0" fontId="81" fillId="6" borderId="0" xfId="1" applyFont="1" applyFill="1" applyAlignment="1" applyProtection="1">
      <alignment horizontal="left" vertical="center"/>
      <protection hidden="1"/>
    </xf>
    <xf numFmtId="0" fontId="326" fillId="47" borderId="0" xfId="0" applyFont="1" applyFill="1" applyAlignment="1" applyProtection="1">
      <alignment vertical="center"/>
      <protection hidden="1"/>
    </xf>
    <xf numFmtId="0" fontId="97" fillId="47" borderId="0" xfId="0" applyFont="1" applyFill="1" applyAlignment="1" applyProtection="1">
      <alignment horizontal="center" vertical="center"/>
      <protection hidden="1"/>
    </xf>
    <xf numFmtId="0" fontId="329" fillId="47" borderId="0" xfId="1" applyFont="1" applyFill="1" applyBorder="1" applyAlignment="1" applyProtection="1">
      <alignment horizontal="left" vertical="center"/>
      <protection hidden="1"/>
    </xf>
    <xf numFmtId="0" fontId="329" fillId="47" borderId="0" xfId="1" applyFont="1" applyFill="1" applyBorder="1" applyAlignment="1" applyProtection="1">
      <alignment horizontal="center" vertical="center"/>
      <protection hidden="1"/>
    </xf>
    <xf numFmtId="0" fontId="326" fillId="47" borderId="0" xfId="0" applyFont="1" applyFill="1" applyAlignment="1" applyProtection="1">
      <alignment horizontal="right" vertical="center"/>
      <protection hidden="1"/>
    </xf>
    <xf numFmtId="0" fontId="27" fillId="47" borderId="0" xfId="0" applyFont="1" applyFill="1" applyAlignment="1" applyProtection="1">
      <alignment horizontal="left" vertical="center"/>
      <protection hidden="1"/>
    </xf>
    <xf numFmtId="0" fontId="27" fillId="47" borderId="0" xfId="0" applyFont="1" applyFill="1" applyAlignment="1" applyProtection="1">
      <alignment horizontal="center" vertical="center"/>
      <protection hidden="1"/>
    </xf>
    <xf numFmtId="0" fontId="330" fillId="47" borderId="0" xfId="0" applyFont="1" applyFill="1" applyAlignment="1" applyProtection="1">
      <alignment horizontal="right" vertical="center"/>
      <protection hidden="1"/>
    </xf>
    <xf numFmtId="0" fontId="81" fillId="18" borderId="0" xfId="1" applyFont="1" applyFill="1" applyBorder="1" applyAlignment="1" applyProtection="1">
      <alignment horizontal="left" vertical="center"/>
      <protection hidden="1"/>
    </xf>
    <xf numFmtId="0" fontId="105" fillId="3" borderId="0" xfId="0" applyFont="1" applyFill="1" applyAlignment="1" applyProtection="1">
      <alignment horizontal="left" vertical="center"/>
      <protection hidden="1"/>
    </xf>
    <xf numFmtId="4" fontId="39" fillId="23" borderId="0" xfId="0" applyNumberFormat="1" applyFont="1" applyFill="1" applyAlignment="1" applyProtection="1">
      <alignment horizontal="right" vertical="center"/>
      <protection hidden="1"/>
    </xf>
    <xf numFmtId="0" fontId="9" fillId="12" borderId="0" xfId="0" applyFont="1" applyFill="1" applyAlignment="1" applyProtection="1">
      <alignment horizontal="right" vertical="center"/>
      <protection hidden="1"/>
    </xf>
    <xf numFmtId="164" fontId="14" fillId="10" borderId="0" xfId="0" applyNumberFormat="1" applyFont="1" applyFill="1" applyAlignment="1" applyProtection="1">
      <alignment horizontal="left" vertical="center"/>
      <protection hidden="1"/>
    </xf>
    <xf numFmtId="164" fontId="1" fillId="5" borderId="0" xfId="0" applyNumberFormat="1" applyFont="1" applyFill="1" applyAlignment="1" applyProtection="1">
      <alignment horizontal="left" vertical="center"/>
      <protection hidden="1"/>
    </xf>
    <xf numFmtId="164" fontId="182" fillId="3" borderId="0" xfId="1" applyNumberFormat="1" applyFont="1" applyFill="1" applyAlignment="1" applyProtection="1">
      <alignment horizontal="left" vertical="center"/>
      <protection hidden="1"/>
    </xf>
    <xf numFmtId="0" fontId="9" fillId="12" borderId="0" xfId="0" applyFont="1" applyFill="1" applyAlignment="1" applyProtection="1">
      <alignment horizontal="center" vertical="center"/>
      <protection hidden="1"/>
    </xf>
    <xf numFmtId="164" fontId="1" fillId="41" borderId="0" xfId="0" applyNumberFormat="1" applyFont="1" applyFill="1" applyAlignment="1" applyProtection="1">
      <alignment horizontal="left" vertical="center"/>
      <protection hidden="1"/>
    </xf>
    <xf numFmtId="164" fontId="97" fillId="22" borderId="0" xfId="1" applyNumberFormat="1" applyFont="1" applyFill="1" applyAlignment="1" applyProtection="1">
      <alignment horizontal="center" vertical="center"/>
      <protection hidden="1"/>
    </xf>
    <xf numFmtId="0" fontId="2" fillId="6" borderId="22" xfId="0" applyFont="1" applyFill="1" applyBorder="1" applyAlignment="1">
      <alignment horizontal="left" vertical="center"/>
    </xf>
    <xf numFmtId="0" fontId="2" fillId="6" borderId="0" xfId="0" applyFont="1" applyFill="1" applyAlignment="1">
      <alignment horizontal="left" vertical="center"/>
    </xf>
    <xf numFmtId="0" fontId="3" fillId="12" borderId="0" xfId="0" applyFont="1" applyFill="1" applyAlignment="1" applyProtection="1">
      <alignment horizontal="right" vertical="center"/>
      <protection hidden="1"/>
    </xf>
    <xf numFmtId="0" fontId="2" fillId="6" borderId="34" xfId="0" applyFont="1" applyFill="1" applyBorder="1" applyAlignment="1">
      <alignment horizontal="left" vertical="center"/>
    </xf>
    <xf numFmtId="0" fontId="96" fillId="0" borderId="0" xfId="1" applyFont="1" applyAlignment="1" applyProtection="1">
      <alignment horizontal="left" vertical="center"/>
      <protection hidden="1"/>
    </xf>
    <xf numFmtId="0" fontId="96" fillId="0" borderId="0" xfId="1" applyFont="1" applyAlignment="1" applyProtection="1">
      <alignment horizontal="right" vertical="center"/>
      <protection hidden="1"/>
    </xf>
    <xf numFmtId="164" fontId="97" fillId="22" borderId="16" xfId="1" applyNumberFormat="1" applyFont="1" applyFill="1" applyBorder="1" applyAlignment="1" applyProtection="1">
      <alignment horizontal="center" vertical="center"/>
      <protection hidden="1"/>
    </xf>
    <xf numFmtId="0" fontId="3" fillId="4" borderId="30" xfId="1" applyFont="1" applyFill="1" applyBorder="1" applyAlignment="1" applyProtection="1">
      <alignment horizontal="left" vertical="center"/>
    </xf>
    <xf numFmtId="0" fontId="3" fillId="4" borderId="0" xfId="1" applyFont="1" applyFill="1" applyBorder="1" applyAlignment="1" applyProtection="1">
      <alignment horizontal="left" vertical="center"/>
    </xf>
    <xf numFmtId="0" fontId="5" fillId="14" borderId="0" xfId="1" applyFill="1" applyAlignment="1" applyProtection="1">
      <alignment horizontal="left" vertical="center"/>
      <protection hidden="1"/>
    </xf>
    <xf numFmtId="0" fontId="108" fillId="0" borderId="0" xfId="1" applyFont="1" applyAlignment="1" applyProtection="1">
      <alignment horizontal="left" vertical="center"/>
      <protection hidden="1"/>
    </xf>
    <xf numFmtId="0" fontId="4" fillId="4" borderId="25" xfId="1" applyFont="1" applyFill="1" applyBorder="1" applyAlignment="1" applyProtection="1">
      <alignment horizontal="left" vertical="center"/>
    </xf>
    <xf numFmtId="0" fontId="4" fillId="4" borderId="0" xfId="1" applyFont="1" applyFill="1" applyBorder="1" applyAlignment="1" applyProtection="1">
      <alignment horizontal="left" vertical="center"/>
    </xf>
    <xf numFmtId="0" fontId="70" fillId="10" borderId="0" xfId="0" applyFont="1" applyFill="1" applyAlignment="1" applyProtection="1">
      <alignment horizontal="center" vertical="center"/>
      <protection hidden="1"/>
    </xf>
    <xf numFmtId="0" fontId="17" fillId="20" borderId="0" xfId="0" applyFont="1" applyFill="1" applyAlignment="1" applyProtection="1">
      <alignment horizontal="right" vertical="center"/>
      <protection hidden="1"/>
    </xf>
    <xf numFmtId="0" fontId="327" fillId="47" borderId="0" xfId="1" applyFont="1" applyFill="1" applyBorder="1" applyAlignment="1" applyProtection="1">
      <alignment horizontal="left" vertical="center"/>
      <protection hidden="1"/>
    </xf>
    <xf numFmtId="0" fontId="3" fillId="4" borderId="25" xfId="1" applyFont="1" applyFill="1" applyBorder="1" applyAlignment="1" applyProtection="1">
      <alignment horizontal="left" vertical="center"/>
    </xf>
    <xf numFmtId="0" fontId="243" fillId="5" borderId="12" xfId="1" applyFont="1" applyFill="1" applyBorder="1" applyAlignment="1" applyProtection="1">
      <alignment horizontal="center" vertical="center"/>
      <protection hidden="1"/>
    </xf>
    <xf numFmtId="0" fontId="243" fillId="5" borderId="13" xfId="1" applyFont="1" applyFill="1" applyBorder="1" applyAlignment="1" applyProtection="1">
      <alignment horizontal="center" vertical="center"/>
      <protection hidden="1"/>
    </xf>
    <xf numFmtId="0" fontId="243" fillId="5" borderId="14" xfId="1" applyFont="1" applyFill="1" applyBorder="1" applyAlignment="1" applyProtection="1">
      <alignment horizontal="center" vertical="center"/>
      <protection hidden="1"/>
    </xf>
    <xf numFmtId="164" fontId="97" fillId="19" borderId="10" xfId="0" applyNumberFormat="1" applyFont="1" applyFill="1" applyBorder="1" applyAlignment="1" applyProtection="1">
      <alignment horizontal="center" vertical="center"/>
      <protection hidden="1"/>
    </xf>
    <xf numFmtId="164" fontId="97" fillId="19" borderId="0" xfId="0" applyNumberFormat="1" applyFont="1" applyFill="1" applyAlignment="1" applyProtection="1">
      <alignment horizontal="center" vertical="center"/>
      <protection hidden="1"/>
    </xf>
    <xf numFmtId="164" fontId="97" fillId="19" borderId="21" xfId="0" applyNumberFormat="1" applyFont="1" applyFill="1" applyBorder="1" applyAlignment="1" applyProtection="1">
      <alignment horizontal="center" vertical="center"/>
      <protection hidden="1"/>
    </xf>
    <xf numFmtId="0" fontId="239" fillId="21" borderId="0" xfId="0" applyFont="1" applyFill="1" applyAlignment="1" applyProtection="1">
      <alignment horizontal="center" vertical="center"/>
      <protection locked="0" hidden="1"/>
    </xf>
    <xf numFmtId="164" fontId="138" fillId="0" borderId="0" xfId="0" applyNumberFormat="1" applyFont="1" applyAlignment="1">
      <alignment horizontal="left" vertical="center"/>
    </xf>
    <xf numFmtId="0" fontId="248" fillId="3" borderId="0" xfId="0" applyFont="1" applyFill="1" applyAlignment="1" applyProtection="1">
      <alignment horizontal="left" vertical="center"/>
      <protection hidden="1"/>
    </xf>
    <xf numFmtId="0" fontId="250" fillId="18" borderId="0" xfId="0" applyFont="1" applyFill="1" applyAlignment="1" applyProtection="1">
      <alignment horizontal="center"/>
      <protection hidden="1"/>
    </xf>
    <xf numFmtId="0" fontId="3" fillId="5" borderId="25" xfId="1" applyFont="1" applyFill="1" applyBorder="1" applyAlignment="1" applyProtection="1">
      <alignment horizontal="left" vertical="center"/>
    </xf>
    <xf numFmtId="0" fontId="3" fillId="5" borderId="0" xfId="1" applyFont="1" applyFill="1" applyBorder="1" applyAlignment="1" applyProtection="1">
      <alignment horizontal="left" vertical="center"/>
    </xf>
    <xf numFmtId="0" fontId="247" fillId="19" borderId="10" xfId="0" applyFont="1" applyFill="1" applyBorder="1" applyAlignment="1" applyProtection="1">
      <alignment horizontal="center" vertical="center"/>
      <protection hidden="1"/>
    </xf>
    <xf numFmtId="0" fontId="247" fillId="19" borderId="0" xfId="0" applyFont="1" applyFill="1" applyAlignment="1" applyProtection="1">
      <alignment horizontal="center" vertical="center"/>
      <protection hidden="1"/>
    </xf>
    <xf numFmtId="164" fontId="123" fillId="22" borderId="26" xfId="0" quotePrefix="1" applyNumberFormat="1" applyFont="1" applyFill="1" applyBorder="1" applyAlignment="1" applyProtection="1">
      <alignment horizontal="right" vertical="center"/>
      <protection hidden="1"/>
    </xf>
    <xf numFmtId="164" fontId="123" fillId="22" borderId="27" xfId="0" quotePrefix="1" applyNumberFormat="1" applyFont="1" applyFill="1" applyBorder="1" applyAlignment="1" applyProtection="1">
      <alignment horizontal="right" vertical="center"/>
      <protection hidden="1"/>
    </xf>
    <xf numFmtId="164" fontId="123" fillId="22" borderId="28" xfId="0" quotePrefix="1" applyNumberFormat="1" applyFont="1" applyFill="1" applyBorder="1" applyAlignment="1" applyProtection="1">
      <alignment horizontal="right" vertical="center"/>
      <protection hidden="1"/>
    </xf>
    <xf numFmtId="0" fontId="63" fillId="33" borderId="30" xfId="0" quotePrefix="1" applyFont="1" applyFill="1" applyBorder="1" applyAlignment="1" applyProtection="1">
      <alignment horizontal="left" vertical="center"/>
      <protection hidden="1"/>
    </xf>
    <xf numFmtId="0" fontId="63" fillId="33" borderId="0" xfId="0" quotePrefix="1" applyFont="1" applyFill="1" applyAlignment="1" applyProtection="1">
      <alignment horizontal="left" vertical="center"/>
      <protection hidden="1"/>
    </xf>
    <xf numFmtId="0" fontId="297" fillId="0" borderId="0" xfId="1" applyFont="1" applyAlignment="1" applyProtection="1">
      <alignment horizontal="center" vertical="center"/>
      <protection hidden="1"/>
    </xf>
    <xf numFmtId="0" fontId="196" fillId="22" borderId="10" xfId="0" quotePrefix="1" applyFont="1" applyFill="1" applyBorder="1" applyAlignment="1" applyProtection="1">
      <alignment horizontal="center" vertical="center"/>
      <protection hidden="1"/>
    </xf>
    <xf numFmtId="0" fontId="196" fillId="22" borderId="0" xfId="0" quotePrefix="1" applyFont="1" applyFill="1" applyAlignment="1" applyProtection="1">
      <alignment horizontal="center" vertical="center"/>
      <protection hidden="1"/>
    </xf>
    <xf numFmtId="0" fontId="332" fillId="18" borderId="0" xfId="0" applyFont="1" applyFill="1" applyAlignment="1" applyProtection="1">
      <alignment horizontal="center" vertical="center"/>
      <protection hidden="1"/>
    </xf>
    <xf numFmtId="0" fontId="246" fillId="5" borderId="0" xfId="1" applyFont="1" applyFill="1" applyAlignment="1" applyProtection="1">
      <alignment horizontal="center" vertical="center"/>
      <protection hidden="1"/>
    </xf>
    <xf numFmtId="0" fontId="243" fillId="6" borderId="12" xfId="1" applyFont="1" applyFill="1" applyBorder="1" applyAlignment="1" applyProtection="1">
      <alignment horizontal="center" vertical="center"/>
      <protection hidden="1"/>
    </xf>
    <xf numFmtId="0" fontId="243" fillId="6" borderId="13" xfId="1" applyFont="1" applyFill="1" applyBorder="1" applyAlignment="1" applyProtection="1">
      <alignment horizontal="center" vertical="center"/>
      <protection hidden="1"/>
    </xf>
    <xf numFmtId="0" fontId="243" fillId="6" borderId="14" xfId="1" applyFont="1" applyFill="1" applyBorder="1" applyAlignment="1" applyProtection="1">
      <alignment horizontal="center" vertical="center"/>
      <protection hidden="1"/>
    </xf>
    <xf numFmtId="0" fontId="246" fillId="6" borderId="0" xfId="1" applyFont="1" applyFill="1" applyAlignment="1" applyProtection="1">
      <alignment horizontal="center" vertical="center"/>
      <protection hidden="1"/>
    </xf>
    <xf numFmtId="164" fontId="97" fillId="6" borderId="0" xfId="1" applyNumberFormat="1" applyFont="1" applyFill="1" applyAlignment="1" applyProtection="1">
      <alignment horizontal="center" vertical="center"/>
      <protection hidden="1"/>
    </xf>
    <xf numFmtId="4" fontId="9" fillId="3" borderId="0" xfId="0" applyNumberFormat="1" applyFont="1" applyFill="1" applyAlignment="1" applyProtection="1">
      <alignment horizontal="left" vertical="center"/>
      <protection hidden="1"/>
    </xf>
    <xf numFmtId="0" fontId="133" fillId="3" borderId="0" xfId="0" applyFont="1" applyFill="1" applyAlignment="1" applyProtection="1">
      <alignment horizontal="right" vertical="center"/>
      <protection hidden="1"/>
    </xf>
    <xf numFmtId="164" fontId="9" fillId="3" borderId="0" xfId="0" applyNumberFormat="1" applyFont="1" applyFill="1" applyAlignment="1" applyProtection="1">
      <alignment horizontal="left" vertical="center"/>
      <protection hidden="1"/>
    </xf>
    <xf numFmtId="0" fontId="9" fillId="3" borderId="0" xfId="0" applyFont="1" applyFill="1" applyAlignment="1" applyProtection="1">
      <alignment horizontal="center" vertical="center"/>
      <protection hidden="1"/>
    </xf>
    <xf numFmtId="0" fontId="291" fillId="10" borderId="0" xfId="0" applyFont="1" applyFill="1" applyAlignment="1" applyProtection="1">
      <alignment horizontal="center" vertical="center"/>
      <protection hidden="1"/>
    </xf>
    <xf numFmtId="0" fontId="81" fillId="12" borderId="0" xfId="1" applyFont="1" applyFill="1" applyAlignment="1" applyProtection="1">
      <alignment horizontal="right" vertical="center"/>
      <protection hidden="1"/>
    </xf>
    <xf numFmtId="0" fontId="83" fillId="3" borderId="0" xfId="1" applyFont="1" applyFill="1" applyBorder="1" applyAlignment="1" applyProtection="1">
      <alignment horizontal="center" vertical="center"/>
      <protection hidden="1"/>
    </xf>
    <xf numFmtId="0" fontId="3" fillId="6" borderId="22" xfId="1" applyFont="1" applyFill="1" applyBorder="1" applyAlignment="1" applyProtection="1">
      <alignment horizontal="left" vertical="center"/>
    </xf>
    <xf numFmtId="0" fontId="3" fillId="6" borderId="0" xfId="1" applyFont="1" applyFill="1" applyBorder="1" applyAlignment="1" applyProtection="1">
      <alignment horizontal="left" vertical="center"/>
    </xf>
    <xf numFmtId="0" fontId="9" fillId="6" borderId="22" xfId="0" applyFont="1" applyFill="1" applyBorder="1" applyAlignment="1">
      <alignment horizontal="left" vertical="center"/>
    </xf>
    <xf numFmtId="0" fontId="9" fillId="6" borderId="0" xfId="0" applyFont="1" applyFill="1" applyAlignment="1">
      <alignment horizontal="left" vertical="center"/>
    </xf>
    <xf numFmtId="0" fontId="4" fillId="4" borderId="30" xfId="1" applyFont="1" applyFill="1" applyBorder="1" applyAlignment="1" applyProtection="1">
      <alignment horizontal="left" vertical="center"/>
    </xf>
    <xf numFmtId="0" fontId="4" fillId="6" borderId="22" xfId="1" applyFont="1" applyFill="1" applyBorder="1" applyAlignment="1" applyProtection="1">
      <alignment horizontal="left" vertical="center"/>
    </xf>
    <xf numFmtId="0" fontId="4" fillId="6" borderId="0" xfId="1" applyFont="1" applyFill="1" applyBorder="1" applyAlignment="1" applyProtection="1">
      <alignment horizontal="left" vertical="center"/>
    </xf>
    <xf numFmtId="0" fontId="4" fillId="5" borderId="25" xfId="1" applyFont="1" applyFill="1" applyBorder="1" applyAlignment="1" applyProtection="1">
      <alignment horizontal="left" vertical="center"/>
    </xf>
    <xf numFmtId="0" fontId="4" fillId="5" borderId="0" xfId="1" applyFont="1" applyFill="1" applyBorder="1" applyAlignment="1" applyProtection="1">
      <alignment horizontal="left" vertical="center"/>
    </xf>
    <xf numFmtId="0" fontId="4" fillId="5" borderId="30" xfId="1" applyFont="1" applyFill="1" applyBorder="1" applyAlignment="1" applyProtection="1">
      <alignment horizontal="left" vertical="center"/>
    </xf>
    <xf numFmtId="0" fontId="4" fillId="6" borderId="31" xfId="1" applyFont="1" applyFill="1" applyBorder="1" applyAlignment="1" applyProtection="1">
      <alignment horizontal="left" vertical="center"/>
    </xf>
    <xf numFmtId="0" fontId="57" fillId="3" borderId="0" xfId="1" applyFont="1" applyFill="1" applyAlignment="1" applyProtection="1">
      <alignment horizontal="left" vertical="center"/>
      <protection hidden="1"/>
    </xf>
    <xf numFmtId="0" fontId="2" fillId="5" borderId="30" xfId="0" applyFont="1" applyFill="1" applyBorder="1" applyAlignment="1">
      <alignment horizontal="left" vertical="center"/>
    </xf>
    <xf numFmtId="0" fontId="2" fillId="5" borderId="0" xfId="0" applyFont="1" applyFill="1" applyAlignment="1">
      <alignment horizontal="left" vertical="center"/>
    </xf>
    <xf numFmtId="0" fontId="3" fillId="6" borderId="31" xfId="1" applyFont="1" applyFill="1" applyBorder="1" applyAlignment="1" applyProtection="1">
      <alignment horizontal="left" vertical="center"/>
    </xf>
    <xf numFmtId="164" fontId="191" fillId="3" borderId="0" xfId="1" applyNumberFormat="1" applyFont="1" applyFill="1" applyAlignment="1" applyProtection="1">
      <alignment horizontal="left" vertical="center"/>
      <protection hidden="1"/>
    </xf>
    <xf numFmtId="0" fontId="97" fillId="40" borderId="0" xfId="1" applyFont="1" applyFill="1" applyAlignment="1" applyProtection="1">
      <alignment horizontal="center" vertical="center"/>
    </xf>
    <xf numFmtId="164" fontId="273" fillId="10" borderId="0" xfId="0" applyNumberFormat="1" applyFont="1" applyFill="1" applyAlignment="1" applyProtection="1">
      <alignment horizontal="center" vertical="center"/>
      <protection hidden="1"/>
    </xf>
    <xf numFmtId="0" fontId="188" fillId="12" borderId="0" xfId="1" applyFont="1" applyFill="1" applyBorder="1" applyAlignment="1" applyProtection="1">
      <alignment horizontal="right" vertical="center"/>
      <protection hidden="1"/>
    </xf>
    <xf numFmtId="164" fontId="254" fillId="3" borderId="0" xfId="0" applyNumberFormat="1" applyFont="1" applyFill="1" applyAlignment="1" applyProtection="1">
      <alignment horizontal="left" vertical="center"/>
      <protection hidden="1"/>
    </xf>
    <xf numFmtId="164" fontId="254" fillId="3" borderId="11" xfId="0" applyNumberFormat="1" applyFont="1" applyFill="1" applyBorder="1" applyAlignment="1" applyProtection="1">
      <alignment horizontal="left" vertical="center"/>
      <protection hidden="1"/>
    </xf>
    <xf numFmtId="0" fontId="85" fillId="12" borderId="0" xfId="0" quotePrefix="1" applyFont="1" applyFill="1" applyAlignment="1" applyProtection="1">
      <alignment horizontal="right" vertical="center"/>
      <protection hidden="1"/>
    </xf>
    <xf numFmtId="164" fontId="1" fillId="24" borderId="0" xfId="0" applyNumberFormat="1" applyFont="1" applyFill="1" applyAlignment="1" applyProtection="1">
      <alignment horizontal="left" vertical="center"/>
      <protection hidden="1"/>
    </xf>
    <xf numFmtId="164" fontId="165" fillId="3" borderId="0" xfId="0" applyNumberFormat="1" applyFont="1" applyFill="1" applyAlignment="1" applyProtection="1">
      <alignment horizontal="left" vertical="center"/>
      <protection hidden="1"/>
    </xf>
    <xf numFmtId="0" fontId="4" fillId="6" borderId="23" xfId="1" applyFont="1" applyFill="1" applyBorder="1" applyAlignment="1" applyProtection="1">
      <alignment horizontal="left" vertical="center"/>
    </xf>
    <xf numFmtId="164" fontId="294" fillId="3" borderId="0" xfId="0" applyNumberFormat="1" applyFont="1" applyFill="1" applyAlignment="1" applyProtection="1">
      <alignment horizontal="left" vertical="center"/>
      <protection locked="0" hidden="1"/>
    </xf>
    <xf numFmtId="164" fontId="294" fillId="3" borderId="11" xfId="0" applyNumberFormat="1" applyFont="1" applyFill="1" applyBorder="1" applyAlignment="1" applyProtection="1">
      <alignment horizontal="left" vertical="center"/>
      <protection locked="0" hidden="1"/>
    </xf>
    <xf numFmtId="0" fontId="2" fillId="42" borderId="34" xfId="0" applyFont="1" applyFill="1" applyBorder="1" applyAlignment="1">
      <alignment horizontal="left" vertical="center"/>
    </xf>
    <xf numFmtId="0" fontId="2" fillId="42" borderId="0" xfId="0" applyFont="1" applyFill="1" applyAlignment="1">
      <alignment horizontal="left" vertical="center"/>
    </xf>
    <xf numFmtId="0" fontId="304" fillId="18" borderId="0" xfId="0" quotePrefix="1" applyFont="1" applyFill="1" applyAlignment="1" applyProtection="1">
      <alignment horizontal="right" vertical="center"/>
      <protection hidden="1"/>
    </xf>
    <xf numFmtId="0" fontId="3" fillId="6" borderId="24" xfId="1" applyFont="1" applyFill="1" applyBorder="1" applyAlignment="1" applyProtection="1">
      <alignment horizontal="left" vertical="center"/>
    </xf>
    <xf numFmtId="0" fontId="14" fillId="5" borderId="25" xfId="0" applyFont="1" applyFill="1" applyBorder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105" fillId="18" borderId="0" xfId="0" quotePrefix="1" applyFont="1" applyFill="1" applyAlignment="1" applyProtection="1">
      <alignment horizontal="left" vertical="center"/>
      <protection hidden="1"/>
    </xf>
    <xf numFmtId="0" fontId="14" fillId="5" borderId="30" xfId="0" applyFont="1" applyFill="1" applyBorder="1" applyAlignment="1">
      <alignment horizontal="left" vertical="center"/>
    </xf>
    <xf numFmtId="164" fontId="165" fillId="18" borderId="0" xfId="0" applyNumberFormat="1" applyFont="1" applyFill="1" applyAlignment="1" applyProtection="1">
      <alignment horizontal="left" vertical="center"/>
      <protection hidden="1"/>
    </xf>
    <xf numFmtId="164" fontId="165" fillId="18" borderId="11" xfId="0" applyNumberFormat="1" applyFont="1" applyFill="1" applyBorder="1" applyAlignment="1" applyProtection="1">
      <alignment horizontal="left" vertical="center"/>
      <protection hidden="1"/>
    </xf>
    <xf numFmtId="0" fontId="2" fillId="6" borderId="31" xfId="0" applyFont="1" applyFill="1" applyBorder="1" applyAlignment="1">
      <alignment horizontal="left" vertical="center"/>
    </xf>
    <xf numFmtId="0" fontId="329" fillId="47" borderId="44" xfId="1" applyFont="1" applyFill="1" applyBorder="1" applyAlignment="1" applyProtection="1">
      <alignment horizontal="center" vertical="center"/>
      <protection hidden="1"/>
    </xf>
    <xf numFmtId="164" fontId="200" fillId="18" borderId="0" xfId="0" applyNumberFormat="1" applyFont="1" applyFill="1" applyAlignment="1" applyProtection="1">
      <alignment horizontal="left" vertical="center"/>
      <protection locked="0"/>
    </xf>
    <xf numFmtId="0" fontId="2" fillId="5" borderId="25" xfId="0" applyFont="1" applyFill="1" applyBorder="1" applyAlignment="1">
      <alignment horizontal="left" vertical="center"/>
    </xf>
    <xf numFmtId="0" fontId="81" fillId="3" borderId="0" xfId="1" applyFont="1" applyFill="1" applyAlignment="1" applyProtection="1">
      <alignment horizontal="left" vertical="center"/>
      <protection hidden="1"/>
    </xf>
    <xf numFmtId="0" fontId="63" fillId="37" borderId="34" xfId="0" quotePrefix="1" applyFont="1" applyFill="1" applyBorder="1" applyAlignment="1" applyProtection="1">
      <alignment horizontal="left"/>
      <protection hidden="1"/>
    </xf>
    <xf numFmtId="0" fontId="63" fillId="37" borderId="0" xfId="0" quotePrefix="1" applyFont="1" applyFill="1" applyAlignment="1" applyProtection="1">
      <alignment horizontal="left"/>
      <protection hidden="1"/>
    </xf>
    <xf numFmtId="0" fontId="3" fillId="5" borderId="34" xfId="1" applyFont="1" applyFill="1" applyBorder="1" applyAlignment="1" applyProtection="1">
      <alignment horizontal="left" vertical="center"/>
    </xf>
    <xf numFmtId="0" fontId="96" fillId="3" borderId="0" xfId="1" applyFont="1" applyFill="1" applyAlignment="1" applyProtection="1">
      <alignment horizontal="left" vertical="center"/>
      <protection hidden="1"/>
    </xf>
    <xf numFmtId="0" fontId="85" fillId="18" borderId="0" xfId="0" applyFont="1" applyFill="1" applyAlignment="1" applyProtection="1">
      <alignment horizontal="center" vertical="center"/>
      <protection hidden="1"/>
    </xf>
    <xf numFmtId="0" fontId="88" fillId="3" borderId="0" xfId="0" applyFont="1" applyFill="1" applyAlignment="1" applyProtection="1">
      <alignment horizontal="right" vertical="center"/>
      <protection hidden="1"/>
    </xf>
    <xf numFmtId="0" fontId="88" fillId="18" borderId="0" xfId="0" applyFont="1" applyFill="1" applyAlignment="1" applyProtection="1">
      <alignment horizontal="center" vertical="center"/>
      <protection hidden="1"/>
    </xf>
    <xf numFmtId="164" fontId="255" fillId="3" borderId="0" xfId="0" applyNumberFormat="1" applyFont="1" applyFill="1" applyAlignment="1" applyProtection="1">
      <alignment horizontal="left" vertical="center"/>
      <protection hidden="1"/>
    </xf>
    <xf numFmtId="164" fontId="255" fillId="3" borderId="11" xfId="0" applyNumberFormat="1" applyFont="1" applyFill="1" applyBorder="1" applyAlignment="1" applyProtection="1">
      <alignment horizontal="left" vertical="center"/>
      <protection hidden="1"/>
    </xf>
    <xf numFmtId="0" fontId="275" fillId="43" borderId="0" xfId="0" applyFont="1" applyFill="1" applyAlignment="1" applyProtection="1">
      <alignment horizontal="left" vertical="center"/>
      <protection locked="0" hidden="1"/>
    </xf>
    <xf numFmtId="0" fontId="9" fillId="45" borderId="0" xfId="0" applyFont="1" applyFill="1" applyAlignment="1" applyProtection="1">
      <alignment horizontal="center" vertical="center"/>
      <protection hidden="1"/>
    </xf>
    <xf numFmtId="0" fontId="329" fillId="47" borderId="44" xfId="1" applyFont="1" applyFill="1" applyBorder="1" applyAlignment="1" applyProtection="1">
      <alignment horizontal="left" vertical="center"/>
      <protection hidden="1"/>
    </xf>
    <xf numFmtId="0" fontId="52" fillId="3" borderId="0" xfId="1" applyFont="1" applyFill="1" applyAlignment="1" applyProtection="1">
      <alignment horizontal="center" vertical="center"/>
      <protection hidden="1"/>
    </xf>
    <xf numFmtId="0" fontId="189" fillId="26" borderId="19" xfId="0" applyFont="1" applyFill="1" applyBorder="1" applyAlignment="1" applyProtection="1">
      <alignment horizontal="center" vertical="center"/>
      <protection hidden="1"/>
    </xf>
    <xf numFmtId="0" fontId="189" fillId="26" borderId="0" xfId="0" applyFont="1" applyFill="1" applyAlignment="1" applyProtection="1">
      <alignment horizontal="center" vertical="center"/>
      <protection hidden="1"/>
    </xf>
    <xf numFmtId="0" fontId="3" fillId="6" borderId="23" xfId="1" applyFont="1" applyFill="1" applyBorder="1" applyAlignment="1" applyProtection="1">
      <alignment horizontal="left" vertical="center"/>
    </xf>
    <xf numFmtId="0" fontId="39" fillId="16" borderId="0" xfId="0" applyFont="1" applyFill="1" applyAlignment="1" applyProtection="1">
      <alignment horizontal="center" vertical="center" wrapText="1"/>
      <protection hidden="1"/>
    </xf>
    <xf numFmtId="0" fontId="88" fillId="18" borderId="0" xfId="0" quotePrefix="1" applyFont="1" applyFill="1" applyAlignment="1" applyProtection="1">
      <alignment horizontal="center" vertical="center"/>
      <protection hidden="1"/>
    </xf>
    <xf numFmtId="0" fontId="4" fillId="6" borderId="33" xfId="1" applyFont="1" applyFill="1" applyBorder="1" applyAlignment="1" applyProtection="1">
      <alignment horizontal="left" vertical="center"/>
    </xf>
    <xf numFmtId="0" fontId="153" fillId="25" borderId="0" xfId="0" applyFont="1" applyFill="1" applyAlignment="1" applyProtection="1">
      <alignment horizontal="center" vertical="center" wrapText="1"/>
      <protection hidden="1"/>
    </xf>
    <xf numFmtId="0" fontId="86" fillId="18" borderId="0" xfId="0" quotePrefix="1" applyFont="1" applyFill="1" applyAlignment="1" applyProtection="1">
      <alignment vertical="center"/>
      <protection hidden="1"/>
    </xf>
    <xf numFmtId="0" fontId="231" fillId="18" borderId="0" xfId="0" applyFont="1" applyFill="1" applyAlignment="1" applyProtection="1">
      <alignment horizontal="right" vertical="center"/>
      <protection hidden="1"/>
    </xf>
    <xf numFmtId="0" fontId="302" fillId="3" borderId="0" xfId="0" applyFont="1" applyFill="1" applyAlignment="1" applyProtection="1">
      <alignment horizontal="left" vertical="center"/>
      <protection hidden="1"/>
    </xf>
    <xf numFmtId="0" fontId="100" fillId="18" borderId="0" xfId="0" quotePrefix="1" applyFont="1" applyFill="1" applyAlignment="1" applyProtection="1">
      <alignment horizontal="right" vertical="center"/>
      <protection hidden="1"/>
    </xf>
    <xf numFmtId="0" fontId="275" fillId="43" borderId="41" xfId="0" applyFont="1" applyFill="1" applyBorder="1" applyAlignment="1" applyProtection="1">
      <alignment horizontal="right" vertical="center"/>
      <protection locked="0"/>
    </xf>
    <xf numFmtId="0" fontId="275" fillId="43" borderId="0" xfId="0" applyFont="1" applyFill="1" applyAlignment="1" applyProtection="1">
      <alignment horizontal="right" vertical="center"/>
      <protection locked="0"/>
    </xf>
    <xf numFmtId="0" fontId="87" fillId="18" borderId="0" xfId="0" applyFont="1" applyFill="1" applyAlignment="1" applyProtection="1">
      <alignment horizontal="right" vertical="center"/>
      <protection hidden="1"/>
    </xf>
    <xf numFmtId="164" fontId="114" fillId="3" borderId="0" xfId="0" applyNumberFormat="1" applyFont="1" applyFill="1" applyAlignment="1" applyProtection="1">
      <alignment horizontal="left" vertical="center"/>
      <protection hidden="1"/>
    </xf>
    <xf numFmtId="164" fontId="114" fillId="3" borderId="11" xfId="0" applyNumberFormat="1" applyFont="1" applyFill="1" applyBorder="1" applyAlignment="1" applyProtection="1">
      <alignment horizontal="left" vertical="center"/>
      <protection hidden="1"/>
    </xf>
    <xf numFmtId="0" fontId="155" fillId="25" borderId="0" xfId="0" quotePrefix="1" applyFont="1" applyFill="1" applyAlignment="1" applyProtection="1">
      <alignment horizontal="center" vertical="center" wrapText="1"/>
      <protection hidden="1"/>
    </xf>
    <xf numFmtId="0" fontId="72" fillId="35" borderId="32" xfId="0" applyFont="1" applyFill="1" applyBorder="1" applyAlignment="1" applyProtection="1">
      <alignment horizontal="left" vertical="center"/>
      <protection hidden="1"/>
    </xf>
    <xf numFmtId="0" fontId="72" fillId="35" borderId="0" xfId="0" applyFont="1" applyFill="1" applyAlignment="1" applyProtection="1">
      <alignment horizontal="left" vertical="center"/>
      <protection hidden="1"/>
    </xf>
    <xf numFmtId="0" fontId="2" fillId="6" borderId="23" xfId="0" applyFont="1" applyFill="1" applyBorder="1" applyAlignment="1">
      <alignment horizontal="left" vertical="center"/>
    </xf>
    <xf numFmtId="0" fontId="63" fillId="33" borderId="25" xfId="0" quotePrefix="1" applyFont="1" applyFill="1" applyBorder="1" applyProtection="1">
      <protection hidden="1"/>
    </xf>
    <xf numFmtId="0" fontId="63" fillId="33" borderId="0" xfId="0" quotePrefix="1" applyFont="1" applyFill="1" applyProtection="1">
      <protection hidden="1"/>
    </xf>
    <xf numFmtId="0" fontId="122" fillId="12" borderId="0" xfId="0" applyFont="1" applyFill="1" applyAlignment="1" applyProtection="1">
      <alignment horizontal="center" vertical="center"/>
      <protection hidden="1"/>
    </xf>
    <xf numFmtId="164" fontId="254" fillId="3" borderId="0" xfId="0" applyNumberFormat="1" applyFont="1" applyFill="1" applyAlignment="1" applyProtection="1">
      <alignment horizontal="left" vertical="center"/>
      <protection locked="0" hidden="1"/>
    </xf>
    <xf numFmtId="164" fontId="254" fillId="3" borderId="11" xfId="0" applyNumberFormat="1" applyFont="1" applyFill="1" applyBorder="1" applyAlignment="1" applyProtection="1">
      <alignment horizontal="left" vertical="center"/>
      <protection locked="0" hidden="1"/>
    </xf>
    <xf numFmtId="9" fontId="248" fillId="3" borderId="0" xfId="0" applyNumberFormat="1" applyFont="1" applyFill="1" applyAlignment="1" applyProtection="1">
      <alignment horizontal="left" vertical="center"/>
      <protection hidden="1"/>
    </xf>
    <xf numFmtId="0" fontId="77" fillId="8" borderId="0" xfId="0" quotePrefix="1" applyFont="1" applyFill="1" applyAlignment="1" applyProtection="1">
      <alignment horizontal="left"/>
      <protection hidden="1"/>
    </xf>
    <xf numFmtId="0" fontId="66" fillId="12" borderId="0" xfId="0" applyFont="1" applyFill="1" applyAlignment="1" applyProtection="1">
      <alignment horizontal="center" vertical="center"/>
      <protection hidden="1"/>
    </xf>
    <xf numFmtId="0" fontId="96" fillId="0" borderId="0" xfId="1" applyFont="1" applyFill="1" applyAlignment="1" applyProtection="1">
      <alignment vertical="center"/>
      <protection hidden="1"/>
    </xf>
    <xf numFmtId="0" fontId="329" fillId="47" borderId="0" xfId="1" applyFont="1" applyFill="1" applyBorder="1" applyAlignment="1" applyProtection="1">
      <alignment horizontal="center" vertical="center"/>
      <protection hidden="1"/>
    </xf>
    <xf numFmtId="0" fontId="181" fillId="0" borderId="0" xfId="0" applyFont="1" applyAlignment="1" applyProtection="1">
      <alignment horizontal="left" vertical="center"/>
      <protection hidden="1"/>
    </xf>
    <xf numFmtId="0" fontId="52" fillId="13" borderId="48" xfId="1" applyFont="1" applyFill="1" applyBorder="1" applyAlignment="1" applyProtection="1">
      <alignment horizontal="left" vertical="center"/>
      <protection hidden="1"/>
    </xf>
    <xf numFmtId="0" fontId="52" fillId="13" borderId="49" xfId="1" applyFont="1" applyFill="1" applyBorder="1" applyAlignment="1" applyProtection="1">
      <alignment horizontal="left" vertical="center"/>
      <protection hidden="1"/>
    </xf>
    <xf numFmtId="0" fontId="297" fillId="46" borderId="0" xfId="1" quotePrefix="1" applyFont="1" applyFill="1" applyAlignment="1" applyProtection="1">
      <alignment horizontal="center" vertical="center"/>
      <protection hidden="1"/>
    </xf>
    <xf numFmtId="164" fontId="97" fillId="22" borderId="37" xfId="1" applyNumberFormat="1" applyFont="1" applyFill="1" applyBorder="1" applyAlignment="1" applyProtection="1">
      <alignment horizontal="center" vertical="center"/>
      <protection hidden="1"/>
    </xf>
    <xf numFmtId="164" fontId="97" fillId="22" borderId="38" xfId="1" applyNumberFormat="1" applyFont="1" applyFill="1" applyBorder="1" applyAlignment="1" applyProtection="1">
      <alignment horizontal="center" vertical="center"/>
      <protection hidden="1"/>
    </xf>
    <xf numFmtId="0" fontId="70" fillId="31" borderId="0" xfId="0" applyFont="1" applyFill="1" applyAlignment="1" applyProtection="1">
      <alignment horizontal="right"/>
      <protection hidden="1"/>
    </xf>
    <xf numFmtId="0" fontId="24" fillId="8" borderId="36" xfId="0" applyFont="1" applyFill="1" applyBorder="1" applyAlignment="1" applyProtection="1">
      <alignment vertical="center"/>
      <protection hidden="1"/>
    </xf>
    <xf numFmtId="0" fontId="24" fillId="8" borderId="0" xfId="0" applyFont="1" applyFill="1" applyAlignment="1" applyProtection="1">
      <alignment vertical="center"/>
      <protection hidden="1"/>
    </xf>
    <xf numFmtId="0" fontId="0" fillId="14" borderId="0" xfId="0" applyFill="1" applyAlignment="1" applyProtection="1">
      <alignment horizontal="center" vertical="center"/>
      <protection hidden="1"/>
    </xf>
    <xf numFmtId="0" fontId="8" fillId="12" borderId="0" xfId="0" quotePrefix="1" applyFont="1" applyFill="1" applyAlignment="1" applyProtection="1">
      <alignment horizontal="center" vertical="center" wrapText="1"/>
      <protection hidden="1"/>
    </xf>
    <xf numFmtId="0" fontId="81" fillId="12" borderId="0" xfId="1" quotePrefix="1" applyFont="1" applyFill="1" applyAlignment="1" applyProtection="1">
      <alignment horizontal="center" vertical="center"/>
      <protection hidden="1"/>
    </xf>
    <xf numFmtId="0" fontId="62" fillId="12" borderId="0" xfId="0" quotePrefix="1" applyFont="1" applyFill="1" applyAlignment="1" applyProtection="1">
      <alignment horizontal="left" vertical="center"/>
      <protection hidden="1"/>
    </xf>
    <xf numFmtId="0" fontId="62" fillId="12" borderId="0" xfId="0" applyFont="1" applyFill="1" applyAlignment="1" applyProtection="1">
      <alignment horizontal="left" vertical="center"/>
      <protection hidden="1"/>
    </xf>
    <xf numFmtId="0" fontId="15" fillId="8" borderId="0" xfId="0" applyFont="1" applyFill="1" applyAlignment="1" applyProtection="1">
      <alignment horizontal="left" vertical="top"/>
      <protection hidden="1"/>
    </xf>
    <xf numFmtId="0" fontId="87" fillId="12" borderId="0" xfId="0" applyFont="1" applyFill="1" applyAlignment="1" applyProtection="1">
      <alignment horizontal="left" vertical="center"/>
      <protection hidden="1"/>
    </xf>
    <xf numFmtId="0" fontId="245" fillId="13" borderId="47" xfId="0" applyFont="1" applyFill="1" applyBorder="1" applyAlignment="1" applyProtection="1">
      <alignment horizontal="right" vertical="center"/>
      <protection hidden="1"/>
    </xf>
    <xf numFmtId="0" fontId="245" fillId="13" borderId="48" xfId="0" applyFont="1" applyFill="1" applyBorder="1" applyAlignment="1" applyProtection="1">
      <alignment horizontal="right" vertical="center"/>
      <protection hidden="1"/>
    </xf>
    <xf numFmtId="0" fontId="272" fillId="18" borderId="0" xfId="1" quotePrefix="1" applyFont="1" applyFill="1" applyAlignment="1" applyProtection="1">
      <alignment horizontal="center" vertical="center"/>
      <protection hidden="1"/>
    </xf>
    <xf numFmtId="0" fontId="272" fillId="18" borderId="0" xfId="1" quotePrefix="1" applyFont="1" applyFill="1" applyBorder="1" applyAlignment="1" applyProtection="1">
      <alignment horizontal="center" vertical="center"/>
      <protection hidden="1"/>
    </xf>
    <xf numFmtId="0" fontId="264" fillId="14" borderId="0" xfId="0" applyFont="1" applyFill="1" applyAlignment="1">
      <alignment wrapText="1"/>
    </xf>
    <xf numFmtId="0" fontId="246" fillId="17" borderId="0" xfId="1" applyFont="1" applyFill="1" applyAlignment="1" applyProtection="1">
      <alignment horizontal="center"/>
      <protection hidden="1"/>
    </xf>
    <xf numFmtId="0" fontId="231" fillId="18" borderId="0" xfId="0" applyFont="1" applyFill="1" applyAlignment="1" applyProtection="1">
      <alignment horizontal="center" vertical="center"/>
      <protection hidden="1"/>
    </xf>
    <xf numFmtId="0" fontId="240" fillId="18" borderId="0" xfId="0" quotePrefix="1" applyFont="1" applyFill="1" applyAlignment="1" applyProtection="1">
      <alignment horizontal="center" vertical="center"/>
      <protection hidden="1"/>
    </xf>
    <xf numFmtId="0" fontId="246" fillId="11" borderId="0" xfId="1" applyFont="1" applyFill="1" applyBorder="1" applyAlignment="1" applyProtection="1">
      <alignment horizontal="center" vertical="center"/>
      <protection hidden="1"/>
    </xf>
    <xf numFmtId="0" fontId="264" fillId="14" borderId="0" xfId="0" applyFont="1" applyFill="1" applyAlignment="1">
      <alignment vertical="center"/>
    </xf>
    <xf numFmtId="0" fontId="78" fillId="12" borderId="0" xfId="0" applyFont="1" applyFill="1" applyAlignment="1" applyProtection="1">
      <alignment vertical="center"/>
      <protection hidden="1"/>
    </xf>
    <xf numFmtId="0" fontId="286" fillId="44" borderId="0" xfId="1" applyFont="1" applyFill="1" applyBorder="1" applyAlignment="1" applyProtection="1">
      <alignment horizontal="left"/>
      <protection hidden="1"/>
    </xf>
    <xf numFmtId="0" fontId="293" fillId="18" borderId="0" xfId="0" applyFont="1" applyFill="1" applyAlignment="1" applyProtection="1">
      <alignment horizontal="center" vertical="center"/>
      <protection hidden="1"/>
    </xf>
    <xf numFmtId="0" fontId="27" fillId="27" borderId="0" xfId="1" quotePrefix="1" applyFont="1" applyFill="1" applyAlignment="1" applyProtection="1">
      <alignment horizontal="center" vertical="center"/>
      <protection hidden="1"/>
    </xf>
    <xf numFmtId="0" fontId="27" fillId="27" borderId="0" xfId="1" applyFont="1" applyFill="1" applyAlignment="1" applyProtection="1">
      <alignment horizontal="center" vertical="center"/>
      <protection hidden="1"/>
    </xf>
    <xf numFmtId="0" fontId="104" fillId="12" borderId="0" xfId="0" applyFont="1" applyFill="1" applyAlignment="1" applyProtection="1">
      <alignment horizontal="center" vertical="center"/>
      <protection hidden="1"/>
    </xf>
    <xf numFmtId="0" fontId="3" fillId="14" borderId="0" xfId="0" quotePrefix="1" applyFont="1" applyFill="1" applyAlignment="1">
      <alignment horizontal="left" vertical="center"/>
    </xf>
    <xf numFmtId="0" fontId="9" fillId="0" borderId="0" xfId="0" applyFont="1" applyAlignment="1">
      <alignment vertical="center"/>
    </xf>
    <xf numFmtId="0" fontId="331" fillId="10" borderId="0" xfId="1" applyFont="1" applyFill="1" applyAlignment="1" applyProtection="1">
      <alignment horizontal="center" vertical="top" wrapText="1"/>
      <protection hidden="1"/>
    </xf>
    <xf numFmtId="0" fontId="260" fillId="10" borderId="0" xfId="1" applyFont="1" applyFill="1" applyAlignment="1" applyProtection="1">
      <alignment horizontal="center" vertical="top" wrapText="1"/>
      <protection hidden="1"/>
    </xf>
    <xf numFmtId="0" fontId="5" fillId="14" borderId="0" xfId="1" applyFill="1" applyAlignment="1" applyProtection="1">
      <alignment horizontal="right" vertical="center"/>
      <protection hidden="1"/>
    </xf>
    <xf numFmtId="0" fontId="5" fillId="0" borderId="0" xfId="1" applyAlignment="1" applyProtection="1">
      <alignment vertical="center"/>
    </xf>
    <xf numFmtId="0" fontId="267" fillId="5" borderId="0" xfId="1" applyFont="1" applyFill="1" applyAlignment="1" applyProtection="1">
      <alignment horizontal="center" vertical="center"/>
      <protection hidden="1"/>
    </xf>
    <xf numFmtId="164" fontId="249" fillId="8" borderId="0" xfId="0" quotePrefix="1" applyNumberFormat="1" applyFont="1" applyFill="1" applyAlignment="1" applyProtection="1">
      <alignment horizontal="left" vertical="center"/>
      <protection locked="0" hidden="1"/>
    </xf>
    <xf numFmtId="0" fontId="14" fillId="14" borderId="0" xfId="0" applyFont="1" applyFill="1" applyAlignment="1" applyProtection="1">
      <alignment horizontal="center" vertical="center"/>
      <protection hidden="1"/>
    </xf>
    <xf numFmtId="0" fontId="267" fillId="6" borderId="0" xfId="1" applyFont="1" applyFill="1" applyAlignment="1" applyProtection="1">
      <alignment horizontal="center" vertical="center"/>
      <protection hidden="1"/>
    </xf>
    <xf numFmtId="0" fontId="12" fillId="14" borderId="0" xfId="0" applyFont="1" applyFill="1" applyAlignment="1">
      <alignment horizontal="right" vertical="center"/>
    </xf>
    <xf numFmtId="0" fontId="329" fillId="47" borderId="0" xfId="1" applyFont="1" applyFill="1" applyBorder="1" applyAlignment="1" applyProtection="1">
      <alignment horizontal="left" vertical="center"/>
      <protection hidden="1"/>
    </xf>
    <xf numFmtId="0" fontId="57" fillId="0" borderId="0" xfId="1" applyFont="1" applyAlignment="1" applyProtection="1">
      <alignment horizontal="left" vertical="center"/>
      <protection hidden="1"/>
    </xf>
    <xf numFmtId="4" fontId="65" fillId="3" borderId="0" xfId="0" applyNumberFormat="1" applyFont="1" applyFill="1" applyAlignment="1" applyProtection="1">
      <alignment horizontal="left" vertical="center"/>
      <protection hidden="1"/>
    </xf>
    <xf numFmtId="0" fontId="231" fillId="12" borderId="0" xfId="0" quotePrefix="1" applyFont="1" applyFill="1" applyAlignment="1" applyProtection="1">
      <alignment horizontal="right" vertical="center"/>
      <protection hidden="1"/>
    </xf>
    <xf numFmtId="0" fontId="88" fillId="12" borderId="0" xfId="0" applyFont="1" applyFill="1" applyAlignment="1" applyProtection="1">
      <alignment horizontal="right" vertical="center"/>
      <protection hidden="1"/>
    </xf>
    <xf numFmtId="0" fontId="264" fillId="10" borderId="0" xfId="0" applyFont="1" applyFill="1" applyAlignment="1" applyProtection="1">
      <alignment horizontal="left" vertical="center"/>
      <protection hidden="1"/>
    </xf>
    <xf numFmtId="0" fontId="85" fillId="12" borderId="0" xfId="0" applyFont="1" applyFill="1" applyAlignment="1" applyProtection="1">
      <alignment horizontal="center" vertical="center"/>
      <protection hidden="1"/>
    </xf>
    <xf numFmtId="0" fontId="88" fillId="12" borderId="0" xfId="0" quotePrefix="1" applyFont="1" applyFill="1" applyAlignment="1" applyProtection="1">
      <alignment horizontal="right" vertical="center"/>
      <protection hidden="1"/>
    </xf>
    <xf numFmtId="164" fontId="282" fillId="10" borderId="0" xfId="0" applyNumberFormat="1" applyFont="1" applyFill="1" applyAlignment="1" applyProtection="1">
      <alignment horizontal="center" vertical="center"/>
      <protection hidden="1"/>
    </xf>
    <xf numFmtId="0" fontId="244" fillId="12" borderId="0" xfId="0" quotePrefix="1" applyFont="1" applyFill="1" applyAlignment="1" applyProtection="1">
      <alignment horizontal="right" vertical="center"/>
      <protection hidden="1"/>
    </xf>
    <xf numFmtId="0" fontId="96" fillId="3" borderId="0" xfId="1" quotePrefix="1" applyFont="1" applyFill="1" applyAlignment="1" applyProtection="1">
      <alignment horizontal="right" vertical="center"/>
      <protection hidden="1"/>
    </xf>
    <xf numFmtId="0" fontId="63" fillId="36" borderId="23" xfId="0" quotePrefix="1" applyFont="1" applyFill="1" applyBorder="1" applyAlignment="1" applyProtection="1">
      <alignment horizontal="left"/>
      <protection hidden="1"/>
    </xf>
    <xf numFmtId="0" fontId="63" fillId="36" borderId="0" xfId="0" quotePrefix="1" applyFont="1" applyFill="1" applyAlignment="1" applyProtection="1">
      <alignment horizontal="left"/>
      <protection hidden="1"/>
    </xf>
    <xf numFmtId="0" fontId="3" fillId="5" borderId="30" xfId="1" applyFont="1" applyFill="1" applyBorder="1" applyAlignment="1" applyProtection="1">
      <alignment horizontal="left" vertical="center"/>
    </xf>
    <xf numFmtId="0" fontId="9" fillId="5" borderId="25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103" fillId="26" borderId="17" xfId="0" applyFont="1" applyFill="1" applyBorder="1" applyAlignment="1" applyProtection="1">
      <alignment horizontal="center" vertical="center"/>
      <protection hidden="1"/>
    </xf>
    <xf numFmtId="0" fontId="103" fillId="26" borderId="18" xfId="0" applyFont="1" applyFill="1" applyBorder="1" applyAlignment="1" applyProtection="1">
      <alignment horizontal="center" vertical="center"/>
      <protection hidden="1"/>
    </xf>
    <xf numFmtId="0" fontId="63" fillId="34" borderId="22" xfId="0" quotePrefix="1" applyFont="1" applyFill="1" applyBorder="1" applyProtection="1">
      <protection hidden="1"/>
    </xf>
    <xf numFmtId="0" fontId="63" fillId="34" borderId="0" xfId="0" quotePrefix="1" applyFont="1" applyFill="1" applyProtection="1">
      <protection hidden="1"/>
    </xf>
    <xf numFmtId="0" fontId="327" fillId="47" borderId="44" xfId="1" applyFont="1" applyFill="1" applyBorder="1" applyAlignment="1" applyProtection="1">
      <alignment horizontal="left" vertical="center"/>
      <protection hidden="1"/>
    </xf>
    <xf numFmtId="0" fontId="275" fillId="43" borderId="0" xfId="0" applyFont="1" applyFill="1" applyAlignment="1" applyProtection="1">
      <alignment horizontal="left" vertical="center"/>
      <protection locked="0"/>
    </xf>
    <xf numFmtId="0" fontId="96" fillId="12" borderId="0" xfId="1" quotePrefix="1" applyFont="1" applyFill="1" applyAlignment="1" applyProtection="1">
      <alignment horizontal="right" vertical="center"/>
      <protection hidden="1"/>
    </xf>
    <xf numFmtId="4" fontId="39" fillId="3" borderId="0" xfId="0" applyNumberFormat="1" applyFont="1" applyFill="1" applyAlignment="1" applyProtection="1">
      <alignment horizontal="left" vertical="center"/>
      <protection hidden="1"/>
    </xf>
    <xf numFmtId="0" fontId="266" fillId="3" borderId="0" xfId="0" applyFont="1" applyFill="1" applyAlignment="1" applyProtection="1">
      <alignment horizontal="left" vertical="center"/>
      <protection hidden="1"/>
    </xf>
    <xf numFmtId="0" fontId="63" fillId="34" borderId="22" xfId="0" quotePrefix="1" applyFont="1" applyFill="1" applyBorder="1" applyAlignment="1" applyProtection="1">
      <alignment horizontal="left"/>
      <protection hidden="1"/>
    </xf>
    <xf numFmtId="0" fontId="63" fillId="34" borderId="0" xfId="0" quotePrefix="1" applyFont="1" applyFill="1" applyAlignment="1" applyProtection="1">
      <alignment horizontal="left"/>
      <protection hidden="1"/>
    </xf>
    <xf numFmtId="0" fontId="301" fillId="3" borderId="0" xfId="1" quotePrefix="1" applyFont="1" applyFill="1" applyAlignment="1" applyProtection="1">
      <alignment horizontal="center" vertical="top"/>
      <protection hidden="1"/>
    </xf>
    <xf numFmtId="164" fontId="3" fillId="5" borderId="0" xfId="0" applyNumberFormat="1" applyFont="1" applyFill="1" applyAlignment="1" applyProtection="1">
      <alignment horizontal="right" vertical="center"/>
      <protection hidden="1"/>
    </xf>
    <xf numFmtId="0" fontId="0" fillId="0" borderId="0" xfId="0" applyAlignment="1">
      <alignment vertical="center"/>
    </xf>
    <xf numFmtId="0" fontId="0" fillId="7" borderId="0" xfId="0" applyFill="1" applyAlignment="1">
      <alignment horizontal="center" vertical="center"/>
    </xf>
    <xf numFmtId="0" fontId="0" fillId="0" borderId="0" xfId="0" applyAlignment="1">
      <alignment horizontal="center"/>
    </xf>
    <xf numFmtId="0" fontId="9" fillId="7" borderId="0" xfId="0" applyFont="1" applyFill="1" applyAlignment="1">
      <alignment vertical="center"/>
    </xf>
    <xf numFmtId="0" fontId="0" fillId="7" borderId="0" xfId="0" applyFill="1"/>
    <xf numFmtId="0" fontId="54" fillId="7" borderId="0" xfId="0" applyFont="1" applyFill="1" applyAlignment="1">
      <alignment vertical="center"/>
    </xf>
    <xf numFmtId="0" fontId="36" fillId="7" borderId="0" xfId="0" applyFont="1" applyFill="1"/>
    <xf numFmtId="0" fontId="16" fillId="7" borderId="0" xfId="0" applyFont="1" applyFill="1" applyAlignment="1">
      <alignment vertical="center"/>
    </xf>
    <xf numFmtId="0" fontId="9" fillId="7" borderId="0" xfId="0" applyFont="1" applyFill="1" applyAlignment="1">
      <alignment horizontal="center" vertical="center"/>
    </xf>
    <xf numFmtId="0" fontId="22" fillId="7" borderId="0" xfId="0" applyFont="1" applyFill="1" applyAlignment="1">
      <alignment horizontal="center" vertical="center"/>
    </xf>
    <xf numFmtId="0" fontId="21" fillId="7" borderId="5" xfId="0" applyFont="1" applyFill="1" applyBorder="1" applyAlignment="1">
      <alignment horizontal="center" vertical="center" wrapText="1"/>
    </xf>
    <xf numFmtId="0" fontId="31" fillId="7" borderId="6" xfId="0" applyFont="1" applyFill="1" applyBorder="1" applyAlignment="1">
      <alignment horizontal="center" vertical="center" wrapText="1"/>
    </xf>
    <xf numFmtId="0" fontId="14" fillId="7" borderId="0" xfId="0" applyFont="1" applyFill="1" applyAlignment="1">
      <alignment vertical="center"/>
    </xf>
    <xf numFmtId="0" fontId="23" fillId="7" borderId="0" xfId="0" applyFont="1" applyFill="1" applyAlignment="1">
      <alignment vertical="center"/>
    </xf>
    <xf numFmtId="0" fontId="48" fillId="0" borderId="0" xfId="0" applyFont="1" applyAlignment="1">
      <alignment vertical="center"/>
    </xf>
    <xf numFmtId="0" fontId="0" fillId="0" borderId="0" xfId="0"/>
    <xf numFmtId="0" fontId="48" fillId="3" borderId="0" xfId="0" applyFont="1" applyFill="1" applyAlignment="1">
      <alignment vertical="center" wrapText="1"/>
    </xf>
    <xf numFmtId="0" fontId="0" fillId="3" borderId="0" xfId="0" applyFill="1"/>
    <xf numFmtId="0" fontId="52" fillId="3" borderId="0" xfId="1" applyFont="1" applyFill="1" applyAlignment="1" applyProtection="1">
      <alignment horizontal="left" vertical="center"/>
      <protection hidden="1"/>
    </xf>
    <xf numFmtId="9" fontId="4" fillId="8" borderId="0" xfId="0" applyNumberFormat="1" applyFont="1" applyFill="1" applyAlignment="1">
      <alignment horizontal="left"/>
    </xf>
    <xf numFmtId="0" fontId="0" fillId="8" borderId="0" xfId="0" applyFill="1" applyAlignment="1">
      <alignment horizontal="left"/>
    </xf>
    <xf numFmtId="0" fontId="2" fillId="10" borderId="0" xfId="0" applyFont="1" applyFill="1" applyAlignment="1">
      <alignment horizontal="center" wrapText="1"/>
    </xf>
    <xf numFmtId="0" fontId="8" fillId="0" borderId="0" xfId="0" applyFont="1" applyAlignment="1">
      <alignment horizont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FFCC"/>
      <color rgb="FF601175"/>
      <color rgb="FFD8E4BC"/>
      <color rgb="FF4D781E"/>
      <color rgb="FF4F7B1F"/>
      <color rgb="FF538121"/>
      <color rgb="FF4D771F"/>
      <color rgb="FF679F29"/>
      <color rgb="FF6BA52B"/>
      <color rgb="FF70A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newviewplanting.com/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</xdr:colOff>
      <xdr:row>0</xdr:row>
      <xdr:rowOff>65539</xdr:rowOff>
    </xdr:from>
    <xdr:to>
      <xdr:col>4</xdr:col>
      <xdr:colOff>552450</xdr:colOff>
      <xdr:row>3</xdr:row>
      <xdr:rowOff>51861</xdr:rowOff>
    </xdr:to>
    <xdr:pic>
      <xdr:nvPicPr>
        <xdr:cNvPr id="3" name="Picture 8" descr="Trees2Go.com logo.&#10;T2G is abbreviation.">
          <a:extLst>
            <a:ext uri="{FF2B5EF4-FFF2-40B4-BE49-F238E27FC236}">
              <a16:creationId xmlns:a16="http://schemas.microsoft.com/office/drawing/2014/main" id="{EC963357-3A56-4194-92AC-83D5C51AA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9389"/>
          <a:ext cx="2038350" cy="443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98752</xdr:colOff>
      <xdr:row>1795</xdr:row>
      <xdr:rowOff>98732</xdr:rowOff>
    </xdr:from>
    <xdr:to>
      <xdr:col>2</xdr:col>
      <xdr:colOff>923490</xdr:colOff>
      <xdr:row>1800</xdr:row>
      <xdr:rowOff>106080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0E370A3-A9AA-4581-BF91-19141F367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67607">
          <a:off x="746452" y="318414707"/>
          <a:ext cx="824738" cy="816973"/>
        </a:xfrm>
        <a:prstGeom prst="rect">
          <a:avLst/>
        </a:prstGeom>
      </xdr:spPr>
    </xdr:pic>
    <xdr:clientData/>
  </xdr:twoCellAnchor>
  <xdr:oneCellAnchor>
    <xdr:from>
      <xdr:col>46</xdr:col>
      <xdr:colOff>0</xdr:colOff>
      <xdr:row>8</xdr:row>
      <xdr:rowOff>114300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BC356A8-4667-4BE0-9600-9F31E1A2CA46}"/>
            </a:ext>
          </a:extLst>
        </xdr:cNvPr>
        <xdr:cNvSpPr txBox="1"/>
      </xdr:nvSpPr>
      <xdr:spPr>
        <a:xfrm>
          <a:off x="20602575" y="182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30</xdr:col>
      <xdr:colOff>743063</xdr:colOff>
      <xdr:row>0</xdr:row>
      <xdr:rowOff>76200</xdr:rowOff>
    </xdr:from>
    <xdr:to>
      <xdr:col>32</xdr:col>
      <xdr:colOff>548167</xdr:colOff>
      <xdr:row>4</xdr:row>
      <xdr:rowOff>9526</xdr:rowOff>
    </xdr:to>
    <xdr:pic>
      <xdr:nvPicPr>
        <xdr:cNvPr id="8" name="Picture 7">
          <a:hlinkClick xmlns:r="http://schemas.openxmlformats.org/officeDocument/2006/relationships" r:id="rId3" tooltip="open New View Planting website in new window"/>
          <a:extLst>
            <a:ext uri="{FF2B5EF4-FFF2-40B4-BE49-F238E27FC236}">
              <a16:creationId xmlns:a16="http://schemas.microsoft.com/office/drawing/2014/main" id="{2BA8EB1D-4B8E-422A-B173-0A6A844C34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3" t="16430" r="6232" b="13598"/>
        <a:stretch/>
      </xdr:blipFill>
      <xdr:spPr bwMode="auto">
        <a:xfrm>
          <a:off x="11058638" y="400050"/>
          <a:ext cx="652828" cy="542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123825</xdr:colOff>
      <xdr:row>1791</xdr:row>
      <xdr:rowOff>75752</xdr:rowOff>
    </xdr:from>
    <xdr:to>
      <xdr:col>31</xdr:col>
      <xdr:colOff>9525</xdr:colOff>
      <xdr:row>1794</xdr:row>
      <xdr:rowOff>152401</xdr:rowOff>
    </xdr:to>
    <xdr:pic>
      <xdr:nvPicPr>
        <xdr:cNvPr id="11" name="Picture 10">
          <a:hlinkClick xmlns:r="http://schemas.openxmlformats.org/officeDocument/2006/relationships" r:id="rId3" tooltip="open New View Planting website in new window"/>
          <a:extLst>
            <a:ext uri="{FF2B5EF4-FFF2-40B4-BE49-F238E27FC236}">
              <a16:creationId xmlns:a16="http://schemas.microsoft.com/office/drawing/2014/main" id="{58EAFF75-F52E-4214-B17A-D25353AECE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3" t="16430" r="6232" b="13598"/>
        <a:stretch/>
      </xdr:blipFill>
      <xdr:spPr bwMode="auto">
        <a:xfrm>
          <a:off x="10439400" y="306628352"/>
          <a:ext cx="676274" cy="562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340244</xdr:colOff>
      <xdr:row>1848</xdr:row>
      <xdr:rowOff>137366</xdr:rowOff>
    </xdr:from>
    <xdr:to>
      <xdr:col>10</xdr:col>
      <xdr:colOff>502169</xdr:colOff>
      <xdr:row>1851</xdr:row>
      <xdr:rowOff>19183</xdr:rowOff>
    </xdr:to>
    <xdr:pic>
      <xdr:nvPicPr>
        <xdr:cNvPr id="12" name="Picture 11" descr="T2G-Logo">
          <a:extLst>
            <a:ext uri="{FF2B5EF4-FFF2-40B4-BE49-F238E27FC236}">
              <a16:creationId xmlns:a16="http://schemas.microsoft.com/office/drawing/2014/main" id="{411672A7-6B57-4571-BF6E-6562F64C6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1219" y="333502841"/>
          <a:ext cx="1600200" cy="367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173592</xdr:colOff>
      <xdr:row>1</xdr:row>
      <xdr:rowOff>161923</xdr:rowOff>
    </xdr:from>
    <xdr:to>
      <xdr:col>4</xdr:col>
      <xdr:colOff>430793</xdr:colOff>
      <xdr:row>15</xdr:row>
      <xdr:rowOff>152401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60D9679-83CB-44A4-AE99-4F32D41E6C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3" r="9563" b="61351"/>
        <a:stretch/>
      </xdr:blipFill>
      <xdr:spPr>
        <a:xfrm>
          <a:off x="392667" y="2943223"/>
          <a:ext cx="3914801" cy="2657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rees2go.com/grower-four/" TargetMode="External"/><Relationship Id="rId671" Type="http://schemas.openxmlformats.org/officeDocument/2006/relationships/hyperlink" Target="https://plants.ces.ncsu.edu/plants/hydrangea-quercifolia-alice/common-name/alice-hydrangea/" TargetMode="External"/><Relationship Id="rId769" Type="http://schemas.openxmlformats.org/officeDocument/2006/relationships/hyperlink" Target="https://www.google.com/search?q=Variegated+Mondo+Grass+Ophiopogon+japonicus+%27Variegatus%27&amp;tbm=isch&amp;ved=2ahUKEwjz-OzU68D_AhWfEGIAHTtgAJoQ2-cCegQIABAA&amp;oq=Variegated+Mondo+Grass+Ophiopogon+japonicus+%27Variegatus%27&amp;gs_lcp=CgNpbWcQDDoECCMQJ1CVEFicHWDEMGgAcAB4AIABNogBkQOSAQE4mAEAoAEBqgELZ3dzLXdpei1pbWfAAQE&amp;sclient=img&amp;ei=ubCIZLO4IZ-hiLMPu8CB0Ak&amp;bih=866&amp;biw=1741" TargetMode="External"/><Relationship Id="rId21" Type="http://schemas.openxmlformats.org/officeDocument/2006/relationships/hyperlink" Target="https://plants.ces.ncsu.edu/plants/cephalotaxus-harringtonia/" TargetMode="External"/><Relationship Id="rId324" Type="http://schemas.openxmlformats.org/officeDocument/2006/relationships/hyperlink" Target="https://plants.ces.ncsu.edu/plants/juniperus-virginiana-grey-owl/common-name/grey-owl-juniper/" TargetMode="External"/><Relationship Id="rId531" Type="http://schemas.openxmlformats.org/officeDocument/2006/relationships/hyperlink" Target="https://www.google.com/search?q=Hot+Lips+Salvia+microphylla+%27Hot+Lips%27&amp;tbm=isch&amp;ved=2ahUKEwik057F16bpAhXFJ6wKHb90CXoQ2-cCegQIABAA&amp;oq=Hot+Lips+Salvia+microphylla+%27Hot+Lips%27&amp;gs_lcp=CgNpbWcQDFD7mRFYyKITYL66E2gAcAB4AIABcIgBnwKSAQMxLjKYAQCgAQGqAQtnd3Mtd2l6LWltZw&amp;sclient=img&amp;ei=15S2XuSLKMXPsAW_6aXQBw&amp;bih=866&amp;biw=1369&amp;hl=en" TargetMode="External"/><Relationship Id="rId629" Type="http://schemas.openxmlformats.org/officeDocument/2006/relationships/hyperlink" Target="https://www.google.com/search?q=Bracken%27s+Brown+Beauty+Magnolia+grandiflora+%27Bracken%27s+Brown+Beauty%27&amp;tbm=isch&amp;ved=2ahUKEwjbzOuNnsLpAhXBhFMKHSjHDrAQ2-cCegQIABAA&amp;oq=Bracken%27s+Brown+Beauty+Magnolia+grandiflora+%27Bracken%27s+Brown+Beauty%27&amp;gs_lcp=CgNpbWcQDFC2vwFY6YECYOaWAmgAcAB4AIABWogBvgOSAQE3mAEAoAEBqgELZ3dzLXdpei1pbWc&amp;sclient=img&amp;ei=twbFXpuVFMGJzgKojruACw&amp;bih=900&amp;biw=1761" TargetMode="External"/><Relationship Id="rId170" Type="http://schemas.openxmlformats.org/officeDocument/2006/relationships/hyperlink" Target="https://plants.ces.ncsu.edu/plants/carpinus-betulus/common-name/european-hornbeam/" TargetMode="External"/><Relationship Id="rId836" Type="http://schemas.openxmlformats.org/officeDocument/2006/relationships/hyperlink" Target="https://www.google.com/search?q=Raspberry+Shortcake+Raspberry+Rubus+%27NR7%27+PP22141&amp;tbm=isch&amp;ved=2ahUKEwjgxOXb-JD0AhXLiFMKHWx7CsoQ2-cCegQIABAA&amp;oq=Raspberry+Shortcake+Raspberry+Rubus+%27NR7%27+PP22141&amp;gs_lcp=CgNpbWcQDFCGD1iGD2CnHGgAcAB4AIABlwGIAesBkgEDMS4xmAEAoAEBqgELZ3dzLXdpei1pbWfAAQE&amp;sclient=img&amp;ei=ZmGNYeD5KsuRzgLs9qnQDA&amp;authuser=1&amp;bih=797&amp;biw=1257" TargetMode="External"/><Relationship Id="rId268" Type="http://schemas.openxmlformats.org/officeDocument/2006/relationships/hyperlink" Target="https://www.google.com/search?q=Curly+Leaf+Privet+Ligustrum+japonicum+%27Rotundifolium%27&amp;tbm=isch&amp;ved=2ahUKEwjH4un6hfTsAhUQkqwKHQU3AC8Q2-cCegQIABAA&amp;oq=Curly+Leaf+Privet+Ligustrum+japonicum+%27Rotundifolium%27&amp;gs_lcp=CgNpbWcQDFCu4QFYruEBYL_sAWgAcAB4AIABUogBUpIBATGYAQCgAQGqAQtnd3Mtd2l6LWltZ8ABAQ&amp;sclient=img&amp;ei=43eoX4flG5CksgWF7oD4Ag&amp;bih=882&amp;biw=1705" TargetMode="External"/><Relationship Id="rId475" Type="http://schemas.openxmlformats.org/officeDocument/2006/relationships/hyperlink" Target="https://www.google.com/search?q=Gracillimus+Maiden+Grass+Miscanthus+sinensis+%27Gracillimus%E2%80%99&amp;tbm=isch&amp;ved=2ahUKEwi-ovXx5PvoAhWl8FMKHWh1AhoQ2-cCegQIABAA&amp;oq=Gracillimus+Maiden+Grass+Miscanthus+sinensis+%27Gracillimus%E2%80%99&amp;gs_lcp=CgNpbWcQDFDC7wVYwu8FYJT6BWgAcAB4AIABTIgBTJIBATGYAQCgAQGqAQtnd3Mtd2l6LWltZw&amp;sclient=img&amp;ei=ehegXr79D6XhzwLo6onQAQ&amp;bih=878&amp;biw=1454" TargetMode="External"/><Relationship Id="rId682" Type="http://schemas.openxmlformats.org/officeDocument/2006/relationships/hyperlink" Target="https://plants.ces.ncsu.edu/plants/cornus-florida/" TargetMode="External"/><Relationship Id="rId32" Type="http://schemas.openxmlformats.org/officeDocument/2006/relationships/hyperlink" Target="https://plants.ces.ncsu.edu/plants/taxus/common-name/japanese-yew/" TargetMode="External"/><Relationship Id="rId128" Type="http://schemas.openxmlformats.org/officeDocument/2006/relationships/hyperlink" Target="https://plants.ces.ncsu.edu/plants/lagerstroemia-sioux/common-name/sioux-crepe-myrtle/" TargetMode="External"/><Relationship Id="rId335" Type="http://schemas.openxmlformats.org/officeDocument/2006/relationships/hyperlink" Target="https://plants.ces.ncsu.edu/plants/prunus-laurocerasus-otto-luyken/common-name/otto-luyken-cherry-laurel/" TargetMode="External"/><Relationship Id="rId542" Type="http://schemas.openxmlformats.org/officeDocument/2006/relationships/hyperlink" Target="https://www.google.com/search?q=Patriot+Hosta&amp;tbm=isch&amp;ved=2ahUKEwjPz4Dq0KX9AhXvFVkFHVyPAQgQ2-cCegQIABAA&amp;oq=Patriot+Hosta&amp;gs_lcp=CgNpbWcQDDIECCMQJzIFCAAQgAQyBQgAEIAEMgUIABCABDIFCAAQgAQyBQgAEIAEMgUIABCABDIFCAAQgAQyBQgAEIAEMgUIABCABFC5Gli5GmD0J2gAcAB4AIABMIgBX5IBATKYAQCgAQGqAQtnd3Mtd2l6LWltZ8ABAQ&amp;sclient=img&amp;ei=-DT0Y8_zC--r5NoP3J6GQA&amp;bih=866&amp;biw=1741" TargetMode="External"/><Relationship Id="rId181" Type="http://schemas.openxmlformats.org/officeDocument/2006/relationships/hyperlink" Target="https://plants.ces.ncsu.edu/plants/cornus-hybrids/" TargetMode="External"/><Relationship Id="rId402" Type="http://schemas.openxmlformats.org/officeDocument/2006/relationships/hyperlink" Target="https://www.google.com/search?q=Aphrodite+Sweetshrub+Calycanthus+%27Aphrodite%27+PP24014&amp;tbm=isch&amp;ved=2ahUKEwjNsOKo2ZH0AhVPbK0KHUTRDp4Q2-cCegQIABAA&amp;oq=Aphrodite+Sweetshrub+Calycanthus+%27Aphrodite%27+PP24014&amp;gs_lcp=CgNpbWcQDFD4E1j4E2CaHmgAcAB4AIAByBCIAcgQkgEDOS0xmAEAoAEBqgELZ3dzLXdpei1pbWfAAQE&amp;sclient=img&amp;ei=scaNYY2UOc_YtQXEorvwCQ&amp;authuser=1&amp;bih=844&amp;biw=1433" TargetMode="External"/><Relationship Id="rId847" Type="http://schemas.openxmlformats.org/officeDocument/2006/relationships/hyperlink" Target="https://www.google.com/search?sca_esv=94a99291f01d3f51&amp;sxsrf=ACQVn09scWwN6MgxEsvovsWkIkylmPM10g:1711196633423&amp;q=Fire+Star+Dianthus+%27Devon+Xera%27+PP14895&amp;uds=AMwkrPtNPyphwSdpvfASnpzJlGm5TG1ZOziScNxdRYcEDLkn-F9bJOxdbpg3UwlBYnRHlZgaR7JYbTdLw474EKMr6wms1DSL7QPAv9zQsnJ59uK0yfiizB0zXcam0vbvNV-TVNVAyf2Kcl1in21jtfii0BiqZ9JY_XLnaCloyCGtysAK05N8LZYD4jsdhJVHYqFBW4QVPL3TqyqN-ejiSShzhtv5JEH5kBkt5gf5UXKtqtaux18EqEQPYp5bQs-gNbkTU-jYvyw7bEXKdv_ND4WQvdunm-J9RiokOvV-cO_pKdALn56ybQRfhnSGiR41HVxn3ud7RcqHN0NkDdc7-EkoEay3VjdMzg&amp;udm=2&amp;prmd=isvmnbtz&amp;sa=X&amp;ved=2ahUKEwii-uabsIqFAxURFFkFHSZyAJEQtKgLegQICxAB&amp;biw=1616&amp;bih=736&amp;dpr=1" TargetMode="External"/><Relationship Id="rId279" Type="http://schemas.openxmlformats.org/officeDocument/2006/relationships/hyperlink" Target="https://www.trees2go.com/grower-two/" TargetMode="External"/><Relationship Id="rId486" Type="http://schemas.openxmlformats.org/officeDocument/2006/relationships/hyperlink" Target="https://www.google.com/search?q=Holly+Fern+Cyrtomium+falcatum+%27Rochfordianum%27&amp;hl=en&amp;sxsrf=ALeKk03OZpXjJHywIYrkA25DcnVvQ6hO3Q:1587938166222&amp;source=lnms&amp;tbm=isch&amp;sa=X&amp;ved=2ahUKEwjljsrSiofpAhXGnOAKHZ1PAmQQ_AUoAXoECBIQAw&amp;biw=1434&amp;bih=866" TargetMode="External"/><Relationship Id="rId693" Type="http://schemas.openxmlformats.org/officeDocument/2006/relationships/hyperlink" Target="https://plants.ces.ncsu.edu/plants/juniperus-chinensis-saybrook-gold/common-name/saybrook-gold-juniper/" TargetMode="External"/><Relationship Id="rId707" Type="http://schemas.openxmlformats.org/officeDocument/2006/relationships/hyperlink" Target="https://plants.ces.ncsu.edu/plants/nassella-tenuissima/" TargetMode="External"/><Relationship Id="rId43" Type="http://schemas.openxmlformats.org/officeDocument/2006/relationships/hyperlink" Target="https://www.google.com/search?q=Wavy+Leaf+Privet+Ligustrum+japonicum+%27Recurvifolium%27&amp;tbm=isch&amp;ved=2ahUKEwjGnvfgna3uAhVCf6wKHWs0BZgQ2-cCegQIABAA&amp;oq=Wavy+Leaf+Privet+Ligustrum+japonicum+%27Recurvifolium%27&amp;gs_lcp=CgNpbWcQDFDJSVjJSWCYVGgAcAB4AIABYYgBYZIBATGYAQCgAQGqAQtnd3Mtd2l6LWltZ8ABAQ&amp;sclient=img&amp;ei=H48JYIaTDML-sQXr6JTACQ&amp;bih=831&amp;biw=1428" TargetMode="External"/><Relationship Id="rId139" Type="http://schemas.openxmlformats.org/officeDocument/2006/relationships/hyperlink" Target="https://www.google.com/search?q=Overcup+Oak+Quercus+lyrata&amp;sxsrf=ALeKk00MCCu8j01_iVDu4lUxKLjJaYACpw:1587299069960&amp;source=lnms&amp;tbm=isch&amp;sa=X&amp;ved=2ahUKEwjshd7pvfToAhVmTd8KHT7KAZUQ_AUoAnoECBoQBA&amp;biw=1767&amp;bih=878" TargetMode="External"/><Relationship Id="rId346" Type="http://schemas.openxmlformats.org/officeDocument/2006/relationships/hyperlink" Target="https://www.google.com/search?q=Vintage+Jade%C2%AE+Distylium+%27D.+myricoides+x+D.+racemosum%27+PP23128&amp;tbm=isch&amp;ved=2ahUKEwisl5Hwp66EAxUhE2IAHWoOAN0Q2-cCegQIABAA&amp;oq=Vintage+Jade%C2%AE+Distylium+%27D.+myricoides+x+D.+racemosum%27+PP23128&amp;gs_lp=EgNpbWciP1ZpbnRhZ2UgSmFkZcKuIERpc3R5bGl1bSAnRC4gbXlyaWNvaWRlcyB4IEQuIHJhY2Vtb3N1bScgUFAyMzEyOEjtN1CUDVj1J3AAeACQAQCYATqgAZoBqgEBM7gBDMgBAPgBAYoCC2d3cy13aXotaW1nwgIEECMYJ4gGAQ&amp;sclient=img&amp;ei=EoXOZazGGaGmiLMP6pyA6A0&amp;bih=905&amp;biw=1572&amp;hl=en" TargetMode="External"/><Relationship Id="rId553" Type="http://schemas.openxmlformats.org/officeDocument/2006/relationships/hyperlink" Target="https://plants.ces.ncsu.edu/plants/hemerocallis/" TargetMode="External"/><Relationship Id="rId760" Type="http://schemas.openxmlformats.org/officeDocument/2006/relationships/hyperlink" Target="https://www.trees2go.com/grower-five/" TargetMode="External"/><Relationship Id="rId192" Type="http://schemas.openxmlformats.org/officeDocument/2006/relationships/hyperlink" Target="https://plants.ces.ncsu.edu/plants/lagerstroemia-indica-catawba/common-name/catawba-crepe-myrtle/" TargetMode="External"/><Relationship Id="rId206" Type="http://schemas.openxmlformats.org/officeDocument/2006/relationships/hyperlink" Target="https://www.google.com/search?q=Fireglow+Japanese+Maple+Acer+palmatum+%27Fireglow%27&amp;tbm=isch&amp;ved=2ahUKEwjsjonbwZHpAhVHYK0KHUJZBP4Q2-cCegQIABAA&amp;oq=Fireglow+Japanese+Maple+Acer+palmatum+%27Fireglow%27&amp;gs_lcp=CgNpbWcQDFC3Dli3DmD_F2gAcAB4AIABaIgBaJIBAzAuMZgBAKABAaoBC2d3cy13aXotaW1n&amp;sclient=img&amp;ei=YXurXqzaFcfAtQXCspHwDw&amp;bih=866&amp;biw=1741" TargetMode="External"/><Relationship Id="rId413" Type="http://schemas.openxmlformats.org/officeDocument/2006/relationships/hyperlink" Target="https://plants.ces.ncsu.edu/plants/rosa-meldrifora/common-name/coral-drift/" TargetMode="External"/><Relationship Id="rId858" Type="http://schemas.openxmlformats.org/officeDocument/2006/relationships/hyperlink" Target="https://plants.ces.ncsu.edu/plants/viburnum-macrocephalum/common-name/chinese-snowball-viburnum/" TargetMode="External"/><Relationship Id="rId497" Type="http://schemas.openxmlformats.org/officeDocument/2006/relationships/hyperlink" Target="https://www.google.com/search?q=Dwarf+Mondo+Grass+Ophiopogon+japonicus+%27Nana%27&amp;sxsrf=ALeKk02Z7VRXcYP4asm4qEr7vUJokG3XGg:1588935489183&amp;source=lnms&amp;tbm=isch&amp;sa=X&amp;ved=2ahUKEwjR_Jz7jaTpAhUP7qwKHWSpDbAQ_AUoAnoECBEQBA&amp;biw=1741&amp;bih=866" TargetMode="External"/><Relationship Id="rId620" Type="http://schemas.openxmlformats.org/officeDocument/2006/relationships/hyperlink" Target="https://www.google.com/search?q=Wood%27s+Blue+Aster+dumosus+%27Wood%27s+Blue%27&amp;tbm=isch&amp;ved=2ahUKEwjKy5r54ez9AhW4F1kFHcFsDlYQ2-cCegQIABAA&amp;oq=Wood%27s+Blue+Aster+dumosus+%27Wood%27s+Blue%27&amp;gs_lcp=CgNpbWcQDFDLFVjTqgFgub4BaABwAHgAgAE2iAG8A5IBATmYAQCgAQGqAQtnd3Mtd2l6LWltZ8ABAQ&amp;sclient=img&amp;ei=YIAZZMqbN7iv5NoPwdm5sAU&amp;authuser=1&amp;bih=913&amp;biw=1689&amp;hl=en" TargetMode="External"/><Relationship Id="rId718" Type="http://schemas.openxmlformats.org/officeDocument/2006/relationships/hyperlink" Target="https://plants.ces.ncsu.edu/plants/rubus-allegheniensis/common-name/common-blackberry/" TargetMode="External"/><Relationship Id="rId357" Type="http://schemas.openxmlformats.org/officeDocument/2006/relationships/hyperlink" Target="https://www.google.com/search?q=Otto+Luyken+Laurel+Prunus+Laurocerasus+%27Otto+Luyken%27&amp;tbm=isch&amp;hl=en&amp;sa=X&amp;ved=2ahUKEwjwsKra3ZfyAhUGCFMKHVHxBbQQBXoECAEQKw&amp;biw=1625&amp;bih=816" TargetMode="External"/><Relationship Id="rId54" Type="http://schemas.openxmlformats.org/officeDocument/2006/relationships/hyperlink" Target="https://www.google.com/search?q=Golden+Hinoki+Falsecypress+chamaecyparis+obtusa+%27Crippsii%27&amp;sca_esv=1ae4fc2d32eb8d6b&amp;bih=706&amp;biw=1646&amp;udm=2&amp;sxsrf=ACQVn09Sb9S5IUHRe5yD1wvZyiIrQrxeuA%3A1712083639113&amp;ei=t1IMZqmqBtuo5NoP4c2JoAM&amp;ved=0ahUKEwjp4YnJmKSFAxVbFFkFHeFmAjQQ4dUDCBA&amp;oq=Golden+Hinoki+Falsecypress+chamaecyparis+obtusa+%27Crippsii%27&amp;gs_lp=Egxnd3Mtd2l6LXNlcnAiOkdvbGRlbiBIaW5va2kgRmFsc2VjeXByZXNzIGNoYW1hZWN5cGFyaXMgb2J0dXNhICdDcmlwcHNpaSdI1C9Q-AlY8BVwAXgAkAEAmAFCoAHeAqoBATe4AQzIAQD4AQGYAgCgAgCYAwCIBgGSBwCgB7sC&amp;sclient=gws-wiz-serp" TargetMode="External"/><Relationship Id="rId217" Type="http://schemas.openxmlformats.org/officeDocument/2006/relationships/hyperlink" Target="https://www.google.com/search?q=Muskogee+Crape+Myrtle+Lagerstroemia+indica+%27Muskogee%27&amp;tbm=isch&amp;ved=2ahUKEwiO--jUz_ToAhVhjK0KHVzbAQ0Q2-cCegQIABAA&amp;oq=Muskogee+Crape+Myrtle+Lagerstroemia+indica+%27Muskogee%27&amp;gs_lcp=CgNpbWcQDFCj7QVYqMIGYMiOB2gAcAB4AIABjwGIAc8DkgEDNC4xmAEAoAEBqgELZ3dzLXdpei1pbWc&amp;sclient=img&amp;ei=sVWcXs7eOOGYtgXctodo&amp;bih=878&amp;biw=1750&amp;hl=en" TargetMode="External"/><Relationship Id="rId564" Type="http://schemas.openxmlformats.org/officeDocument/2006/relationships/hyperlink" Target="https://newviewplanting.com/" TargetMode="External"/><Relationship Id="rId771" Type="http://schemas.openxmlformats.org/officeDocument/2006/relationships/hyperlink" Target="https://www.google.com/search?q=Dward+Black+Mondo+Grass+Ophiopogon+planiscapus+%27Nigrescens%27&amp;tbm=isch&amp;ved=2ahUKEwjNk-H04MD_AhW7EGIAHZXpDsYQ2-cCegQIABAA&amp;oq=Dward+Black+Mondo+Grass+Ophiopogon+planiscapus+%27Nigrescens%27&amp;gs_lcp=CgNpbWcQDDoECCMQJ1CkMliUPWC5TGgAcAB4AIABPIgB5AKSAQE3mAEAoAEBqgELZ3dzLXdpei1pbWfAAQE&amp;sclient=img&amp;ei=c6WIZI2OKbuhiLMPldO7sAw&amp;bih=866&amp;biw=1741" TargetMode="External"/><Relationship Id="rId424" Type="http://schemas.openxmlformats.org/officeDocument/2006/relationships/hyperlink" Target="https://plants.ces.ncsu.edu/plants/albizia-julibrissin/" TargetMode="External"/><Relationship Id="rId631" Type="http://schemas.openxmlformats.org/officeDocument/2006/relationships/hyperlink" Target="https://plants.ces.ncsu.edu/plants/lantana-camara/common-name/common-lantana/" TargetMode="External"/><Relationship Id="rId729" Type="http://schemas.openxmlformats.org/officeDocument/2006/relationships/hyperlink" Target="https://plants.ces.ncsu.edu/plants/gardenia-jasminoides-kleims-hardy/common-name/kleims-hardy-gardenia/" TargetMode="External"/><Relationship Id="rId270" Type="http://schemas.openxmlformats.org/officeDocument/2006/relationships/hyperlink" Target="https://plants.ces.ncsu.edu/plants/aucuba-japonica/common-name/aucuba/" TargetMode="External"/><Relationship Id="rId65" Type="http://schemas.openxmlformats.org/officeDocument/2006/relationships/hyperlink" Target="https://www.google.com/search?q=Brodie+Juniper+Juniperus+virginiana+%27Brodie%27&amp;tbm=isch&amp;ved=2ahUKEwj6yYOF6IvyAhUOF6wKHdnHBuYQ2-cCegQIABAA&amp;oq=Brodie+Juniper+Juniperus+virginiana+%27Brodie%27&amp;gs_lcp=CgNpbWcQDFCxU1j_fWDgxgFoAXAAeACAAZcBiAHaCpIBAzcuNpgBAKABAaoBC2d3cy13aXotaW1nwAEB&amp;sclient=img&amp;ei=FnkEYfrmA46usAXZj5uwDg&amp;bih=831&amp;biw=1428" TargetMode="External"/><Relationship Id="rId130" Type="http://schemas.openxmlformats.org/officeDocument/2006/relationships/hyperlink" Target="https://plants.ces.ncsu.edu/plants/lagerstroemia-indica/" TargetMode="External"/><Relationship Id="rId368" Type="http://schemas.openxmlformats.org/officeDocument/2006/relationships/hyperlink" Target="https://plants.ces.ncsu.edu/plants/rosa/" TargetMode="External"/><Relationship Id="rId575" Type="http://schemas.openxmlformats.org/officeDocument/2006/relationships/hyperlink" Target="https://plants.ces.ncsu.edu/plants/rosa/" TargetMode="External"/><Relationship Id="rId782" Type="http://schemas.openxmlformats.org/officeDocument/2006/relationships/hyperlink" Target="https://www.trees2go.com/grower-four/" TargetMode="External"/><Relationship Id="rId228" Type="http://schemas.openxmlformats.org/officeDocument/2006/relationships/hyperlink" Target="https://www.google.com/search?q=Hardy+Banana+Musa+basjoo&amp;authuser=1&amp;source=lnms&amp;tbm=isch&amp;sa=X&amp;ved=2ahUKEwibiPHKvarzAhV4TDABHXVLCNEQ_AUoAnoECAEQBA&amp;biw=1484&amp;bih=702&amp;dpr=1" TargetMode="External"/><Relationship Id="rId435" Type="http://schemas.openxmlformats.org/officeDocument/2006/relationships/hyperlink" Target="https://plants.ces.ncsu.edu/plants/rosa/" TargetMode="External"/><Relationship Id="rId642" Type="http://schemas.openxmlformats.org/officeDocument/2006/relationships/hyperlink" Target="https://www.google.com/search?q=Gala+Apple+Malus+pumila+%27Gala%27&amp;authuser=1&amp;source=lnms&amp;tbm=isch&amp;sa=X&amp;ved=2ahUKEwjU4r_v9InzAhWgZzABHXUnBJsQ_AUoAXoECAEQAw&amp;biw=1697&amp;bih=855&amp;dpr=1" TargetMode="External"/><Relationship Id="rId281" Type="http://schemas.openxmlformats.org/officeDocument/2006/relationships/hyperlink" Target="https://plants.ces.ncsu.edu/plants/illicium-parviflorum/common-name/hardy-anise-shrub/" TargetMode="External"/><Relationship Id="rId502" Type="http://schemas.openxmlformats.org/officeDocument/2006/relationships/hyperlink" Target="https://plants.ces.ncsu.edu/plants/carex-oshimensis/common-name/evergold-striped-weeping-sedge/" TargetMode="External"/><Relationship Id="rId76" Type="http://schemas.openxmlformats.org/officeDocument/2006/relationships/hyperlink" Target="https://plants.ces.ncsu.edu/plants/ilex-hybrids/" TargetMode="External"/><Relationship Id="rId141" Type="http://schemas.openxmlformats.org/officeDocument/2006/relationships/hyperlink" Target="https://www.google.com/search?q=Green+Vase+Zelkova+serrata&amp;tbm=isch&amp;ved=2ahUKEwiWzLWS5ufyAhXRVN8KHVKhDOkQ2-cCegQIABAA&amp;oq=Green+Vase+Zelkova+serrata&amp;gs_lcp=CgNpbWcQDDIFCAAQgAQyBggAEAgQHlDSIFjSIGCBLWgAcAB4AIABUogBUpIBATGYAQCgAQGqAQtnd3Mtd2l6LWltZ8ABAQ&amp;sclient=img&amp;ei=IbM0Yda3DNGp_QbSwrLIDg&amp;bih=878&amp;biw=1767" TargetMode="External"/><Relationship Id="rId379" Type="http://schemas.openxmlformats.org/officeDocument/2006/relationships/hyperlink" Target="https://plants.ces.ncsu.edu/plants/hydrangea-macrophylla/" TargetMode="External"/><Relationship Id="rId586" Type="http://schemas.openxmlformats.org/officeDocument/2006/relationships/hyperlink" Target="https://plants.ces.ncsu.edu/plants/hemerocallis-hybrida/" TargetMode="External"/><Relationship Id="rId793" Type="http://schemas.openxmlformats.org/officeDocument/2006/relationships/hyperlink" Target="https://www.trees2go.com/sources/" TargetMode="External"/><Relationship Id="rId807" Type="http://schemas.openxmlformats.org/officeDocument/2006/relationships/hyperlink" Target="https://www.google.com/search?q=Sweet+Box+Sarcococca+confusa&amp;tbm=isch&amp;ved=2ahUKEwjl_96f-MOBAxUCMmIAHbX0CZ4Q2-cCegQIABAA&amp;oq=Sweet+Box+Sarcococca+confusa&amp;gs_lcp=CgNpbWcQDDIFCAAQgAQyBggAEAgQHjoECCMQJ1DcA1ibDWCqHmgAcAB4AIABPYgB4QGSAQE0mAEAoAEBqgELZ3dzLXdpei1pbWfAAQE&amp;sclient=img&amp;ei=UIgQZeWXBILkiLMPtemn8Ak&amp;bih=760&amp;biw=1386" TargetMode="External"/><Relationship Id="rId7" Type="http://schemas.openxmlformats.org/officeDocument/2006/relationships/hyperlink" Target="mailto:Mike@Trees2Go.com" TargetMode="External"/><Relationship Id="rId239" Type="http://schemas.openxmlformats.org/officeDocument/2006/relationships/hyperlink" Target="https://www.google.com/search?q=Golden+Euonymus+japonicus+%27Aureo-marginatus%27&amp;authuser=1&amp;hl=en&amp;source=lnms&amp;tbm=isch&amp;sa=X&amp;ved=2ahUKEwjiuLKru7LwAhUBG80KHdUPD4MQ_AUoAXoECAEQAw&amp;biw=1431&amp;bih=755" TargetMode="External"/><Relationship Id="rId446" Type="http://schemas.openxmlformats.org/officeDocument/2006/relationships/hyperlink" Target="https://plants.ces.ncsu.edu/plants/salix-babylonica-scarlet-curls/" TargetMode="External"/><Relationship Id="rId653" Type="http://schemas.openxmlformats.org/officeDocument/2006/relationships/hyperlink" Target="https://plants.usda.gov/core/profile?symbol=ROSA5" TargetMode="External"/><Relationship Id="rId292" Type="http://schemas.openxmlformats.org/officeDocument/2006/relationships/hyperlink" Target="https://plants.ces.ncsu.edu/plants/hibiscus-moscheutos/common-name/hardy-hibiscus/" TargetMode="External"/><Relationship Id="rId306" Type="http://schemas.openxmlformats.org/officeDocument/2006/relationships/hyperlink" Target="https://www.google.com/search?q=Soft+Touch+Holly+Ilex+crenata+%27Soft+Touch%27&amp;tbm=isch&amp;ved=2ahUKEwiyjJjQtfXoAhVRbK0KHemfD-sQ2-cCegQIABAA&amp;oq=Soft+Touch+Holly+Ilex+crenata+%27Soft+Touch%27&amp;gs_lcp=CgNpbWcQDFDSzQZY0s0GYMnXBmgAcAB4AIABeogBepIBAzAuMZgBAKABAaoBC2d3cy13aXotaW1n&amp;sclient=img&amp;ei=nMCcXrLOJtHYtQXpv77YDg&amp;bih=878&amp;biw=1437&amp;hl=en" TargetMode="External"/><Relationship Id="rId860" Type="http://schemas.openxmlformats.org/officeDocument/2006/relationships/hyperlink" Target="https://plants.ces.ncsu.edu/plants/achillea-millefolium/" TargetMode="External"/><Relationship Id="rId87" Type="http://schemas.openxmlformats.org/officeDocument/2006/relationships/hyperlink" Target="https://www.google.com/search?q=Foster+Holly+Ilex+x+attenuata+%27Fosteri%27&amp;tbm=isch&amp;ved=2ahUKEwjz-OWTwMPoAhVKVawKHa7iA-8Q2-cCegQIABAA&amp;oq=Foster+Holly+Ilex+x+attenuata+%27Fosteri%27&amp;gs_lcp=CgNpbWcQDFC4pQJYuKUCYMuvAmgAcAB4AIABeogBepIBAzAuMZgBAKABAaoBC2d3cy13aXotaW1n&amp;sclient=img&amp;ei=w5SCXrOLNMqqsQWuxY_4Dg&amp;bih=831&amp;biw=1428" TargetMode="External"/><Relationship Id="rId513" Type="http://schemas.openxmlformats.org/officeDocument/2006/relationships/hyperlink" Target="https://plants.ces.ncsu.edu/plants/acorus-gramineus/" TargetMode="External"/><Relationship Id="rId597" Type="http://schemas.openxmlformats.org/officeDocument/2006/relationships/hyperlink" Target="https://plants.ces.ncsu.edu/plants/berberis-eurybracteata/" TargetMode="External"/><Relationship Id="rId720" Type="http://schemas.openxmlformats.org/officeDocument/2006/relationships/hyperlink" Target="https://plants.ces.ncsu.edu/plants/rosa-banksiae-lutea/common-name/lady-banks-rose/" TargetMode="External"/><Relationship Id="rId818" Type="http://schemas.openxmlformats.org/officeDocument/2006/relationships/hyperlink" Target="https://www.google.com/search?q=Planet+Earth%C2%AE+Arborvitae+Thuja+occidentalis+%27RUTTHU4%27&amp;tbm=isch&amp;ved=2ahUKEwigmLaJmdGDAxUaEmIAHSUVClkQ2-cCegQIABAA&amp;oq=Planet+Earth%C2%AE+Arborvitae+Thuja+occidentalis+%27RUTTHU4%27&amp;gs_lcp=CgNpbWcQDDoECCMQJ1CwIViwIWDILGgAcAB4AIABTIgBgQGSAQEymAEAoAEBqgELZ3dzLXdpei1pbWfAAQE&amp;sclient=img&amp;ei=TbOdZeC9D5qkiLMPpaqoyAU&amp;authuser=1&amp;bih=838&amp;biw=1457" TargetMode="External"/><Relationship Id="rId152" Type="http://schemas.openxmlformats.org/officeDocument/2006/relationships/hyperlink" Target="https://www.google.com/search?q=Dura-Heat+River+Birch+Betula+nigra+%27Dura-Heat%27&amp;tbm=isch&amp;ved=2ahUKEwiNzI2-r_rxAhXxi60KHXMUDWEQ2-cCegQIABAA&amp;oq=Dura-Heat+River+Birch+Betula+nigra+%27Dura-Heat%27&amp;gs_lcp=CgNpbWcQDFCcYFjtZGD_d2gAcAB4AIABaogBvAGSAQMxLjGYAQCgAQGqAQtnd3Mtd2l6LWltZ8ABAQ&amp;sclient=img&amp;ei=FVT7YM3tF_GXtgXzqLSIBg&amp;authuser=1&amp;bih=878&amp;biw=1454" TargetMode="External"/><Relationship Id="rId457" Type="http://schemas.openxmlformats.org/officeDocument/2006/relationships/hyperlink" Target="https://plants.ces.ncsu.edu/plants/salvia-rosmarinus/common-name/rosemary/" TargetMode="External"/><Relationship Id="rId664" Type="http://schemas.openxmlformats.org/officeDocument/2006/relationships/hyperlink" Target="https://www.google.com/search?q=Shaina+Japanese+Maple+Acer+palmatum+%27Shaina%27&amp;tbm=isch&amp;ved=2ahUKEwicidKuh4fpAhVQhlMKHaZ2BW8Q2-cCegQIABAA&amp;oq=Shaina+Japanese+Maple+Acer+palmatum+%27Shaina%27&amp;gs_lcp=CgNpbWcQDDIECCMQJzIECCMQJ1C1CFjfCWCNFmgAcAB4AIABVIgBmAGSAQEymAEAoAEBqgELZ3dzLXdpei1pbWc&amp;sclient=img&amp;ei=BQCmXtzyINCMzgKm7ZX4Bg&amp;bih=866&amp;biw=1434&amp;hl=en" TargetMode="External"/><Relationship Id="rId14" Type="http://schemas.openxmlformats.org/officeDocument/2006/relationships/hyperlink" Target="https://plants.ces.ncsu.edu/plants/thuja-occidentalis/" TargetMode="External"/><Relationship Id="rId317" Type="http://schemas.openxmlformats.org/officeDocument/2006/relationships/hyperlink" Target="https://plants.ces.ncsu.edu/plants/cephalotaxus-harringtonia-prostrata/common-name/prostrate-japanese-plum-yew/" TargetMode="External"/><Relationship Id="rId524" Type="http://schemas.openxmlformats.org/officeDocument/2006/relationships/hyperlink" Target="https://plants.ces.ncsu.edu/plants/coreopsis-grandiflora/common-name/tickseed/" TargetMode="External"/><Relationship Id="rId731" Type="http://schemas.openxmlformats.org/officeDocument/2006/relationships/hyperlink" Target="https://plants.ces.ncsu.edu/plants/myrica-cerifera/common-name/wax-myrtle/" TargetMode="External"/><Relationship Id="rId98" Type="http://schemas.openxmlformats.org/officeDocument/2006/relationships/hyperlink" Target="mailto:Mike@Trees2Go.com" TargetMode="External"/><Relationship Id="rId163" Type="http://schemas.openxmlformats.org/officeDocument/2006/relationships/hyperlink" Target="https://plants.ces.ncsu.edu/plants/quercus-phellos/common-name/willow-oak/" TargetMode="External"/><Relationship Id="rId370" Type="http://schemas.openxmlformats.org/officeDocument/2006/relationships/hyperlink" Target="https://plants.ces.ncsu.edu/plants/buddleja-davidii/common-name/butterfly-bush/" TargetMode="External"/><Relationship Id="rId829" Type="http://schemas.openxmlformats.org/officeDocument/2006/relationships/hyperlink" Target="https://plants.ces.ncsu.edu/plants/thuja-occidentalis/" TargetMode="External"/><Relationship Id="rId230" Type="http://schemas.openxmlformats.org/officeDocument/2006/relationships/hyperlink" Target="https://plants.ces.ncsu.edu/plants/distylium/" TargetMode="External"/><Relationship Id="rId468" Type="http://schemas.openxmlformats.org/officeDocument/2006/relationships/hyperlink" Target="https://plants.ces.ncsu.edu/plants/vaccinium-corymbosum/" TargetMode="External"/><Relationship Id="rId675" Type="http://schemas.openxmlformats.org/officeDocument/2006/relationships/hyperlink" Target="https://plants.ces.ncsu.edu/plants/osmanthus-heterophyllus/" TargetMode="External"/><Relationship Id="rId25" Type="http://schemas.openxmlformats.org/officeDocument/2006/relationships/hyperlink" Target="https://plants.ces.ncsu.edu/plants/ligustrum-japonicum-recurvifolium/" TargetMode="External"/><Relationship Id="rId328" Type="http://schemas.openxmlformats.org/officeDocument/2006/relationships/hyperlink" Target="https://plants.ces.ncsu.edu/plants/chamaecyparis-pisifera/" TargetMode="External"/><Relationship Id="rId535" Type="http://schemas.openxmlformats.org/officeDocument/2006/relationships/hyperlink" Target="https://plants.ces.ncsu.edu/plants/hemerocallis/" TargetMode="External"/><Relationship Id="rId742" Type="http://schemas.openxmlformats.org/officeDocument/2006/relationships/hyperlink" Target="https://plants.ces.ncsu.edu/plants/prunus-serrulata/" TargetMode="External"/><Relationship Id="rId174" Type="http://schemas.openxmlformats.org/officeDocument/2006/relationships/hyperlink" Target="https://plants.ces.ncsu.edu/plants/prunus-x-subhirtella/" TargetMode="External"/><Relationship Id="rId381" Type="http://schemas.openxmlformats.org/officeDocument/2006/relationships/hyperlink" Target="https://plants.ces.ncsu.edu/plants/hypericum-frondosum/" TargetMode="External"/><Relationship Id="rId602" Type="http://schemas.openxmlformats.org/officeDocument/2006/relationships/hyperlink" Target="https://plants.ces.ncsu.edu/plants/astilbe-x-arendsii/" TargetMode="External"/><Relationship Id="rId241" Type="http://schemas.openxmlformats.org/officeDocument/2006/relationships/hyperlink" Target="https://www.google.com/search?q=Goshiki+Osmanthus+heterophyllus+%27Goshiki%27&amp;tbm=isch&amp;ved=2ahUKEwjB_IfB5uPyAhWHRVMKHdWvDqYQ2-cCegQIABAA&amp;oq=Goshiki+Osmanthus+heterophyllus+%27Goshiki%27&amp;gs_lcp=CgNpbWcQDFChP1ihP2DnTGgAcAB4AIABSogBSpIBATGYAQCgAQGqAQtnd3Mtd2l6LWltZ8ABAQ&amp;sclient=img&amp;ei=pJoyYcGaBIeLzQLV37qwCg&amp;bih=831&amp;biw=1428" TargetMode="External"/><Relationship Id="rId479" Type="http://schemas.openxmlformats.org/officeDocument/2006/relationships/hyperlink" Target="https://plants.ces.ncsu.edu/plants/miscanthus-sinensis-gracillimus/" TargetMode="External"/><Relationship Id="rId686" Type="http://schemas.openxmlformats.org/officeDocument/2006/relationships/hyperlink" Target="https://www.google.com/search?q=Ruby+Spice+Summersweet+Clethra+alnifolia+%27Ruby+Spice%27&amp;authuser=1&amp;sxsrf=APq-WBt6JvrZ77hw29giMfe4hkixj4zEIA:1647871275138&amp;source=lnms&amp;tbm=isch&amp;sa=X&amp;ved=2ahUKEwiRt_Xvrtf2AhXHG80KHfqhA_oQ_AUoAXoECAEQAw&amp;biw=1602&amp;bih=913&amp;dpr=1" TargetMode="External"/><Relationship Id="rId36" Type="http://schemas.openxmlformats.org/officeDocument/2006/relationships/hyperlink" Target="https://www.google.com/search?q=Gyokuryu+Japanese+Cedar+Cryptomeria+japonica+%27Gyokuryu%27&amp;tbm=isch&amp;hl=en&amp;nfpr=1&amp;hl=en&amp;ved=2ahUKEwip1P2A3efoAhVF0KwKHVU9ANoQBXoECAEQFA&amp;biw=1679&amp;bih=927" TargetMode="External"/><Relationship Id="rId339" Type="http://schemas.openxmlformats.org/officeDocument/2006/relationships/hyperlink" Target="https://www.google.com/search?q=Vintage+Gold+Falsecypress+Chamaecyparis+pisifera+%27Vintage+Gold%27&amp;tbm=isch&amp;ved=2ahUKEwijxoSKpvXoAhUsjK0KHfFOCaIQ2-cCegQIABAA&amp;oq=Vintage+Gold+Falsecypress+Chamaecyparis+pisifera+%27Vintage+Gold%27&amp;gs_lcp=CgNpbWcQDFDpwwRY6cMEYJnNBGgAcAB4AIABVYgBVZIBATGYAQCgAQGqAQtnd3Mtd2l6LWltZw&amp;sclient=img&amp;ei=TrCcXqPnO6yYtgXxnaWQCg&amp;bih=878&amp;biw=1750&amp;hl=en" TargetMode="External"/><Relationship Id="rId546" Type="http://schemas.openxmlformats.org/officeDocument/2006/relationships/hyperlink" Target="https://www.google.com/search?q=Happy+Returns+Daylily+Hemerocallis+%27Happy+Returns%27&amp;tbm=isch&amp;ved=2ahUKEwj--b3UpP7oAhWLSKwKHehKDZcQ2-cCegQIABAA&amp;oq=Happy+Returns+Daylily+Hemerocallis+%27Happy+Returns%27&amp;gs_lcp=CgNpbWcQDFDz6wZYsIsHYI6UB2gAcAB4AIABU4gBnQGSAQEymAEAoAEBqgELZ3dzLXdpei1pbWc&amp;sclient=img&amp;ei=x2ahXr76NYuRsQXolbW4CQ&amp;bih=876&amp;biw=1452&amp;hl=en" TargetMode="External"/><Relationship Id="rId753" Type="http://schemas.openxmlformats.org/officeDocument/2006/relationships/hyperlink" Target="https://plants.ces.ncsu.edu/plants/verbena-x-hybrida/common-name/verbena/" TargetMode="External"/><Relationship Id="rId101" Type="http://schemas.openxmlformats.org/officeDocument/2006/relationships/hyperlink" Target="https://plants.ces.ncsu.edu/plants/quercus-alba/common-name/white-oak/" TargetMode="External"/><Relationship Id="rId185" Type="http://schemas.openxmlformats.org/officeDocument/2006/relationships/hyperlink" Target="https://plants.ces.ncsu.edu/plants/lagerstroemia-indica/" TargetMode="External"/><Relationship Id="rId406" Type="http://schemas.openxmlformats.org/officeDocument/2006/relationships/hyperlink" Target="https://www.google.com/search?q=Coral+Drift+Rose+Rosa+%27Meidrifora%27+PP19148&amp;tbm=isch&amp;ved=2ahUKEwimnJKg8pD0AhURcTwKHawhBikQ2-cCegQIABAA&amp;oq=Coral+Drift+Rose+Rosa+%27Meidrifora%27+PP19148&amp;gs_lcp=CgNpbWcQDDoHCCMQ7wMQJ1CYCliYCmDNFWgAcAB4AIABaIgBwQGSAQMxLjGYAQCgAQGqAQtnd3Mtd2l6LWltZ8ABAQ&amp;sclient=img&amp;ei=nlqNYabVPJHi8QGsw5jIAg&amp;bih=878&amp;biw=1454&amp;hl=en" TargetMode="External"/><Relationship Id="rId392" Type="http://schemas.openxmlformats.org/officeDocument/2006/relationships/hyperlink" Target="https://plants.ces.ncsu.edu/plants/lantana-camara/common-name/common-lantana/" TargetMode="External"/><Relationship Id="rId613" Type="http://schemas.openxmlformats.org/officeDocument/2006/relationships/hyperlink" Target="https://plants.ces.ncsu.edu/plants/leucanthemum-x-superbum/" TargetMode="External"/><Relationship Id="rId697" Type="http://schemas.openxmlformats.org/officeDocument/2006/relationships/hyperlink" Target="https://plants.ces.ncsu.edu/plants/juniperus-chinensis-sea-green/common-name/sea-green-juniper/" TargetMode="External"/><Relationship Id="rId820" Type="http://schemas.openxmlformats.org/officeDocument/2006/relationships/hyperlink" Target="https://www.google.com/search?q=Blushing+Drift+Rose+Rosa+%27Meifranjin%27+PP33507&amp;tbm=isch&amp;ved=2ahUKEwissbbrgeGEAxUIGmIAHenHBW8Q2-cCegQIABAA&amp;oq=Blushing+Drift+Rose+Rosa+%27Meifranjin%27+PP33507&amp;gs_lp=EgNpbWciLUJsdXNoaW5nIERyaWZ0IFJvc2UgUm9zYSAnTWVpZnJhbmppbicgUFAzMzUwN0jPG1D3CFj3CHAAeACQAQCYATygAW-qAQEyuAEMyAEA-AEBigILZ3dzLXdpei1pbWfCAgQQIxgniAYB&amp;sclient=img&amp;ei=ShrpZazkJ4i0iLMP6Y-X-AY&amp;authuser=1&amp;bih=773&amp;biw=1452&amp;hl=en" TargetMode="External"/><Relationship Id="rId252" Type="http://schemas.openxmlformats.org/officeDocument/2006/relationships/hyperlink" Target="https://plants.ces.ncsu.edu/plants/euonymus-japonicus/" TargetMode="External"/><Relationship Id="rId47" Type="http://schemas.openxmlformats.org/officeDocument/2006/relationships/hyperlink" Target="https://www.google.com/search?q=Taylor+Juniper+Juniperus+virginiana+%27Taylor%27&amp;tbm=isch&amp;ved=2ahUKEwjp6frN0ZTtAhVI0VMKHZW0DqgQ2-cCegQIABAA&amp;oq=Taylor+Juniper+Juniperus+virginiana+%27Taylor%27&amp;gs_lcp=CgNpbWcQDFDsJljTJ2DBNmgAcAB4AIABRYgBgwGSAQEymAEAoAEBqgELZ3dzLXdpei1pbWfAAQE&amp;sclient=img&amp;ei=Lo65X-maBciizwKV6brACg&amp;bih=831&amp;biw=1428" TargetMode="External"/><Relationship Id="rId112" Type="http://schemas.openxmlformats.org/officeDocument/2006/relationships/hyperlink" Target="https://plants.ces.ncsu.edu/plants/ginkgo-biloba/common-name/ginkgo/" TargetMode="External"/><Relationship Id="rId557" Type="http://schemas.openxmlformats.org/officeDocument/2006/relationships/hyperlink" Target="https://plants.ces.ncsu.edu/plants/cercis-chinensis/" TargetMode="External"/><Relationship Id="rId764" Type="http://schemas.openxmlformats.org/officeDocument/2006/relationships/hyperlink" Target="https://www.trees2go.com/grower-one/" TargetMode="External"/><Relationship Id="rId196" Type="http://schemas.openxmlformats.org/officeDocument/2006/relationships/hyperlink" Target="https://plants.ces.ncsu.edu/plants/prunus-cerasifera/" TargetMode="External"/><Relationship Id="rId417" Type="http://schemas.openxmlformats.org/officeDocument/2006/relationships/hyperlink" Target="https://www.google.com/search?q=Crimson+Doll+Lilac+Syringa+x+Grecrimdoll+%27Crimson+Doll%27&amp;hl=en&amp;sxsrf=ALeKk0209_gC1oHAErb-bQnh9Uo2Pr9F-w:1620436597701&amp;source=lnms&amp;tbm=isch&amp;sa=X&amp;ved=2ahUKEwi1nqXe9LjwAhUNTd8KHcKLC1oQ_AUoAnoECAQQBA&amp;biw=1437&amp;bih=820" TargetMode="External"/><Relationship Id="rId624" Type="http://schemas.openxmlformats.org/officeDocument/2006/relationships/hyperlink" Target="https://plants.ces.ncsu.edu/plants/juniperus-procumbens-nana/common-name/dwarf-japgarden-juniper/" TargetMode="External"/><Relationship Id="rId831" Type="http://schemas.openxmlformats.org/officeDocument/2006/relationships/hyperlink" Target="https://www.google.com/search?q=Linebacker%E2%84%A2+Distylium+%27PIIDIST-IV%27+PP25984&amp;tbm=isch&amp;ved=2ahUKEwiz_qnmn66EAxUpFGIAHZvmBJ8Q2-cCegQIABAA&amp;oq=Linebacker%E2%84%A2+Distylium+%27PIIDIST-IV%27+PP25984&amp;gs_lp=EgNpbWciLExpbmViYWNrZXLihKIgRGlzdHlsaXVtICdQSUlESVNULUlWJyBQUDI1OTg0SOc8UNgNWO8rcAB4AJABAJgBngGgAfQBqgEDMi4xuAEMyAEA-AEBigILZ3dzLXdpei1pbWfCAgQQIxgnwgIGEAAYBxgewgIHEAAYgAQYGIgGAQ&amp;sclient=img&amp;ei=mnzOZbPJFqmoiLMPm82T-Ak&amp;authuser=1&amp;bih=902&amp;biw=1556&amp;prmd=inhvmsbtz" TargetMode="External"/><Relationship Id="rId263" Type="http://schemas.openxmlformats.org/officeDocument/2006/relationships/hyperlink" Target="https://www.google.com/search?q=Kanjiro+Camellia+sasanqua+%27Kanjiro%27&amp;tbm=isch&amp;ved=2ahUKEwi4t-yOrojvAhVV_6wKHWdAC80Q2-cCegQIABAA&amp;oq=Kanjiro+Camellia+sasanqua+%27Kanjiro%27&amp;gs_lcp=CgNpbWcQDFAAWABgxEBoAHAAeACAAQCIAQCSAQCYAQCqAQtnd3Mtd2l6LWltZw&amp;sclient=img&amp;ei=FlY5YLjUJ9X-swXngK3oDA&amp;authuser=1&amp;bih=855&amp;biw=1716&amp;hl=en" TargetMode="External"/><Relationship Id="rId470" Type="http://schemas.openxmlformats.org/officeDocument/2006/relationships/hyperlink" Target="https://plants.ces.ncsu.edu/plants/phlox-subulata/" TargetMode="External"/><Relationship Id="rId58" Type="http://schemas.openxmlformats.org/officeDocument/2006/relationships/hyperlink" Target="https://www.google.com/search?q=Bonafide%E2%84%A2+Arborvitae+Thuja+plicata+x+standishii+Bonafide%E2%84%A2&amp;tbm=isch&amp;ved=2ahUKEwjPkYW6uPT6AhXdkmoFHUDgCxMQ2-cCegQIABAA&amp;oq=Bonafide%E2%84%A2+Arborvitae+Thuja+plicata+x+standishii+Bonafide%E2%84%A2&amp;gs_lcp=CgNpbWcQDFCTLFiJPGDvT2gAcAB4AIABVIgB-AGSAQEzmAEAoAEBqgELZ3dzLXdpei1pbWfAAQE&amp;sclient=img&amp;ei=ADNUY8-ROt2lqtsPwMCvmAE&amp;authuser=1&amp;bih=871&amp;biw=1564" TargetMode="External"/><Relationship Id="rId123" Type="http://schemas.openxmlformats.org/officeDocument/2006/relationships/hyperlink" Target="https://www.google.com/search?q=Yoshino+Cherry+Prunus+x+yedoensis&amp;tbm=isch&amp;hl=en&amp;nfpr=1&amp;hl=en&amp;ved=2ahUKEwiu0La7yvToAhVBf6wKHSayBeIQBXoECAEQHQ&amp;biw=1750&amp;bih=878" TargetMode="External"/><Relationship Id="rId330" Type="http://schemas.openxmlformats.org/officeDocument/2006/relationships/hyperlink" Target="https://plants.ces.ncsu.edu/plants/distylium/" TargetMode="External"/><Relationship Id="rId568" Type="http://schemas.openxmlformats.org/officeDocument/2006/relationships/hyperlink" Target="https://www.google.com/search?authuser=0&amp;hl=en&amp;sxsrf=AJOqlzVO-3BJVdNeNT7UMEGlHTl9Ut94mw:1676569762399&amp;q=Evening+Light+Japanese+Snowbell+Styrax+japonicus+%27Evening+Light%27&amp;tbm=isch&amp;sa=X&amp;ved=2ahUKEwio4YOJzZr9AhUcKFkFHU4AB8gQ0pQJegQIBxAB&amp;biw=1552&amp;bih=845&amp;dpr=1" TargetMode="External"/><Relationship Id="rId775" Type="http://schemas.openxmlformats.org/officeDocument/2006/relationships/hyperlink" Target="https://plants.ces.ncsu.edu/plants/astilbe-japonica/common-name/astilbe/" TargetMode="External"/><Relationship Id="rId428" Type="http://schemas.openxmlformats.org/officeDocument/2006/relationships/hyperlink" Target="https://plants.ces.ncsu.edu/plants/acer-palmatum-var-dissectum/" TargetMode="External"/><Relationship Id="rId635" Type="http://schemas.openxmlformats.org/officeDocument/2006/relationships/hyperlink" Target="https://plants.ces.ncsu.edu/plants/quercus-lyrata/common-name/overcup-oak/" TargetMode="External"/><Relationship Id="rId842" Type="http://schemas.openxmlformats.org/officeDocument/2006/relationships/hyperlink" Target="https://www.google.com/search?sca_esv=9c4df4a210fae351&amp;hl=en&amp;sxsrf=ACQVn0-ns_xExJDEJKMXGCPGwBzG-hjQ9Q:1710776406939&amp;q=Little+Kitten+Maiden+Grass+Miscanthus+sinensis+%27Little+Kitten%E2%80%99&amp;tbm=isch&amp;source=lnms&amp;sa=X&amp;ved=2ahUKEwjM0pngkv6EAxWDEVkFHWnICGIQ0pQJegQIEBAB&amp;biw=1487&amp;bih=760&amp;dpr=1" TargetMode="External"/><Relationship Id="rId274" Type="http://schemas.openxmlformats.org/officeDocument/2006/relationships/hyperlink" Target="https://plants.ces.ncsu.edu/plants/loropetalum-chinense-f-rubrum/" TargetMode="External"/><Relationship Id="rId481" Type="http://schemas.openxmlformats.org/officeDocument/2006/relationships/hyperlink" Target="https://plants.ces.ncsu.edu/plants/miscanthus-sinensis-adagio/" TargetMode="External"/><Relationship Id="rId702" Type="http://schemas.openxmlformats.org/officeDocument/2006/relationships/hyperlink" Target="https://plants.ces.ncsu.edu/plants/lagerstroemia-indica/" TargetMode="External"/><Relationship Id="rId69" Type="http://schemas.openxmlformats.org/officeDocument/2006/relationships/hyperlink" Target="https://plants.ces.ncsu.edu/plants/ilex-x-magland-oaklandtm-holly/common-name/oaklandtm-holly/" TargetMode="External"/><Relationship Id="rId134" Type="http://schemas.openxmlformats.org/officeDocument/2006/relationships/hyperlink" Target="https://plants.ces.ncsu.edu/plants/magnolia-jane/common-name/jane-magnolia/" TargetMode="External"/><Relationship Id="rId579" Type="http://schemas.openxmlformats.org/officeDocument/2006/relationships/hyperlink" Target="https://www.google.com/search?q=Bloomerang+Dark+Purple+Lilac+Syringa+%27Bloomerang+Dark+Purple%27&amp;tbm=isch&amp;ved=2ahUKEwill4ygv-H2AhVinWoFHccnD1MQ2-cCegQIABAA&amp;oq=Bloomerang+Dark+Purple+Lilac+Syringa+%27Bloomerang+Dark+Purple%27&amp;gs_lcp=CgNpbWcQDFCHDliwJWDcNmgAcAB4AIABXIgBnAiSAQIxM5gBAKABAaoBC2d3cy13aXotaW1nwAEB&amp;sclient=img&amp;ei=hNQ9YqXFH-K6qtsPx8-8mAU&amp;authuser=1&amp;bih=901&amp;biw=1555" TargetMode="External"/><Relationship Id="rId786" Type="http://schemas.openxmlformats.org/officeDocument/2006/relationships/hyperlink" Target="https://www.google.com/search?sca_esv=556076959&amp;authuser=1&amp;hl=en&amp;sxsrf=AB5stBicTHXcYHB2yXWT93YsrN2w83SPpQ:1691794626351&amp;q=carex+pensylvanica&amp;tbm=isch&amp;source=lnms&amp;sa=X&amp;ved=2ahUKEwij1vGN2tWAAxXeEVkFHWUIDrIQ0pQJegQIDRAB&amp;biw=1625&amp;bih=863&amp;dpr=1" TargetMode="External"/><Relationship Id="rId341" Type="http://schemas.openxmlformats.org/officeDocument/2006/relationships/hyperlink" Target="https://www.google.com/search?q=Little+Richard+Abelia+x+grandiflora+%27Little+Richard%27&amp;tbm=isch&amp;ved=2ahUKEwjmo93asbHyAhWMQa0KHY7TDZYQ2-cCegQIABAA&amp;oq=Little+Richard+Abelia+x+grandiflora+%27Little+Richard%27&amp;gs_lcp=CgNpbWcQDFCu9QFYrvUBYOSJAmgAcAB4AIABTIgBTJIBATGYAQCgAQGqAQtnd3Mtd2l6LWltZ8ABAQ&amp;sclient=img&amp;ei=YywYYabmNoyDtQWOp7ewCQ&amp;bih=878&amp;biw=1437&amp;hl=en" TargetMode="External"/><Relationship Id="rId439" Type="http://schemas.openxmlformats.org/officeDocument/2006/relationships/hyperlink" Target="https://plants.ces.ncsu.edu/plants/buddleja-davidii/" TargetMode="External"/><Relationship Id="rId646" Type="http://schemas.openxmlformats.org/officeDocument/2006/relationships/hyperlink" Target="https://www.google.com/search?q=White+Delight+Creeping+Phlox+subulata+%27White+Delight%27&amp;tbm=isch&amp;ved=2ahUKEwi6k9CciJT5AhVIQkIHHR0XA-IQ2-cCegQIABAA&amp;oq=White+Delight+Creeping+Phlox+subulata+%27White+Delight%27&amp;gs_lcp=CgNpbWcQDDoECCMQJ1CHEliHEmDnHGgAcAB4AIABWYgBrQGSAQEymAEAoAEBqgELZ3dzLXdpei1pbWfAAQE&amp;sclient=img&amp;ei=qI_eYrqfO8iEieoPna6MkA4&amp;bih=876&amp;biw=1435&amp;hl=en" TargetMode="External"/><Relationship Id="rId201" Type="http://schemas.openxmlformats.org/officeDocument/2006/relationships/hyperlink" Target="https://plants.ces.ncsu.edu/plants/magnolia-virginiana/" TargetMode="External"/><Relationship Id="rId285" Type="http://schemas.openxmlformats.org/officeDocument/2006/relationships/hyperlink" Target="https://plants.ces.ncsu.edu/plants/rhododendron-encore/common-name/encore-azalea/" TargetMode="External"/><Relationship Id="rId506" Type="http://schemas.openxmlformats.org/officeDocument/2006/relationships/hyperlink" Target="https://www.google.com/search?q=Afterglow+Weigela+x+%27Afterglow%27&amp;tbm=isch&amp;ved=2ahUKEwjEpLmFjcfyAhUnhuAKHRXlBSMQ2-cCegQIABAA&amp;oq=Afterglow+Weigela+x+%27Afterglow%27&amp;gs_lcp=CgNpbWcQDFCBbliBbmCVe2gAcAB4AIABVogBVpIBATGYAQCgAQGqAQtnd3Mtd2l6LWltZ8ABAQ&amp;sclient=img&amp;ei=u44jYYTbJaeMggeVypeYAg&amp;authuser=1&amp;bih=832&amp;biw=1335" TargetMode="External"/><Relationship Id="rId853" Type="http://schemas.openxmlformats.org/officeDocument/2006/relationships/hyperlink" Target="https://plants.ces.ncsu.edu/plants/chamaecyparis-obtusa-nana-lutea/" TargetMode="External"/><Relationship Id="rId492" Type="http://schemas.openxmlformats.org/officeDocument/2006/relationships/hyperlink" Target="https://plants.ces.ncsu.edu/plants/ophiopogon-japonicus-nana/common-name/dwarf-mondo-grass/" TargetMode="External"/><Relationship Id="rId713" Type="http://schemas.openxmlformats.org/officeDocument/2006/relationships/hyperlink" Target="https://www.google.com/search?q=Flame+Thrower+Redbud+Cercis+canadensis+%27NC2016-2%27+PP31260&amp;tbm=isch&amp;ved=2ahUKEwjC7oj-z6H0AhWb6KwKHSkbDDEQ2-cCegQIABAA&amp;oq=Flame+Thrower+Redbud+Cercis+canadensis+%27NC2016-2%27+PP31260&amp;gs_lcp=CgNpbWcQDFCdNFiovAFgmdEBaABwAHgAgAF6iAHTA5IBAzQuMZgBAKABAaoBC2d3cy13aXotaW1nwAEB&amp;sclient=img&amp;ei=ZCCWYcKsEZvRswWptrCIAw&amp;authuser=1&amp;bih=867&amp;biw=1598&amp;hl=en" TargetMode="External"/><Relationship Id="rId797" Type="http://schemas.openxmlformats.org/officeDocument/2006/relationships/hyperlink" Target="https://www.trees2go.com/grower-three/" TargetMode="External"/><Relationship Id="rId145" Type="http://schemas.openxmlformats.org/officeDocument/2006/relationships/hyperlink" Target="https://www.google.com/search?q=Willow+Oak+Quercus+phellos&amp;tbm=isch&amp;ved=2ahUKEwig3JWRwvToAhVTa6wKHY0TDn0Q2-cCegQIABAA&amp;oq=Willow+Oak+Quercus+phellos&amp;gs_lcp=CgNpbWcQDDICCABQ77cEWO-3BGDexARoAHAAeACAAXCIAXCSAQMwLjGYAQCgAQGqAQtnd3Mtd2l6LWltZw&amp;sclient=img&amp;ei=gkecXqCTGNPWsQWNp7joBw&amp;bih=878&amp;biw=1767" TargetMode="External"/><Relationship Id="rId352" Type="http://schemas.openxmlformats.org/officeDocument/2006/relationships/hyperlink" Target="https://www.google.com/search?q=Hetz+Midget+Arborvitae+Thuja+occidentalis+%27Hetz+Midget%27&amp;tbm=isch&amp;ved=2ahUKEwjCu83zpPXoAhUBe60KHT85AdYQ2-cCegQIABAA&amp;oq=Hetz+Midget+Arborvitae+Thuja+occidentalis+%27Hetz+Midget%27&amp;gs_lcp=CgNpbWcQDFCAvQRY_c0EYLfbBGgAcAB4AIABYogBrgGSAQEymAEAoAEBqgELZ3dzLXdpei1pbWc&amp;sclient=img&amp;ei=E6-cXoLmHoH2tQW_8oSwDQ&amp;bih=878&amp;biw=1750&amp;hl=en" TargetMode="External"/><Relationship Id="rId212" Type="http://schemas.openxmlformats.org/officeDocument/2006/relationships/hyperlink" Target="https://www.google.com/search?q=Dynamite+Crape+Myrtle+Lagerstroemia+indica+%27Dynamite%27&amp;tbm=isch&amp;ved=2ahUKEwj09cem1_ToAhUH0lMKHcZXBwQQ2-cCegQIABAA&amp;oq=Dynamite+Crape+Myrtle+Lagerstroemia+indica+%27Dynamite%27&amp;gs_lcp=CgNpbWcQDDoECCMQJ1DJHliGJmDOLmgAcAB4AIABSogB8gKSAQE2mAEAoAEBqgELZ3dzLXdpei1pbWc&amp;sclient=img&amp;ei=tF2cXvTLGIekzwLGr50g&amp;bih=878&amp;biw=1750&amp;hl=en" TargetMode="External"/><Relationship Id="rId657" Type="http://schemas.openxmlformats.org/officeDocument/2006/relationships/hyperlink" Target="https://plants.ces.ncsu.edu/plants/carex/" TargetMode="External"/><Relationship Id="rId864" Type="http://schemas.openxmlformats.org/officeDocument/2006/relationships/hyperlink" Target="https://plants.ces.ncsu.edu/plants/canna-x-generalis/" TargetMode="External"/><Relationship Id="rId296" Type="http://schemas.openxmlformats.org/officeDocument/2006/relationships/hyperlink" Target="https://www.google.com/search?q=Florida+Sunshine+Anise+Illicium+parviflorum+%27Florida+Sunshine%27&amp;tbm=isch&amp;ved=2ahUKEwiU4IeCt4fpAhUS0lMKHbpXCSwQ2-cCegQIABAA&amp;oq=Florida+Sunshine+Anise+Illicium+parviflorum+%27Florida+Sunshine%27&amp;gs_lcp=CgNpbWcQDFCuzTdYrs03YIHiN2gAcAB4AIABSIgBSJIBATGYAQCgAQGqAQtnd3Mtd2l6LWltZw&amp;sclient=img&amp;ei=_DGmXpTyOZKkzwK6r6XgAg&amp;bih=866&amp;biw=1434&amp;hl=en" TargetMode="External"/><Relationship Id="rId517" Type="http://schemas.openxmlformats.org/officeDocument/2006/relationships/hyperlink" Target="https://plants.ces.ncsu.edu/plants/acorus-calamus-variegatus/common-name/variegated-sweet-flag/" TargetMode="External"/><Relationship Id="rId724" Type="http://schemas.openxmlformats.org/officeDocument/2006/relationships/hyperlink" Target="https://www.google.com/search?q=Ruby+Falls+Weeping+Redbud+Cercis+canadensis+%27Ruby+Falls%27&amp;tbm=isch&amp;ved=2ahUKEwiu7JO6-fXoAhUG4qwKHb9EAZEQ2-cCegQIABAA&amp;oq=Ruby+Falls+Weeping+Redbud+Cercis+canadensis+%27Ruby+Falls%27&amp;gs_lcp=CgNpbWcQDFCQzgdYkM4HYKHYB2gAcAB4AIABf4gBf5IBAzAuMZgBAKABAaoBC2d3cy13aXotaW1n&amp;sclient=img&amp;ei=vAedXq6eAobEswW_iYWICQ&amp;bih=878&amp;biw=1454&amp;hl=en" TargetMode="External"/><Relationship Id="rId60" Type="http://schemas.openxmlformats.org/officeDocument/2006/relationships/hyperlink" Target="https://www.google.com/search?q=Acadiana%E2%84%A2+Holly+Ilex+x+%27Magiana%27+PP%2314418&amp;authuser=1&amp;hl=en&amp;source=lnms&amp;tbm=isch&amp;sa=X&amp;ved=2ahUKEwibrv-405r6AhWCIH0KHTipDd8Q_AUoAnoECAEQBA&amp;cshid=1663377339733068&amp;biw=1470&amp;bih=840&amp;dpr=1" TargetMode="External"/><Relationship Id="rId156" Type="http://schemas.openxmlformats.org/officeDocument/2006/relationships/hyperlink" Target="https://www.google.com/search?q=Chinese+Pistachio+Pistacia+chinensis&amp;tbm=isch&amp;ved=2ahUKEwjf-tPp3cDpAhXTAlMKHfvCBfoQ2-cCegQIABAA&amp;oq=Chinese+Pistachio+Pistacia+chinensis&amp;gs_lcp=CgNpbWcQDDIECCMQJzIECCMQJzIECAAQHlCdBliTDGCXFWgAcAB4AIABR4gByQKSAQE1mAEAoAEBqgELZ3dzLXdpei1pbWc&amp;sclient=img&amp;ei=Fz3EXp-TM9OFzAL7hZfQDw&amp;bih=728&amp;biw=1488&amp;hl=en" TargetMode="External"/><Relationship Id="rId363" Type="http://schemas.openxmlformats.org/officeDocument/2006/relationships/hyperlink" Target="https://plants.ces.ncsu.edu/plants/buddleja-miss-molly/common-name/miss-molly-buddleja/" TargetMode="External"/><Relationship Id="rId570" Type="http://schemas.openxmlformats.org/officeDocument/2006/relationships/hyperlink" Target="https://www.google.com/search?q=Japanese+Snowbell+Styrax+japonicus&amp;hl=en&amp;sxsrf=ALeKk012W1wnbNCaquFWNXNElB6l8fuohQ:1613399254961&amp;source=lnms&amp;tbm=isch&amp;sa=X&amp;ved=2ahUKEwj6yOPLjOzuAhUCOs0KHempC6UQ_AUoAnoECBQQBA&amp;biw=1855&amp;bih=905" TargetMode="External"/><Relationship Id="rId223" Type="http://schemas.openxmlformats.org/officeDocument/2006/relationships/hyperlink" Target="https://www.google.com/search?q=Miss+Patricia+Holly+Ilex+x+latifolia+%27Miss+Patricia%27&amp;tbm=isch&amp;ved=2ahUKEwiw_ODh9Ir8AhVlQkIHHR0jBkYQ2-cCegQIABAA&amp;oq=Miss+Patricia+Holly+Ilex+x+latifolia+%27Miss+Patricia%27&amp;gs_lcp=CgNpbWcQDDoECCMQJ1CkXVikXWDraWgAcAB4AIAB6AiIAeMLkgEJMC4xLjEuNy0xmAEAoAEBqgELZ3dzLXdpei1pbWfAAQE&amp;sclient=img&amp;ei=5xajY_DsB-WEieoPncaYsAQ&amp;bih=831&amp;biw=1428" TargetMode="External"/><Relationship Id="rId430" Type="http://schemas.openxmlformats.org/officeDocument/2006/relationships/hyperlink" Target="https://www.google.com/search?q=White+Drift+Rose+Rosa+%27Meizorland%27+PP28054&amp;tbm=isch&amp;ved=2ahUKEwi4oZaw85D0AhUZ66wKHXDPBFYQ2-cCegQIABAA&amp;oq=White+Drift+Rose+Rosa+%27Meizorland%27+PP28054&amp;gs_lcp=CgNpbWcQDFCjCFijCGDJEWgAcAB4AIABdIgB1QGSAQMxLjGYAQCgAQGqAQtnd3Mtd2l6LWltZ8ABAQ&amp;sclient=img&amp;ei=zVuNYfiGA5nWswXwnpOwBQ&amp;authuser=1&amp;bih=866&amp;biw=1434" TargetMode="External"/><Relationship Id="rId668" Type="http://schemas.openxmlformats.org/officeDocument/2006/relationships/hyperlink" Target="https://www.google.com/search?q=Pink+Double+Weeping+Cherry+Prunus+subhirtella+Pendula+%27Plena+Rosea%27&amp;tbm=isch&amp;ved=2ahUKEwj56ualmOjyAhUBnlMKHcAoBwYQ2-cCegQIABAA&amp;oq=Pink+Double+Weeping+Cherry+Prunus+subhirtella+Pendula+%27Plena+Rosea%27&amp;gs_lcp=CgNpbWcQDFD3FFj3FGDtHGgAcAB4AIABgQGIAYEBkgEDMC4xmAEAoAEBqgELZ3dzLXdpei1pbWfAAQE&amp;sclient=img&amp;ei=t-c0YbmzJoG8zgLA0Zww" TargetMode="External"/><Relationship Id="rId18" Type="http://schemas.openxmlformats.org/officeDocument/2006/relationships/hyperlink" Target="https://plants.ces.ncsu.edu/plants/ternstroemia-gymnanthera/" TargetMode="External"/><Relationship Id="rId528" Type="http://schemas.openxmlformats.org/officeDocument/2006/relationships/hyperlink" Target="https://www.google.com/search?q=Goldsturm+Black-Eyed+Susan+Rudbeckia+fulgida+v.+sullivantii+%27Goldsturm%27&amp;authuser=1&amp;sxsrf=APq-WBvLo1UVNdpgy9M3j0xNsRh9AxrWGw:1647781580907&amp;source=lnms&amp;tbm=isch&amp;sa=X&amp;ved=2ahUKEwiak7De4NT2AhXqlmoFHbEvAbcQ_AUoAXoECB0QAw&amp;biw=1646&amp;bih=915&amp;dpr=1" TargetMode="External"/><Relationship Id="rId735" Type="http://schemas.openxmlformats.org/officeDocument/2006/relationships/hyperlink" Target="https://www.google.com/search?q=Black+Tupelo+Nyssa+sylvatica&amp;tbm=isch&amp;ved=2ahUKEwiRuqTV1rfsAhVRhVMKHeKLBWoQ2-cCegQIABAA&amp;oq=Black+Tupelo+Nyssa+sylvatica&amp;gs_lcp=CgNpbWcQDDIECCMQJ1DOEljOQGC1VGgAcAB4AIABowGIAZgFkgEDMy4zmAEAoAEBqgELZ3dzLXdpei1pbWfAAQE&amp;sclient=img&amp;ei=O9GIX9GwOtGKzgLil5bQBg&amp;bih=877&amp;biw=1578" TargetMode="External"/><Relationship Id="rId167" Type="http://schemas.openxmlformats.org/officeDocument/2006/relationships/hyperlink" Target="https://plants.ces.ncsu.edu/plants/acer-rubrum/" TargetMode="External"/><Relationship Id="rId374" Type="http://schemas.openxmlformats.org/officeDocument/2006/relationships/hyperlink" Target="https://www.google.com/search?q=Pink+Drift+Rose+Rosa+%27Meijocos%27+PP18874&amp;tbm=isch&amp;ved=2ahUKEwjil_bK8pD0AhXCkGoFHWvvBYoQ2-cCegQIABAA&amp;oq=Pink+Drift+Rose+Rosa+%27Meijocos%27+PP18874&amp;gs_lcp=CgNpbWcQDDoHCCMQ7wMQJ1DLCVjLCWCRKGgAcAB4AIABXIgBtwGSAQEymAEAoAEBqgELZ3dzLXdpei1pbWfAAQE&amp;sclient=img&amp;ei=-FqNYeK7K8KhqtsP696X0Ag&amp;bih=878&amp;biw=1454&amp;hl=en" TargetMode="External"/><Relationship Id="rId581" Type="http://schemas.openxmlformats.org/officeDocument/2006/relationships/hyperlink" Target="https://plants.ces.ncsu.edu/plants/euonymus-japonicus/" TargetMode="External"/><Relationship Id="rId71" Type="http://schemas.openxmlformats.org/officeDocument/2006/relationships/hyperlink" Target="https://www.google.com/search?q=Fragrant+Tea+Olive+Osmanthus+fragrans&amp;tbm=isch&amp;ved=2ahUKEwjvjbemmtXoAhXIEVMKHbZ6A7kQ2-cCegQIABAA&amp;oq=Fragrant+Tea+Olive+Osmanthus+fragrans&amp;gs_lcp=CgNpbWcQDDIECAAQGFDx1AFY8dQBYMHfAWgAcAB4AIABVogBVpIBATGYAQCgAQGqAQtnd3Mtd2l6LWltZw&amp;sclient=img&amp;ei=_dyLXq-bKcijzAK29Y3ICw&amp;bih=831&amp;biw=1428" TargetMode="External"/><Relationship Id="rId234" Type="http://schemas.openxmlformats.org/officeDocument/2006/relationships/hyperlink" Target="https://plants.ces.ncsu.edu/plants/illicium-woodland-ruby/common-name/woodland-ruby-anise-tree/" TargetMode="External"/><Relationship Id="rId679" Type="http://schemas.openxmlformats.org/officeDocument/2006/relationships/hyperlink" Target="https://www.google.com/search?q=Pawpaw+Tree+Asimina+triloba&amp;hl=en&amp;sxsrf=ALeKk01WXbgkce8l4tcV1nC71h4a5Yp7iA:1619299186443&amp;source=lnms&amp;tbm=isch&amp;sa=X&amp;ved=2ahUKEwjFyKvG55fwAhX2ETQIHe8rCEcQ_AUoAnoECAEQBA&amp;biw=1614&amp;bih=824" TargetMode="External"/><Relationship Id="rId802" Type="http://schemas.openxmlformats.org/officeDocument/2006/relationships/hyperlink" Target="https://www.trees2go.com/grower-six/" TargetMode="External"/><Relationship Id="rId2" Type="http://schemas.openxmlformats.org/officeDocument/2006/relationships/hyperlink" Target="https://www.google.com/search?q=Royal+Purple+Smoketree+Cotinus+coggygria+%27Royal+Purple%27&amp;authuser=1&amp;hl=en&amp;sxsrf=ALeKk025ROR_7ujMmJ-ZGGFYuTMBkn7mHA:1601597618776&amp;source=lnms&amp;tbm=isch&amp;sa=X&amp;ved=2ahUKEwjVoI-J0JTsAhXCuVkKHWnNDEoQ_AUoAXoECBgQAw&amp;biw=1705&amp;bih=882" TargetMode="External"/><Relationship Id="rId29" Type="http://schemas.openxmlformats.org/officeDocument/2006/relationships/hyperlink" Target="https://plants.ces.ncsu.edu/plants/juniperus-virginiana/" TargetMode="External"/><Relationship Id="rId441" Type="http://schemas.openxmlformats.org/officeDocument/2006/relationships/hyperlink" Target="https://plants.ces.ncsu.edu/plants/buddleja-davidii/" TargetMode="External"/><Relationship Id="rId539" Type="http://schemas.openxmlformats.org/officeDocument/2006/relationships/hyperlink" Target="https://plants.ces.ncsu.edu/plants/cenchrus-alopecuroides/" TargetMode="External"/><Relationship Id="rId746" Type="http://schemas.openxmlformats.org/officeDocument/2006/relationships/hyperlink" Target="https://plants.ces.ncsu.edu/plants/chionanthus-virginicus/common-name/white-fringetree/" TargetMode="External"/><Relationship Id="rId178" Type="http://schemas.openxmlformats.org/officeDocument/2006/relationships/hyperlink" Target="https://www.google.com/search?q=Midnight+Magic+Crape+Myrtle+Lagerstroemia+%27PIILAG-V%27+PP25925&amp;tbm=isch&amp;ved=2ahUKEwiQgr_614z0AhVHmVMKHVYuAyQQ2-cCegQIABAA&amp;oq=Midnight+Magic+Crape+Myrtle+Lagerstroemia+%27PIILAG-V%27+PP25925&amp;gs_lcp=CgNpbWcQDFDQEFjQEGD-G2gAcAB4AIABzAGIAYoCkgEFMS4wLjGYAQCgAQGqAQtnd3Mtd2l6LWltZ8ABAQ&amp;sclient=img&amp;ei=LSaLYdC3LseyzgLW3IygAg&amp;bih=878&amp;biw=1750&amp;hl=en" TargetMode="External"/><Relationship Id="rId301" Type="http://schemas.openxmlformats.org/officeDocument/2006/relationships/hyperlink" Target="https://www.google.com/search?q=Color+Guard+Yucca+filamentosa+%27Color+Guard%27&amp;tbm=isch&amp;ved=2ahUKEwiynr3tkpPvAhVujK0KHfRHDTMQ2-cCegQIABAA&amp;oq=Color+Guard+Yucca+filamentosa+%27Color+Guard%27&amp;gs_lcp=CgNpbWcQDFAAWABgjaIBaABwAHgAgAEAiAEAkgEAmAEAqgELZ3dzLXdpei1pbWc&amp;sclient=img&amp;ei=5v0-YLKTAu6YtgX0j7WYAw&amp;authuser=1&amp;bih=920&amp;biw=1720&amp;hl=en" TargetMode="External"/><Relationship Id="rId82" Type="http://schemas.openxmlformats.org/officeDocument/2006/relationships/hyperlink" Target="https://www.google.com/search?q=Windmill+Palm+Trachycarpus+fortunei&amp;tbm=isch&amp;ved=2ahUKEwip5cb__p7pAhUV3awKHVzKBnAQ2-cCegQIABAA&amp;oq=Windmill+Palm+Trachycarpus+fortunei&amp;gs_lcp=CgNpbWcQDDIECCMQJzICCAAyBggAEAgQHjIGCAAQCBAeMgYIABAIEB46BAgAEB5QkAxYxQ1g3RVoAHAAeACAAViIAa0BkgEBMpgBAKABAaoBC2d3cy13aXotaW1n&amp;sclient=img&amp;ei=eYyyXunEAZW6swXclJuABw&amp;bih=866&amp;biw=1741" TargetMode="External"/><Relationship Id="rId385" Type="http://schemas.openxmlformats.org/officeDocument/2006/relationships/hyperlink" Target="https://plants.usda.gov/core/profile?symbol=ROSA5" TargetMode="External"/><Relationship Id="rId592" Type="http://schemas.openxmlformats.org/officeDocument/2006/relationships/hyperlink" Target="https://www.google.com/search?q=Shamrock+Inkberry+Holly+Ilex+glabra+%27Shamrock%27&amp;tbm=isch&amp;ved=2ahUKEwiJmubt3vvoAhVGNlMKHZzmAjcQ2-cCegQIABAA&amp;oq=Shamrock+Inkberry+Holly+Ilex+glabra+%27Shamrock%27&amp;gs_lcp=CgNpbWcQDFC87QZYvO0GYLb6BmgAcAB4AIABigGIAYoBkgEDMC4xmAEAoAEBqgELZ3dzLXdpei1pbWc&amp;sclient=img&amp;ei=JxGgXslqxuzMApzNi7gD" TargetMode="External"/><Relationship Id="rId606" Type="http://schemas.openxmlformats.org/officeDocument/2006/relationships/hyperlink" Target="https://www.google.com/search?q=Sugar+and+Spice+Arborvitae+Thuja+plicata+%27De+Rakt%27+PP19926&amp;tbm=isch&amp;ved=2ahUKEwi40dD6gKP0AhVWaKwKHXNTCtMQ2-cCegQIABAA&amp;oq=Sugar+and+Spice+Arborvitae+Thuja+plicata+%27De+Rakt%27+PP19926&amp;gs_lcp=CgNpbWcQDDoGCAAQCBAeUOkcWOkcYOQqaABwAHgAgAFqiAGwAZIBAzEuMZgBAKABAaoBC2d3cy13aXotaW1nwAEB&amp;sclient=img&amp;ei=9tmWYbj-CNbQsQXzpqmYDQ&amp;bih=757&amp;biw=1394&amp;hl=en" TargetMode="External"/><Relationship Id="rId813" Type="http://schemas.openxmlformats.org/officeDocument/2006/relationships/hyperlink" Target="https://www.google.com/search?q=Pink+Gumpo+Azalea+Rhododendron+eriocarpum+%27Gumpo+Pink%27&amp;tbm=isch&amp;ved=2ahUKEwj8w_y-zJmCAxWvFVkFHXkMBzIQ2-cCegQIABAA&amp;oq=Pink+Gumpo+Azalea+Rhododendron+eriocarpum+%27Gumpo+Pink%27&amp;gs_lcp=CgNpbWcQDDIECCMQJ1AAWABglOsBaABwAHgAgAE9iAFwkgEBMpgBAKoBC2d3cy13aXotaW1nwAEB&amp;sclient=img&amp;ei=J3E9ZbyUN6-r5NoP-ZickAM&amp;authuser=1&amp;bih=845&amp;biw=1529" TargetMode="External"/><Relationship Id="rId245" Type="http://schemas.openxmlformats.org/officeDocument/2006/relationships/hyperlink" Target="https://plants.ces.ncsu.edu/plants/ilex-cornuta-dwarf-burford/common-name/dwarf-burford-holly/" TargetMode="External"/><Relationship Id="rId452" Type="http://schemas.openxmlformats.org/officeDocument/2006/relationships/hyperlink" Target="https://www.google.com/search?q=Rebel+Blueberry+Vaccinium++sp.+Hybrid&amp;tbm=isch&amp;ved=2ahUKEwiO1tH17sv3AhWDQ0IHHTEqAP8Q2-cCegQIABAA&amp;oq=Rebel+Blueberry+Vaccinium++sp.+Hybrid&amp;gs_lcp=CgNpbWcQDDoHCCMQ7wMQJ1CxlwVY_rYFYNzFBWgBcAB4AIABaIgB7QKSAQMzLjGYAQCgAQGqAQtnd3Mtd2l6LWltZ8ABAQ&amp;sclient=img&amp;ei=lJl1Yo68J4OHieoPsdSA-A8&amp;bih=876&amp;biw=1435&amp;hl=en" TargetMode="External"/><Relationship Id="rId105" Type="http://schemas.openxmlformats.org/officeDocument/2006/relationships/hyperlink" Target="https://plants.ces.ncsu.edu/plants/lagerstroemia/" TargetMode="External"/><Relationship Id="rId312" Type="http://schemas.openxmlformats.org/officeDocument/2006/relationships/hyperlink" Target="https://plants.ces.ncsu.edu/plants/loropetalum-chinense-f-rubrum/" TargetMode="External"/><Relationship Id="rId757" Type="http://schemas.openxmlformats.org/officeDocument/2006/relationships/hyperlink" Target="https://www.google.com/search?q=Hummingbird+Summersweet+Clethra+alnifolia+%27Hummingbird%27&amp;tbm=isch&amp;ved=2ahUKEwi6_KWVrYv_AhVkEVkFHZeCC4YQ2-cCegQIABAA&amp;oq=Hummingbird+Summersweet+Clethra+alnifolia+%27Hummingbird%27&amp;gs_lcp=CgNpbWcQDDIGCAAQCBAeUJoGWJoGYOAeaABwAHgAgAEwiAFdkgEBMpgBAKABAaoBC2d3cy13aXotaW1nwAEB&amp;sclient=img&amp;ei=p6VsZPqMCOSi5NoPl4WusAg&amp;authuser=1&amp;bih=913&amp;biw=1602" TargetMode="External"/><Relationship Id="rId93" Type="http://schemas.openxmlformats.org/officeDocument/2006/relationships/hyperlink" Target="https://plants.ces.ncsu.edu/plants/pinus-palustris/common-name/longleaf-pine/" TargetMode="External"/><Relationship Id="rId189" Type="http://schemas.openxmlformats.org/officeDocument/2006/relationships/hyperlink" Target="https://plants.ces.ncsu.edu/plants/lagerstroemia-indica/" TargetMode="External"/><Relationship Id="rId396" Type="http://schemas.openxmlformats.org/officeDocument/2006/relationships/hyperlink" Target="https://www.google.com/search?q=Dwarf+Hinoki+Falsecypress+Chamaecyparis+obtusa+%27Nana+Gracilis%27&amp;hl=en&amp;sxsrf=ALeKk02oJVNAyXxgIlEdQCjhLEtcsUA0tw:1614001414178&amp;source=lnms&amp;tbm=isch&amp;sa=X&amp;ved=2ahUKEwimwdXnz_3uAhXULc0KHbcrBBwQ_AUoAnoECBQQBA&amp;biw=1588&amp;bih=866" TargetMode="External"/><Relationship Id="rId617" Type="http://schemas.openxmlformats.org/officeDocument/2006/relationships/hyperlink" Target="https://www.google.com/search?q=Loquat+Eriobotrya+japonica&amp;hl=en&amp;sxsrf=ALeKk02MzjLr-3Rm34c12QzDJdmfxtdQMg:1614001994606&amp;source=lnms&amp;tbm=isch&amp;sa=X&amp;ved=2ahUKEwj977f80f3uAhVEVc0KHTU1D3sQ_AUoAnoECBUQBA&amp;cshid=1614002017613057&amp;biw=1588&amp;bih=866" TargetMode="External"/><Relationship Id="rId824" Type="http://schemas.openxmlformats.org/officeDocument/2006/relationships/hyperlink" Target="https://plants.ces.ncsu.edu/plants/betula-nigra/" TargetMode="External"/><Relationship Id="rId256" Type="http://schemas.openxmlformats.org/officeDocument/2006/relationships/hyperlink" Target="https://www.google.com/search?q=Jazz+Hands+Variegated+Loropetalum+chinense+%27Irodori%27+PP27713&amp;tbm=isch&amp;ved=2ahUKEwiE_P2WlZ_0AhUGnlMKHfOgBBYQ2-cCegQIABAA&amp;oq=Jazz+Hands+Variegated+Loropetalum+chinense+%27Irodori%27+PP27713&amp;gs_lcp=CgNpbWcQDFCoDlioDmC7IGgAcAB4AIABT4gBmQGSAQEymAEAoAEBqgELZ3dzLXdpei1pbWfAAQE&amp;sclient=img&amp;ei=S9aUYcSqFoa8zgLzwZKwAQ&amp;authuser=1&amp;bih=834&amp;biw=1722&amp;safe=active&amp;hl=en" TargetMode="External"/><Relationship Id="rId463" Type="http://schemas.openxmlformats.org/officeDocument/2006/relationships/hyperlink" Target="https://plants.ces.ncsu.edu/plants/vaccinium-corymbosum/" TargetMode="External"/><Relationship Id="rId670" Type="http://schemas.openxmlformats.org/officeDocument/2006/relationships/hyperlink" Target="https://plants.ces.ncsu.edu/plants/salix-caprea/" TargetMode="External"/><Relationship Id="rId116" Type="http://schemas.openxmlformats.org/officeDocument/2006/relationships/hyperlink" Target="https://www.google.com/search?q=Chinese+Fringetree+Chionanthus+retusus&amp;authuser=1&amp;hl=en&amp;source=lnms&amp;tbm=isch&amp;sa=X&amp;ved=2ahUKEwi1tIO0xarzAhUUbs0KHaPzC90Q_AUoAXoECAEQAw&amp;cshid=1633137109677628&amp;biw=1484&amp;bih=702&amp;dpr=1" TargetMode="External"/><Relationship Id="rId323" Type="http://schemas.openxmlformats.org/officeDocument/2006/relationships/hyperlink" Target="https://plants.ces.ncsu.edu/plants/linnaea-x-grandiflora/" TargetMode="External"/><Relationship Id="rId530" Type="http://schemas.openxmlformats.org/officeDocument/2006/relationships/hyperlink" Target="https://www.google.com/search?q=Stella+d%27Oro+Daylily+Hemerocallis+%27Stella+d%27Oro%27&amp;tbm=isch&amp;ved=2ahUKEwjwopSmo_7oAhUUz6wKHR7cCZoQ2-cCegQIABAA&amp;oq=Stella+d%27Oro+Daylily+Hemerocallis+%27Stella+d%27Oro%27&amp;gs_lcp=CgNpbWcQDFDP4gZY5IwHYIeVB2gAcAB4AIABX4gB0QKSAQE0mAEAoAEBqgELZ3dzLXdpei1pbWc&amp;sclient=img&amp;ei=WmWhXvCNEpSeswWeuKfQCQ&amp;bih=876&amp;biw=1452&amp;hl=en" TargetMode="External"/><Relationship Id="rId768" Type="http://schemas.openxmlformats.org/officeDocument/2006/relationships/hyperlink" Target="https://plants.ces.ncsu.edu/plants/ophiopogon-japonicus/" TargetMode="External"/><Relationship Id="rId20" Type="http://schemas.openxmlformats.org/officeDocument/2006/relationships/hyperlink" Target="https://plants.ces.ncsu.edu/plants/cryptomeria-japonica/" TargetMode="External"/><Relationship Id="rId628" Type="http://schemas.openxmlformats.org/officeDocument/2006/relationships/hyperlink" Target="https://plants.ces.ncsu.edu/plants/thuja-green-giant/" TargetMode="External"/><Relationship Id="rId835" Type="http://schemas.openxmlformats.org/officeDocument/2006/relationships/hyperlink" Target="https://www.google.com/search?q=Raspberry+Shortcake+Raspberry+Rubus+idaeus+%27NR7%27&amp;authuser=1&amp;hl=en&amp;source=lnms&amp;tbm=isch&amp;sa=X&amp;ved=2ahUKEwiuhMuO0djxAhVS3p4KHZz_DvUQ_AUoAnoECAEQBA&amp;biw=1781&amp;bih=912" TargetMode="External"/><Relationship Id="rId267" Type="http://schemas.openxmlformats.org/officeDocument/2006/relationships/hyperlink" Target="https://plants.ces.ncsu.edu/plants/ligustrum-japonicum-recurvifolium/common-name/curly-leaf-japanese-privet/" TargetMode="External"/><Relationship Id="rId474" Type="http://schemas.openxmlformats.org/officeDocument/2006/relationships/hyperlink" Target="https://www.google.com/search?q=Dwarf+Maiden+Grass+Miscanthus+sinensis+%27Adagio%27&amp;tbm=isch&amp;ved=2ahUKEwisvJGEgPvoAhUH0lMKHYecD9sQ2-cCegQIABAA&amp;oq=Dwarf+Maiden+Grass+Miscanthus+sinensis+%27Adagio%27&amp;gs_lcp=CgNpbWcQDFDb0AlY29AJYM3ZCWgAcAB4AIABXIgBXJIBATGYAQCgAQGqAQtnd3Mtd2l6LWltZw&amp;sclient=img&amp;ei=uK2fXqyAHoekzwKHub7YDQ&amp;bih=878&amp;biw=1454" TargetMode="External"/><Relationship Id="rId127" Type="http://schemas.openxmlformats.org/officeDocument/2006/relationships/hyperlink" Target="https://www.google.com/search?q=Okame+Cherry+Prunus+x+%27Okame%27&amp;tbm=isch&amp;ved=2ahUKEwiHpcPazvToAhVBRVMKHRdkA0gQ2-cCegQIABAA&amp;oq=Okame+Cherry+Prunus+x+%27Okame%27&amp;gs_lcp=CgNpbWcQDFC1kgFYtZIBYPigAWgAcAB4AIABR4gBR5IBATGYAQCgAQGqAQtnd3Mtd2l6LWltZw&amp;sclient=img&amp;ei=sVScXseIHMGKzQKXyI3ABA&amp;bih=878&amp;biw=1750&amp;hl=en" TargetMode="External"/><Relationship Id="rId681" Type="http://schemas.openxmlformats.org/officeDocument/2006/relationships/hyperlink" Target="https://www.google.com/search?q=Cherokee+Princess+Dogwood+Cornus+florida+%27Cherokee+Princess%27&amp;tbm=isch&amp;ved=2ahUKEwjv-Yrw2dftAhVVQa0KHV-8A10Q2-cCegQIABAA&amp;oq=Cherokee+Princess+Dogwood+Cornus+florida+%27Cherokee+Princess%27&amp;gs_lcp=CgNpbWcQDFAAWABgiqkBaABwAHgAgAEAiAEAkgEAmAEAqgELZ3dzLXdpei1pbWc&amp;sclient=img&amp;ei=b7fcX6-GJdWCtQXf-I7oBQ&amp;bih=854&amp;biw=1661" TargetMode="External"/><Relationship Id="rId779" Type="http://schemas.openxmlformats.org/officeDocument/2006/relationships/hyperlink" Target="https://www.google.com/search?q=Russian+Sage+Salvia+yangii&amp;tbm=isch&amp;ved=2ahUKEwiY1tDqoOz_AhXZJGIAHRSdB-kQ2-cCegQIABAA&amp;oq=Russian+Sage+Salvia+yangii&amp;gs_lcp=CgNpbWcQDDIGCAAQCBAeOgQIIxAnUNwNWPsgYMEraABwAHgAgAE5iAGYAZIBATOYAQCgAQGqAQtnd3Mtd2l6LWltZ8ABAQ&amp;sclient=img&amp;ei=13OfZNiOA9nJiLMPlLqeyA4&amp;bih=850&amp;biw=1593&amp;hl=en" TargetMode="External"/><Relationship Id="rId31" Type="http://schemas.openxmlformats.org/officeDocument/2006/relationships/hyperlink" Target="https://plants.ces.ncsu.edu/plants/juniperus-chinensis/" TargetMode="External"/><Relationship Id="rId334" Type="http://schemas.openxmlformats.org/officeDocument/2006/relationships/hyperlink" Target="https://plants.ces.ncsu.edu/plants/cryptomeria-japonica-globosa-nana/" TargetMode="External"/><Relationship Id="rId541" Type="http://schemas.openxmlformats.org/officeDocument/2006/relationships/hyperlink" Target="https://plants.ces.ncsu.edu/plants/panicum-virgatum/" TargetMode="External"/><Relationship Id="rId639" Type="http://schemas.openxmlformats.org/officeDocument/2006/relationships/hyperlink" Target="https://www.google.com/search?q=Fuyu+Persimmon+Diospyros+kaki+%27Fuyu%27&amp;tbm=isch&amp;ved=2ahUKEwijg_G2tP7oAhUD8awKHcWRC-MQ2-cCegQIABAA&amp;oq=Fuyu+Persimmon+Diospyros+kaki+%27Fuyu%27&amp;gs_lcp=CgNpbWcQDFC35ARYt-QEYPDrBGgAcAB4AIABcIgBcJIBAzAuMZgBAKABAaoBC2d3cy13aXotaW1n&amp;sclient=img&amp;ei=UHehXqObL4PiswXFo66YDg&amp;bih=876&amp;biw=1435&amp;hl=en" TargetMode="External"/><Relationship Id="rId180" Type="http://schemas.openxmlformats.org/officeDocument/2006/relationships/hyperlink" Target="https://www.google.com/search?q=Shoal+Creek+Chaste+Tree+Vitex+agnus-castus+%27Shoal+Creek%27&amp;authuser=1&amp;source=lnms&amp;tbm=isch&amp;sa=X&amp;ved=2ahUKEwiLk8-izu_uAhXLXc0KHak7BT4Q_AUoAXoECBMQAw&amp;cshid=1613519981297361&amp;biw=1335&amp;bih=832" TargetMode="External"/><Relationship Id="rId278" Type="http://schemas.openxmlformats.org/officeDocument/2006/relationships/hyperlink" Target="https://www.google.com/search?q=Zhuzhou+Loropetalum+chinense+rubrum+%27Zhuzhou+Fuchsia%27&amp;safe=active&amp;authuser=1&amp;sxsrf=ALeKk03pqDtedJxSlzT-_XKDFCNYAuK3qQ:1589542921845&amp;source=lnms&amp;tbm=isch&amp;sa=X&amp;ved=2ahUKEwiruNjp5LXpAhVyUt8KHYfqDboQ_AUoAXoECBAQAw&amp;biw=1611&amp;bih=851" TargetMode="External"/><Relationship Id="rId401" Type="http://schemas.openxmlformats.org/officeDocument/2006/relationships/hyperlink" Target="https://www.google.com/search?q=Limelight+Hydrangea+paniculata+%27Limelight%27+PP12874&amp;tbm=isch&amp;ved=2ahUKEwiXyJ2P0Jz0AhVLBFMKHQm6AoEQ2-cCegQIABAA&amp;oq=Limelight+Hydrangea+paniculata+%27Limelight%27+PP12874&amp;gs_lcp=CgNpbWcQDDoHCCMQ7wMQJ1DhEFjhEGD3GmgAcAB4AIABTYgBjwGSAQEymAEAoAEBqgELZ3dzLXdpei1pbWfAAQE&amp;sclient=img&amp;ei=cYGTYdfLI8uIzAKJ9IqICA&amp;bih=895&amp;biw=1562&amp;hl=en" TargetMode="External"/><Relationship Id="rId846" Type="http://schemas.openxmlformats.org/officeDocument/2006/relationships/hyperlink" Target="https://plants.ces.ncsu.edu/plants/dianthus/" TargetMode="External"/><Relationship Id="rId485" Type="http://schemas.openxmlformats.org/officeDocument/2006/relationships/hyperlink" Target="https://www.google.com/search?q=Blue+Angel+Hosta+%27Blue+Angel%27&amp;tbm=isch&amp;ved=2ahUKEwjck8PY7tbyAhVGXawKHTsAAU0Q2-cCegQIABAA&amp;oq=Blue+Angel+Hosta+%27Blue+Angel%27&amp;gs_lcp=CgNpbWcQDFCoIFioIGC2LWgAcAB4AIABVogBVpIBATGYAQCgAQGqAQtnd3Mtd2l6LWltZ8ABAQ&amp;sclient=img&amp;ei=ZNIrYdzRCca6sQW7gIToBA&amp;bih=806&amp;biw=1564&amp;hl=en" TargetMode="External"/><Relationship Id="rId692" Type="http://schemas.openxmlformats.org/officeDocument/2006/relationships/hyperlink" Target="https://plants.ces.ncsu.edu/plants/prunus-armeniaca/" TargetMode="External"/><Relationship Id="rId706" Type="http://schemas.openxmlformats.org/officeDocument/2006/relationships/hyperlink" Target="https://www.google.com/search?q=Yellow-Berried+Nandina+domestica+%27Alba%27&amp;authuser=1&amp;ei=hQwVZLb5J8ep5NoP8Iq40Ak&amp;ved=0ahUKEwj2z8nyouT9AhXHFFkFHXAFDpoQ4dUDCBE&amp;oq=Yellow-Berried+Nandina+domestica+%27Alba%27&amp;gs_lcp=Cgxnd3Mtd2l6LXNlcnAQDDIFCAAQogQyBQgAEKIESgQIQRgAUABYpRhgwShoAHABeACAAW2IAYMCkgEDMi4xmAEAoAECoAEBwAEB&amp;sclient=gws-wiz-serp" TargetMode="External"/><Relationship Id="rId42" Type="http://schemas.openxmlformats.org/officeDocument/2006/relationships/hyperlink" Target="https://www.google.com/search?q=Blue+Point+Juniper+Juniperus+chinensis+%27Blue+Point%27&amp;tbm=isch&amp;ved=2ahUKEwje8IyX2ufoAhVV66wKHfrnAVUQ2-cCegQIABAA&amp;oq=Blue+Point+Juniper+Juniperus+chinensis+%27Blue+Point%27&amp;gs_lcp=CgNpbWcQDFC-hQFYvoUBYKaSAWgAcAB4AIABa4gBa5IBAzAuMZgBAKABAaoBC2d3cy13aXotaW1n&amp;sclient=img&amp;ei=5I-VXt7uKdXWswX6z4eoBQ&amp;bih=831&amp;biw=1428" TargetMode="External"/><Relationship Id="rId138" Type="http://schemas.openxmlformats.org/officeDocument/2006/relationships/hyperlink" Target="https://www.google.com/search?q=Nuttall+Oak+Quercus+nuttallii&amp;tbm=isch&amp;ved=2ahUKEwiqy-e__fHoAhVLiFMKHeKrDZUQ2-cCegQIABAA&amp;oq=Nuttall+Oak+Quercus+nuttallii&amp;gs_lcp=CgNpbWcQDDIGCAAQCBAeUPIhWPIhYNtxaABwAHgAgAFUiAFUkgEBMZgBAKABAaoBC2d3cy13aXotaW1n&amp;sclient=img&amp;ei=GvOaXqrWKcuQzgLi17aoCQ&amp;bih=887&amp;biw=1784" TargetMode="External"/><Relationship Id="rId345" Type="http://schemas.openxmlformats.org/officeDocument/2006/relationships/hyperlink" Target="https://www.google.com/search?q=Daruma+Loropetalum+chinense+var.+rubrum+%27Daruma%27&amp;tbm=isch&amp;ved=2ahUKEwjT9fCwlpDyAhUWL60KHdqYAP0Q2-cCegQIABAA&amp;oq=Daruma+Loropetalum+chinense+var.+rubrum+%27Daruma%27&amp;gs_lcp=CgNpbWcQDFDKvQFYyr0BYIPLAWgAcAB4AIABXIgBXJIBATGYAQCgAQGqAQtnd3Mtd2l6LWltZ8ABAQ&amp;sclient=img&amp;ei=jcIGYZN7lt60BdqxgugP&amp;bih=878&amp;biw=1437&amp;hl=en&amp;hl=en" TargetMode="External"/><Relationship Id="rId552" Type="http://schemas.openxmlformats.org/officeDocument/2006/relationships/hyperlink" Target="https://www.google.com/search?q=Blue+Cadet+Hosta&amp;tbm=isch&amp;ved=2ahUKEwj49Z_40KX9AhVRJGIAHaqDDx0Q2-cCegQIABAA&amp;oq=Blue+Cadet+Hosta&amp;gs_lcp=CgNpbWcQDDIECCMQJzIFCAAQgAQyBQgAEIAEMgYIABAIEB4yBggAEAgQHlCqCViqCWDGF2gAcAB4AIABRogBdpIBATKYAQCgAQGqAQtnd3Mtd2l6LWltZ8ABAQ&amp;sclient=img&amp;ei=FjX0Y_iSBNHIiLMPqoe-6AE&amp;bih=876&amp;biw=1452&amp;hl=en" TargetMode="External"/><Relationship Id="rId191" Type="http://schemas.openxmlformats.org/officeDocument/2006/relationships/hyperlink" Target="https://plants.ces.ncsu.edu/plants/magnolia-stellata/common-name/star-magnolia/" TargetMode="External"/><Relationship Id="rId205" Type="http://schemas.openxmlformats.org/officeDocument/2006/relationships/hyperlink" Target="https://www.google.com/search?q=Amber+Glow+Redwood+Metasequoia+glyptostroboides+%27WAH-08AG%27+PP29472&amp;tbm=isch&amp;ved=2ahUKEwiKyJjVzZH0AhXOaKwKHSCSDaYQ2-cCegQIABAA&amp;oq=Amber+Glow+Redwood+Metasequoia+glyptostroboides+%27WAH-08AG%27+PP29472&amp;gs_lcp=CgNpbWcQDFAAWABgAGgAcAB4AIABAIgBAJIBAJgBAKoBC2d3cy13aXotaW1n&amp;sclient=img&amp;ei=ebqNYcqnNc7RsQWgpLawCg&amp;bih=866&amp;biw=1359&amp;hl=en" TargetMode="External"/><Relationship Id="rId412" Type="http://schemas.openxmlformats.org/officeDocument/2006/relationships/hyperlink" Target="https://plants.ces.ncsu.edu/plants/thuja-occidentalis/" TargetMode="External"/><Relationship Id="rId857" Type="http://schemas.openxmlformats.org/officeDocument/2006/relationships/hyperlink" Target="https://plants.ces.ncsu.edu/plants/citrus-x-aurantiifolia/common-name/key-lime/" TargetMode="External"/><Relationship Id="rId289" Type="http://schemas.openxmlformats.org/officeDocument/2006/relationships/hyperlink" Target="https://www.google.com/search?q=Crimson+Pygmy+Barberry+Berberis+thunbergii+%27Crimson+Pygmy%27&amp;authuser=1&amp;hl=en&amp;source=lnms&amp;tbm=isch&amp;sa=X&amp;ved=2ahUKEwj_pYGevL7yAhVFQjABHe3BCW0Q_AUoAXoECAEQAw&amp;biw=1489&amp;bih=877" TargetMode="External"/><Relationship Id="rId496" Type="http://schemas.openxmlformats.org/officeDocument/2006/relationships/hyperlink" Target="https://plants.ces.ncsu.edu/plants/liriope-muscari/" TargetMode="External"/><Relationship Id="rId717" Type="http://schemas.openxmlformats.org/officeDocument/2006/relationships/hyperlink" Target="https://www.trees2go.com/wp-content/uploads/2021/04/LadyBanksClimbingRose-scaled-e1618686226527.jpeg" TargetMode="External"/><Relationship Id="rId53" Type="http://schemas.openxmlformats.org/officeDocument/2006/relationships/hyperlink" Target="https://www.google.com/search?q=Oak+Leaf+Holly+Ilex+x+%27Conaf&amp;tbm=isch&amp;ved=2ahUKEwiYttzIu4z0AhUQ9awKHcohDTkQ2-cCegQIABAA&amp;oq=Oak+Leaf+Holly+Ilex+x+%27Conaf&amp;gs_lcp=CgNpbWcQDDoHCCMQ7wMQJ1D7GljkJmCYN2gAcAB4AIABdIgBrAOSAQMxLjOYAQCgAQGqAQtnd3Mtd2l6LWltZ8ABAQ&amp;sclient=img&amp;ei=aQiLYdjdC5DqswXKw7TIAw&amp;bih=831&amp;biw=1428" TargetMode="External"/><Relationship Id="rId149" Type="http://schemas.openxmlformats.org/officeDocument/2006/relationships/hyperlink" Target="https://www.google.com/search?q=October+Glory+Red+Maple+Acer+rubrum+%27October+Glory%27&amp;tbm=isch&amp;ved=2ahUKEwiWm4yDxfToAhVJhVMKHQdpC2YQ2-cCegQIABAA&amp;oq=October+Glory+Red+Maple+Acer+rubrum+%27October+Glory%27&amp;gs_lcp=CgNpbWcQDFCZ3QNYmd0DYL3mA2gAcAB4AIABRYgBRZIBATGYAQCgAQGqAQtnd3Mtd2l6LWltZw&amp;sclient=img&amp;ei=ikqcXpauC8mKzgKH0q2wBg&amp;bih=878&amp;biw=1750&amp;hl=en" TargetMode="External"/><Relationship Id="rId356" Type="http://schemas.openxmlformats.org/officeDocument/2006/relationships/hyperlink" Target="https://www.google.com/search?q=Globosa+Nana+Cryptomeria+japonica+%27Globosa+Nana%27&amp;tbm=isch&amp;ved=2ahUKEwi535Xk5ZfyAhUGRlMKHc0RBLkQ2-cCegQIABAA&amp;oq=Globosa+Nana+Cryptomeria+japonica+%27Globosa+Nana%27&amp;gs_lcp=CgNpbWcQDDIGCAAQBxAeUOI8WOI8YONHaABwAHgAgAFfiAFfkgEBMZgBAKABAaoBC2d3cy13aXotaW1nwAEB&amp;sclient=img&amp;ei=VcEKYfngCIaMzQLNo5DICw&amp;bih=878&amp;biw=1750&amp;hl=en" TargetMode="External"/><Relationship Id="rId563" Type="http://schemas.openxmlformats.org/officeDocument/2006/relationships/hyperlink" Target="https://www.google.com/search?q=Paperbark+Maple+Acer+griseum&amp;authuser=1&amp;sxsrf=ALeKk01ppquKtgbDCOHCMPEx7jb27-y2pQ:1616699411451&amp;source=lnms&amp;tbm=isch&amp;sa=X&amp;ved=2ahUKEwjn4YLRkszvAhWltTEKHaWOACgQ_AUoAnoECAIQBA&amp;cshid=1616699504784976&amp;biw=1433&amp;bih=839" TargetMode="External"/><Relationship Id="rId770" Type="http://schemas.openxmlformats.org/officeDocument/2006/relationships/hyperlink" Target="https://plants.ces.ncsu.edu/plants/ophiopogon-planiscapus/common-name/black-mondo-grass/" TargetMode="External"/><Relationship Id="rId216" Type="http://schemas.openxmlformats.org/officeDocument/2006/relationships/hyperlink" Target="https://www.google.com/search?q=Starlight+Dogwood+Cornus+x+elwinortonii+%27Starlight%E2%80%99&amp;tbm=isch&amp;ved=2ahUKEwjAmorD0PToAhUazKwKHWk8DeEQ2-cCegQIABAA&amp;oq=Starlight+Dogwood+Cornus+x+elwinortonii+%27Starlight%E2%80%99&amp;gs_lcp=CgNpbWcQDDoECCMQJ1CADViRF2DeI2gAcAB4AIABjgGIAZ0FkgEDNy4xmAEAoAEBqgELZ3dzLXdpei1pbWc&amp;sclient=img&amp;ei=mVacXoDqCZqYswXp-LSIDg&amp;bih=878&amp;biw=1750&amp;hl=en" TargetMode="External"/><Relationship Id="rId423" Type="http://schemas.openxmlformats.org/officeDocument/2006/relationships/hyperlink" Target="https://www.google.com/search?q=Pugster+Pinker%C2%AE+Butterfly+Bush+Buddleia+%27SMNBDPT%27+PP33%2C565&amp;tbm=isch&amp;ved=2ahUKEwi_8MmZ8ab9AhU3CmIAHerEDQwQ2-cCegQIABAA&amp;oq=Pugster+Pinker%C2%AE+Butterfly+Bush+Buddleia+%27SMNBDPT%27+PP33%2C565&amp;gs_lcp=CgNpbWcQAzoECCMQJ1CeD1ieD2CtJWgAcAB4AIABTYgBkgGSAQEymAEAoAEBqgELZ3dzLXdpei1pbWfAAQE&amp;sclient=img&amp;ei=Id30Y__bJreUiLMP6om3YA&amp;bih=872&amp;biw=1484&amp;hl=en" TargetMode="External"/><Relationship Id="rId630" Type="http://schemas.openxmlformats.org/officeDocument/2006/relationships/hyperlink" Target="https://www.missouribotanicalgarden.org/PlantFinder/PlantFinderDetails.aspx?taxonid=249452&amp;isprofile=1&amp;basic=bracken" TargetMode="External"/><Relationship Id="rId728" Type="http://schemas.openxmlformats.org/officeDocument/2006/relationships/hyperlink" Target="https://www.google.com/search?q=Kleim%27s+Hardy+Gardenia+Gardenia+jasminoides+%27Kleim%27s+Hardy%27&amp;tbm=isch&amp;ved=2ahUKEwjr6b_e6JTsAhUFG6wKHdFFBQgQ2-cCegQIABAA&amp;oq=Kleim%27s+Hardy+Gardenia+Gardenia+jasminoides+%27Kleim%27s+Hardy%27&amp;gs_lcp=CgNpbWcQDDIECCMQJzIECCMQJ1DqOFjPRGD9TWgAcAB4AIABV4gBggOSAQE1mAEAoAEBqgELZ3dzLXdpei1pbWfAAQE&amp;sclient=img&amp;ei=kIp2X-vhEIW2sAXRi5VA&amp;authuser=1&amp;bih=882&amp;biw=1705&amp;hl=en" TargetMode="External"/><Relationship Id="rId64" Type="http://schemas.openxmlformats.org/officeDocument/2006/relationships/hyperlink" Target="https://plants.ces.ncsu.edu/plants/thuja-plicata/" TargetMode="External"/><Relationship Id="rId367" Type="http://schemas.openxmlformats.org/officeDocument/2006/relationships/hyperlink" Target="https://plants.ces.ncsu.edu/plants/rosa/" TargetMode="External"/><Relationship Id="rId574" Type="http://schemas.openxmlformats.org/officeDocument/2006/relationships/hyperlink" Target="https://www.google.com/search?q=Little+Gem+Magnolia+grandiflora+%27Little+Gem%27&amp;tbm=isch&amp;ved=2ahUKEwiAx4fkyKX9AhVqBlkFHQrRAcAQ2-cCegQIABAA&amp;oq=Little+Gem+Magnolia+grandiflora+%27Little+Gem%27&amp;gs_lcp=CgNpbWcQDDIGCAAQBxAeMgYIABAIEB46BAgjECdQ-A1YiUlg53xoAHAAeACAAU2IAeUBkgEBNJgBAKABAaoBC2d3cy13aXotaW1nwAEB&amp;sclient=img&amp;ei=iCz0Y4DjDuqM5NoPiqKHgAw&amp;bih=868&amp;biw=1586" TargetMode="External"/><Relationship Id="rId227" Type="http://schemas.openxmlformats.org/officeDocument/2006/relationships/hyperlink" Target="https://plants.ces.ncsu.edu/plants/musa-basjoo/common-name/hardy-banana/" TargetMode="External"/><Relationship Id="rId781" Type="http://schemas.openxmlformats.org/officeDocument/2006/relationships/hyperlink" Target="https://www.google.com/search?q=Gold+Mop+Cypress+Chamaecyparis+pisifera+%27Golden+Mop%27&amp;authuser=1&amp;hl=en&amp;sxsrf=ALeKk02bBK8kDxsVh_n0UGatS-9BezGdfA:1596941303981&amp;source=lnms&amp;tbm=isch&amp;sa=X&amp;ved=2ahUKEwi8g5r5jY3rAhWWaM0KHWAfDGQQ_AUoAnoECA4QBA&amp;biw=1772&amp;bih=841" TargetMode="External"/><Relationship Id="rId434" Type="http://schemas.openxmlformats.org/officeDocument/2006/relationships/hyperlink" Target="https://www.google.com/search?q=Red+Drift+Rose+Rosa+%27Meigalpio%27+PP17877&amp;tbm=isch&amp;ved=2ahUKEwjR5c788pD0AhUO_6wKHYKYBeMQ2-cCegQIABAA&amp;oq=Red+Drift+Rose+Rosa+%27Meigalpio%27+PP17877&amp;gs_lcp=CgNpbWcQDDoHCCMQ7wMQJ1D6CVj6CWDaMWgAcAB4AIABzQKIAdcEkgEFMi0xLjGYAQCgAQGqAQtnd3Mtd2l6LWltZ8ABAQ&amp;sclient=img&amp;ei=YFuNYdG1OI7-swWCsZaYDg&amp;bih=867&amp;biw=1482&amp;hl=en" TargetMode="External"/><Relationship Id="rId641" Type="http://schemas.openxmlformats.org/officeDocument/2006/relationships/hyperlink" Target="https://plants.ces.ncsu.edu/plants/malus-domestica-gala/common-name/gala-apple/" TargetMode="External"/><Relationship Id="rId739" Type="http://schemas.openxmlformats.org/officeDocument/2006/relationships/hyperlink" Target="https://plants.ces.ncsu.edu/plants/cornus-florida/" TargetMode="External"/><Relationship Id="rId280" Type="http://schemas.openxmlformats.org/officeDocument/2006/relationships/hyperlink" Target="https://www.google.com/search?q=Hardy+Anise+Shrub+Illicium+parviflorum&amp;tbm=isch&amp;ved=2ahUKEwiPhICD96fzAhUGslMKHWOPASYQ2-cCegQIABAA&amp;oq=Hardy+Anise+Shrub+Illicium+parviflorum&amp;gs_lcp=CgNpbWcQDDoGCAAQBxAeOgUIABCABDoGCAAQCBAeUJYoWPNfYIBwaABwAHgAgAFUiAHmBpIBAjEzmAEAoAEBqgELZ3dzLXdpei1pbWfAAQE&amp;sclient=img&amp;ei=w1JWYc-WIIbkzgLjnoawAg&amp;authuser=1&amp;bih=863&amp;biw=1646&amp;hl=en" TargetMode="External"/><Relationship Id="rId501" Type="http://schemas.openxmlformats.org/officeDocument/2006/relationships/hyperlink" Target="https://www.google.com/search?q=Big+Blue+Liriope+muscari+%27Big+Blue%27&amp;tbm=isch&amp;ved=2ahUKEwiX38GE5M7yAhVD9qwKHbdoDIMQ2-cCegQIABAA&amp;oq=Big+Blue+Liriope+muscari+%27Big+Blue%27&amp;gs_lcp=CgNpbWcQDDIGCAAQBxAeUKBkWKBkYO1xaABwAHgAgAFViAFVkgEBMZgBAKABAaoBC2d3cy13aXotaW1nwAEB&amp;sclient=img&amp;ei=eZUnYde-K8PsswW30bGYCA&amp;bih=829&amp;biw=1454&amp;hl=en" TargetMode="External"/><Relationship Id="rId75" Type="http://schemas.openxmlformats.org/officeDocument/2006/relationships/hyperlink" Target="https://plants.ces.ncsu.edu/plants/osmanthus-x-fortunei/common-name/fortunes-osmanthus/" TargetMode="External"/><Relationship Id="rId140" Type="http://schemas.openxmlformats.org/officeDocument/2006/relationships/hyperlink" Target="https://www.google.com/search?q=American+Beech+Fagus+grandifolia&amp;tbm=isch&amp;ved=2ahUKEwinuPTzvfToAhWDLVMKHVsxAGcQ2-cCegQIABAA&amp;oq=American+Beech+Fagus+grandifolia&amp;gs_lcp=CgNpbWcQDDICCAAyBggAEAgQHlCgjgdYoI4HYNCZB2gAcAB4AIABYIgBYJIBATGYAQCgAQGqAQtnd3Mtd2l6LWltZw&amp;sclient=img&amp;ei=E0OcXufiEYPbzALb4oC4Bg&amp;bih=878&amp;biw=1767" TargetMode="External"/><Relationship Id="rId378" Type="http://schemas.openxmlformats.org/officeDocument/2006/relationships/hyperlink" Target="https://www.google.com/search?q=Penny+Mac+Hydrangea+Hydrangea+macrophylla+%27Penny+Mac%27&amp;tbm=isch&amp;ved=2ahUKEwihs4LS_sbrAhXE0VMKHaviBysQ2-cCegQIABAA&amp;oq=Penny+Mac+Hydrangea+Hydrangea+macrophylla+%27Penny+Mac%27&amp;gs_lcp=CgNpbWcQDDoECAAQHlC75QVY-4AJYPCLCWgAcAB4AIABRYgBhAGSAQEymAEAoAEBqgELZ3dzLXdpei1pbWfAAQE&amp;sclient=img&amp;ei=jLxNX6G9BcSjzwKrxZ_YAg&amp;authuser=1&amp;bih=852&amp;biw=1669&amp;hl=en" TargetMode="External"/><Relationship Id="rId585" Type="http://schemas.openxmlformats.org/officeDocument/2006/relationships/hyperlink" Target="https://www.google.com/search?q=Pardon+Me+Daylily+Hemerocallis+%27Pardon+Me%27&amp;tbm=isch&amp;ved=2ahUKEwiz4qHboLfpAhXQs1MKHZuFDZ0Q2-cCegQIABAA&amp;oq=Pardon+Me+Daylily+Hemerocallis+%27Pardon+Me%27&amp;gs_lcp=CgNpbWcQDFDyuw1Y8rsNYNvVDWgAcAB4AIABaYgBaZIBAzAuMZgBAKABAaoBC2d3cy13aXotaW1n&amp;sclient=img&amp;ei=DUW_XvOnG9DnzgKbi7boCQ&amp;authuser=1&amp;bih=851&amp;biw=1611&amp;hl=en" TargetMode="External"/><Relationship Id="rId792" Type="http://schemas.openxmlformats.org/officeDocument/2006/relationships/hyperlink" Target="https://plants.ces.ncsu.edu/plants/cercis-canadensis/" TargetMode="External"/><Relationship Id="rId806" Type="http://schemas.openxmlformats.org/officeDocument/2006/relationships/hyperlink" Target="https://www.google.com/search?q=Trautman+Juniper+Juniperus+chinensis+%E2%80%98Trautman%27&amp;tbm=isch&amp;ved=2ahUKEwjQjrHw2p2BAxXoBlkFHZGzCzcQ2-cCegQIABAA&amp;oq=Trautman+Juniper+Juniperus+chinensis+%E2%80%98Trautman%27&amp;gs_lcp=CgNpbWcQDDoECCMQJ1COH1iOH2DuK2gAcAB4AIABNogBaZIBATKYAQCgAQGqAQtnd3Mtd2l6LWltZ8ABAQ&amp;sclient=img&amp;ei=Pn38ZND3A-iN5NoPkeeuuAM&amp;bih=757&amp;biw=1394&amp;hl=en" TargetMode="External"/><Relationship Id="rId6" Type="http://schemas.openxmlformats.org/officeDocument/2006/relationships/hyperlink" Target="https://plants.ces.ncsu.edu/plants/x-gordlinia-grandiflora-sweet-tea/common-name/sweet-tea-mountain-gordlinia/" TargetMode="External"/><Relationship Id="rId238" Type="http://schemas.openxmlformats.org/officeDocument/2006/relationships/hyperlink" Target="https://www.google.com/search?q=Steeds+Holly+Ilex+crenata+%27Steeds%27&amp;tbm=isch&amp;ved=2ahUKEwjPq_KB_6v9AhU1M1kFHXCOC20Q2-cCegQIABAA&amp;oq=Steeds+Holly+Ilex+crenata+%27Steeds%27&amp;gs_lcp=CgNpbWcQA1DGFFjGFGDuGGgAcAB4AIABOogBcpIBATKYAQCgAQGqAQtnd3Mtd2l6LWltZ8ABAQ&amp;sclient=img&amp;ei=tIr3Y8-BLrXm5NoP8Jyu6AY&amp;authuser=1&amp;bih=868&amp;biw=1599" TargetMode="External"/><Relationship Id="rId445" Type="http://schemas.openxmlformats.org/officeDocument/2006/relationships/hyperlink" Target="https://plants.ces.ncsu.edu/plants/ficus-carica-brown-turkey/common-name/brown-turkey-fig/" TargetMode="External"/><Relationship Id="rId652" Type="http://schemas.openxmlformats.org/officeDocument/2006/relationships/hyperlink" Target="https://plants.ces.ncsu.edu/plants/styrax-japonicus/" TargetMode="External"/><Relationship Id="rId291" Type="http://schemas.openxmlformats.org/officeDocument/2006/relationships/hyperlink" Target="https://plants.ces.ncsu.edu/plants/berberis-thunbergii-aurea/common-name/golden-barberry/" TargetMode="External"/><Relationship Id="rId305" Type="http://schemas.openxmlformats.org/officeDocument/2006/relationships/hyperlink" Target="https://www.google.com/search?q=Frostproof+Gardenia+jasminoides+%27Frostproof%27&amp;tbm=isch&amp;ved=2ahUKEwjKnKfG5pfyAhUDO1MKHb-lAc8Q2-cCegQIABAA&amp;oq=Frostproof+Gardenia+jasminoides+%27Frostproof%27&amp;gs_lcp=CgNpbWcQDFDXUFjXUGCnXGgAcAB4AIABRogBRpIBATGYAQCgAQGqAQtnd3Mtd2l6LWltZ8ABAQ&amp;sclient=img&amp;ei=IsIKYcqDOoP2zAK_y4b4DA&amp;authuser=1&amp;bih=836&amp;biw=1632" TargetMode="External"/><Relationship Id="rId512" Type="http://schemas.openxmlformats.org/officeDocument/2006/relationships/hyperlink" Target="https://www.google.com/search?q=Ogon+Sweet+Flag+Acorus+gramineus+%27Ogon%27&amp;tbm=isch&amp;ved=2ahUKEwjZxvjK2r73AhUCU80KHVkBBq4Q2-cCegQIABAA&amp;oq=Ogon+Sweet+Flag+Acorus+gramineus+%27Ogon%27&amp;gs_lcp=CgNpbWcQAzIHCCMQ7wMQJ1C2DFi2DGDEEGgAcAB4AIABZ4gBzQGSAQMwLjKYAQCgAQGqAQtnd3Mtd2l6LWltZ8ABAQ&amp;sclient=img&amp;ei=bbNuYpncMIKmtQbZgpjwCg&amp;authuser=1&amp;bih=793&amp;biw=1449" TargetMode="External"/><Relationship Id="rId86" Type="http://schemas.openxmlformats.org/officeDocument/2006/relationships/hyperlink" Target="https://plants.ces.ncsu.edu/plants/viburnum-awabuki-chindo/common-name/chindo-viburnum/" TargetMode="External"/><Relationship Id="rId151" Type="http://schemas.openxmlformats.org/officeDocument/2006/relationships/hyperlink" Target="https://www.google.com/search?q=Bald+Cypress+Taxodium+distichum&amp;authuser=1&amp;sxsrf=ALeKk00aTnz66LLr5NcHgw6hUxaSjO2VlQ:1587433494291&amp;source=lnms&amp;tbm=isch&amp;sa=X&amp;ved=2ahUKEwi_j6DMsvjoAhVQmK0KHWX2ArwQ_AUoAXoECBwQAw&amp;biw=1454&amp;bih=878" TargetMode="External"/><Relationship Id="rId389" Type="http://schemas.openxmlformats.org/officeDocument/2006/relationships/hyperlink" Target="https://www.google.com/search?q=Double+Red+Knock+Out+Rose+Rosa+%27Radtko%27+PP16202+CPBR3104&amp;tbm=isch&amp;ved=2ahUKEwintOfLk6T0AhUMT6wKHSFAD7MQ2-cCegQIABAA&amp;oq=Double+Red+Knock+Out+Rose+Rosa+%27Radtko%27+PP16202+CPBR3104&amp;gs_lcp=CgNpbWcQDDoHCCMQ7wMQJ1CsCFisCGD2FmgAcAB4AIABXogBuQGSAQEymAEAoAEBqgELZ3dzLXdpei1pbWfAAQE&amp;sclient=img&amp;ei=t3OXYef8OoyesQWhgL2YCw&amp;bih=878&amp;biw=1437&amp;hl=en" TargetMode="External"/><Relationship Id="rId596" Type="http://schemas.openxmlformats.org/officeDocument/2006/relationships/hyperlink" Target="https://www.google.com/search?q=Tuscarora+Crape+Myrtle+Lagerstroemia+indica+x+faurei+%27Tuscarora%27&amp;tbm=isch&amp;ved=2ahUKEwiyl_Wt1vToAhUKsFMKHb5UBAEQ2-cCegQIABAA&amp;oq=Tuscarora+Crape+Myrtle+Lagerstroemia+indica+x+faurei+%27Tuscarora%27&amp;gs_lcp=CgNpbWcQDFDWvwRYyoYFYOOVBWgAcAB4AIABXIgBmQGSAQEymAEAoAEBqgELZ3dzLXdpei1pbWc&amp;sclient=img&amp;ei=t1ycXvLfF4rgzgK-qZEI&amp;bih=878&amp;biw=1750&amp;hl=en" TargetMode="External"/><Relationship Id="rId817" Type="http://schemas.openxmlformats.org/officeDocument/2006/relationships/hyperlink" Target="https://plants.ces.ncsu.edu/plants/thuja-occidentalis/" TargetMode="External"/><Relationship Id="rId249" Type="http://schemas.openxmlformats.org/officeDocument/2006/relationships/hyperlink" Target="https://www.google.com/search?q=Spring+Bouquet+Viburnum+tinus+%27Compactum%27&amp;tbm=isch&amp;ved=2ahUKEwjC2vHYtpfyAhUYyKwKHcZ4AiEQ2-cCegQIABAA&amp;oq=Spring+Bouquet+Viburnum+tinus+%27Compactum%27&amp;gs_lcp=CgNpbWcQDFDQRViaWmDua2gAcAB4AIABWYgB9gWSAQE5mAEAoAEBqgELZ3dzLXdpei1pbWfAAQE&amp;sclient=img&amp;ei=9Y8KYYKMAZiQswXG8YmIAg&amp;authuser=1&amp;bih=852&amp;biw=1634" TargetMode="External"/><Relationship Id="rId456" Type="http://schemas.openxmlformats.org/officeDocument/2006/relationships/hyperlink" Target="https://plants.ces.ncsu.edu/plants/callicarpa-americana/common-name/american-beautyberry/" TargetMode="External"/><Relationship Id="rId663" Type="http://schemas.openxmlformats.org/officeDocument/2006/relationships/hyperlink" Target="https://plants.ces.ncsu.edu/plants/acer-palmatum/" TargetMode="External"/><Relationship Id="rId13" Type="http://schemas.openxmlformats.org/officeDocument/2006/relationships/hyperlink" Target="https://plants.ces.ncsu.edu/plants/thuja-plicata/" TargetMode="External"/><Relationship Id="rId109" Type="http://schemas.openxmlformats.org/officeDocument/2006/relationships/hyperlink" Target="https://www.trees2go.com/grower-four/" TargetMode="External"/><Relationship Id="rId316" Type="http://schemas.openxmlformats.org/officeDocument/2006/relationships/hyperlink" Target="https://plants.ces.ncsu.edu/plants/nandina-domestica-gulf-stream/common-name/gulf-stream-nandina/" TargetMode="External"/><Relationship Id="rId523" Type="http://schemas.openxmlformats.org/officeDocument/2006/relationships/hyperlink" Target="https://plants.ces.ncsu.edu/plants/vaccinium/" TargetMode="External"/><Relationship Id="rId97" Type="http://schemas.openxmlformats.org/officeDocument/2006/relationships/hyperlink" Target="https://www.google.com/search?hl=en&amp;tbm=isch&amp;sxsrf=ALeKk02WFhSLQtkiHpfrJuvYL8yIQGNXGA%3A1585695195822&amp;source=hp&amp;biw=1640&amp;bih=830&amp;ei=28mDXua6LoaAtQXFn4v4AQ&amp;q=Loblolly+Pine+pinus+taeda&amp;oq=Loblolly+Pine+pinus+taeda&amp;gs_lcp=CgNpbWcQDDICCAA6BwgjEOoCECdQ4aruEljhqu4SYKu77hJoBXAAeACAAWGIAWGSAQExmAEAoAECoAEBqgELZ3dzLXdpei1pbWewAQo&amp;sclient=img&amp;ved=0ahUKEwimlPb25sXoAhUGQK0KHcXPAh8Q4dUDCAY" TargetMode="External"/><Relationship Id="rId730" Type="http://schemas.openxmlformats.org/officeDocument/2006/relationships/hyperlink" Target="https://www.google.com/search?q=Strawberry+Shortcake+Wax+Myrtle+Myrica+cerifera+%E2%80%98Strawberry+Shortcake%E2%80%99&amp;tbm=isch&amp;ved=2ahUKEwj_jeWik5n5AhUHlGoFHQToDs8Q2-cCegQIABAA&amp;oq=Strawberry+Shortcake+Wax+Myrtle+Myrica+cerifera+%E2%80%98Strawberry+Shortcake%E2%80%99&amp;gs_lcp=CgNpbWcQDDoFCAAQgAQ6BggAEB4QCFD_DlihW2CNZ2gAcAB4AIABVIgBsAKSAQE0mAEAoAEBqgELZ3dzLXdpei1pbWfAAQE&amp;sclient=img&amp;ei=VTrhYr-PF4eoqtsPhNC7-Aw&amp;bih=876&amp;biw=1499&amp;hl=en" TargetMode="External"/><Relationship Id="rId828" Type="http://schemas.openxmlformats.org/officeDocument/2006/relationships/hyperlink" Target="https://plants.ces.ncsu.edu/plants/ginkgo-biloba/common-name/ginkgo/" TargetMode="External"/><Relationship Id="rId162" Type="http://schemas.openxmlformats.org/officeDocument/2006/relationships/hyperlink" Target="https://plants.ces.ncsu.edu/plants/quercus-shumardii/common-name/shumard-oak/" TargetMode="External"/><Relationship Id="rId467" Type="http://schemas.openxmlformats.org/officeDocument/2006/relationships/hyperlink" Target="https://plants.ces.ncsu.edu/plants/ficus-carica/" TargetMode="External"/><Relationship Id="rId674" Type="http://schemas.openxmlformats.org/officeDocument/2006/relationships/hyperlink" Target="https://plants.ces.ncsu.edu/plants/nandina-domestica/" TargetMode="External"/><Relationship Id="rId24" Type="http://schemas.openxmlformats.org/officeDocument/2006/relationships/hyperlink" Target="https://plants.ces.ncsu.edu/plants/juniperus-chinensis/" TargetMode="External"/><Relationship Id="rId327" Type="http://schemas.openxmlformats.org/officeDocument/2006/relationships/hyperlink" Target="https://plants.ces.ncsu.edu/plants/buxus-microphylla/" TargetMode="External"/><Relationship Id="rId534" Type="http://schemas.openxmlformats.org/officeDocument/2006/relationships/hyperlink" Target="https://plants.ces.ncsu.edu/plants/muhlenbergia-capillaris/common-name/pink-muhly/" TargetMode="External"/><Relationship Id="rId741" Type="http://schemas.openxmlformats.org/officeDocument/2006/relationships/hyperlink" Target="https://plants.ces.ncsu.edu/plants/hesperocyparis-arizonica/common-name/arizona-cypress/" TargetMode="External"/><Relationship Id="rId839" Type="http://schemas.openxmlformats.org/officeDocument/2006/relationships/hyperlink" Target="https://plants.ces.ncsu.edu/plants/prunus-caroliniana/" TargetMode="External"/><Relationship Id="rId173" Type="http://schemas.openxmlformats.org/officeDocument/2006/relationships/hyperlink" Target="https://plants.ces.ncsu.edu/plants/ulmus-parvifolia/" TargetMode="External"/><Relationship Id="rId380" Type="http://schemas.openxmlformats.org/officeDocument/2006/relationships/hyperlink" Target="https://plants.ces.ncsu.edu/plants/hydrangea-paniculata/" TargetMode="External"/><Relationship Id="rId601" Type="http://schemas.openxmlformats.org/officeDocument/2006/relationships/hyperlink" Target="https://www.google.com/search?q=Fanal+Goat%27s+Beard+Astilbe+x+arendsii+%27Fanal%27&amp;tbm=isch&amp;ved=2ahUKEwiqxe-w2eD-AhW1EmIAHaU5CsUQ2-cCegQIABAA&amp;oq=Fanal+Goat%27s+Beard+Astilbe+x+arendsii+%27Fanal%27&amp;gs_lcp=CgNpbWcQDDoECCMQJ1DHEFjVjQFg7aoBaABwAHgAgAE8iAGbBJIBAjExmAEAoAEBqgELZ3dzLXdpei1pbWfAAQE&amp;sclient=img&amp;ei=p0hWZOrVFrWliLMPpfOoqAw&amp;bih=876&amp;biw=1435&amp;hl=en" TargetMode="External"/><Relationship Id="rId240" Type="http://schemas.openxmlformats.org/officeDocument/2006/relationships/hyperlink" Target="https://plants.ces.ncsu.edu/plants/euonymus-japonicus-aureomarginatus/" TargetMode="External"/><Relationship Id="rId478" Type="http://schemas.openxmlformats.org/officeDocument/2006/relationships/hyperlink" Target="https://www.google.com/search?q=Sum+%26+Substance+Hosta+%27Sum+%26+Substance%27&amp;tbm=isch&amp;ved=2ahUKEwj7hKiC9t3yAhWFmVMKHdlyCkYQ2-cCegQIABAA&amp;oq=Sum+%26+Substance+Hosta+%27Sum+%26+Substance%27&amp;gs_lcp=CgNpbWcQDFCnfVinfWCMjQFoAHAAeACAAU2IAU2SAQExmAEAoAEBqgELZ3dzLXdpei1pbWfAAQE&amp;sclient=img&amp;ei=mYUvYbtUhbPOAtnlqbAE&amp;bih=866&amp;biw=1741" TargetMode="External"/><Relationship Id="rId685" Type="http://schemas.openxmlformats.org/officeDocument/2006/relationships/hyperlink" Target="https://plants.ces.ncsu.edu/plants/clethra-alnifolia/common-name/summersweet/" TargetMode="External"/><Relationship Id="rId35" Type="http://schemas.openxmlformats.org/officeDocument/2006/relationships/hyperlink" Target="https://www.google.com/search?q=Maki+Japanese+Yew+Podocarpus+macrophyllus+%27Maki%27&amp;tbm=isch&amp;ved=2ahUKEwjn4pGb3MDpAhXNKlMKHa16CQIQ2-cCegQIABAA&amp;oq=Maki+Japanese+Yew+Podocarpus+macrophyllus+%27Maki%27&amp;gs_lcp=CgNpbWcQDFD1clj1cmD9fWgAcAB4AIABZIgBZJIBAzAuMZgBAKABAaoBC2d3cy13aXotaW1n&amp;sclient=img&amp;ei=ZjvEXueXLc3VzAKt9aUQ&amp;bih=831&amp;biw=1428" TargetMode="External"/><Relationship Id="rId100" Type="http://schemas.openxmlformats.org/officeDocument/2006/relationships/hyperlink" Target="https://plants.ces.ncsu.edu/plants/vitex-agnus-castus/common-name/chastetree/" TargetMode="External"/><Relationship Id="rId338" Type="http://schemas.openxmlformats.org/officeDocument/2006/relationships/hyperlink" Target="https://www.google.com/search?q=Cinnamon+Girl+Distylium+%27PIIDIST-V%27+PP27631&amp;tbm=isch&amp;ved=2ahUKEwiSwYW5mY_0AhWGO1MKHbMXDLAQ2-cCegQIABAA&amp;oq=Cinnamon+Girl+Distylium+%27PIIDIST-V%27+PP27631&amp;gs_lcp=CgNpbWcQDFC9Hli9HmDoKmgAcAB4AIABhAGIAd8BkgEDMS4xmAEAoAEBqgELZ3dzLXdpei1pbWfAAQE&amp;sclient=img&amp;ei=SHeMYZL9K4b3zAKzr7CACw&amp;authuser=1&amp;bih=851&amp;biw=1611&amp;hl=en" TargetMode="External"/><Relationship Id="rId545" Type="http://schemas.openxmlformats.org/officeDocument/2006/relationships/hyperlink" Target="https://www.google.com/search?q=Golden+Tiara+Daylily+Hemerocallis+%27Golden+Tiara%27&amp;tbm=isch&amp;ved=2ahUKEwjej66spf7oAhXDNawKHQGcCDAQ2-cCegQIABAA&amp;oq=Golden+Tiara+Daylily+Hemerocallis+%27Golden+Tiara%27&amp;gs_lcp=CgNpbWcQDFDc3gNYvoEEYPKLBGgAcAB4AIAB0gKIAZsDkgEFMS4zLTGYAQCgAQGqAQtnd3Mtd2l6LWltZw&amp;sclient=img&amp;ei=gGehXt7PCsPrsAWBuKKAAw&amp;bih=876&amp;biw=1452&amp;hl=en" TargetMode="External"/><Relationship Id="rId752" Type="http://schemas.openxmlformats.org/officeDocument/2006/relationships/hyperlink" Target="https://www.google.com/search?q=Homestead+Hot+Pink+Verbena+%27Homestead+Hot+Pink%27&amp;tbm=isch&amp;ved=2ahUKEwiXqZS-4Yn_AhUJMVkFHW8TCa4Q2-cCegQIABAA&amp;oq=Homestead+Hot+Pink+Verbena+%27Homestead+Hot+Pink%27&amp;gs_lcp=CgNpbWcQDDoECCMQJ1DSDViNfmCfmAFoAHAAeACAAUOIAcsGkgECMTaYAQCgAQGqAQtnd3Mtd2l6LWltZ8ABAQ&amp;sclient=img&amp;ei=E9BrZNfTPIni5NoP76ak8Ao&amp;bih=866&amp;biw=1369&amp;hl=en" TargetMode="External"/><Relationship Id="rId184" Type="http://schemas.openxmlformats.org/officeDocument/2006/relationships/hyperlink" Target="https://www.google.com/search?q=Miss+Frances+Crape+Myrtle+Lagerstroemia+%27Miss+Frances%27&amp;tbm=isch&amp;ved=2ahUKEwjHtMuEpMPyAhU1QUIHHfkfCMAQ2-cCegQIABAA&amp;oq=Miss+Frances+Crape+Myrtle+Lagerstroemia+%27Miss+Frances%27&amp;gs_lcp=CgNpbWcQDFAAWABgsSxoAHAAeACAAQCIAQCSAQCYAQCqAQtnd3Mtd2l6LWltZw&amp;sclient=img&amp;ei=-I0hYcfYNbWCieoP-b-ggAw&amp;authuser=1&amp;bih=877&amp;biw=1617&amp;hl=en" TargetMode="External"/><Relationship Id="rId391" Type="http://schemas.openxmlformats.org/officeDocument/2006/relationships/hyperlink" Target="https://www.google.com/search?q=Summer+Crush+Hydrangea+Macrophylla+%27Bailmactive%27+PP30359%2C+CPBRAF&amp;tbm=isch&amp;ved=2ahUKEwi2xP7oj6T0AhUC81MKHU0TBFgQ2-cCegQIABAA&amp;oq=Summer+Crush+Hydrangea+Macrophylla+%27Bailmactive%27+PP30359%2C+CPBRAF&amp;gs_lcp=CgNpbWcQDDoHCCMQ7wMQJ1DlEFjlEGDsLWgAcAB4AIABYYgBuwGSAQEymAEAoAEBqgELZ3dzLXdpei1pbWfAAQE&amp;sclient=img&amp;ei=w2-XYfbWGYLmzwLNppDABQ&amp;bih=877&amp;biw=1489&amp;hl=en" TargetMode="External"/><Relationship Id="rId405" Type="http://schemas.openxmlformats.org/officeDocument/2006/relationships/hyperlink" Target="https://plants.ces.ncsu.edu/plants/forsythia/" TargetMode="External"/><Relationship Id="rId612" Type="http://schemas.openxmlformats.org/officeDocument/2006/relationships/hyperlink" Target="https://www.google.com/search?q=Wood%27s+Pink+Aster+dumosus+%27Wood%27s+Pink%27&amp;tbm=isch&amp;ved=2ahUKEwjY8dCztNXuAhWTZq0KHdRQAK8Q2-cCegQIABAA&amp;oq=Wood%27s+Pink+Aster+dumosus+%27Wood%27s+Pink%27&amp;gs_lcp=CgNpbWcQDFChFljHjwdgrZsHaAFwAHgAgAHRAYgB7QiSAQYxMC4xLjGYAQCgAQGqAQtnd3Mtd2l6LWltZ8ABAQ&amp;sclient=img&amp;ei=k58eYJjcLZPNtQXUoYH4Cg&amp;authuser=1&amp;bih=913&amp;biw=1689&amp;hl=en" TargetMode="External"/><Relationship Id="rId251" Type="http://schemas.openxmlformats.org/officeDocument/2006/relationships/hyperlink" Target="https://www.google.com/search?q=Greenspire+Euonymus+japonicus+%27Green+Spire%27&amp;tbm=isch&amp;ved=2ahUKEwjZgMP-1ZfyAhXOQEIHHUaUAlkQ2-cCegQIABAA&amp;oq=Greenspire+Euonymus+japonicus+%27Green+Spire%27&amp;gs_lcp=CgNpbWcQDFC3D1i-G2CxK2gAcAB4AIABV4gB6gGSAQEzmAEAoAEBqgELZ3dzLXdpei1pbWfAAQE&amp;sclient=img&amp;ei=xbAKYZmKG86BieoPxqiKyAU&amp;bih=816&amp;biw=1642&amp;hl=en" TargetMode="External"/><Relationship Id="rId489" Type="http://schemas.openxmlformats.org/officeDocument/2006/relationships/hyperlink" Target="https://www.google.com/search?q=Green+Sheen+Japanese+Spurge+Pachysandra+terminalis+%27Green+Sheen%27&amp;tbm=isch&amp;ved=2ahUKEwiJhvDS_rPrAhUJbK0KHZ-dCOwQ2-cCegQIABAA&amp;oq=Green+Sheen+Japanese+Spurge+Pachysandra+terminalis+%27Green+Sheen%27&amp;gs_lcp=CgNpbWcQDFDV8CBY1fAgYMv3IGgAcAB4AIABe4gBe5IBAzAuMZgBAKABAaoBC2d3cy13aXotaW1nwAEB&amp;sclient=img&amp;ei=asZDX4mpNInYtQWfu6LgDg&amp;authuser=1&amp;bih=871&amp;biw=1601&amp;safe=active" TargetMode="External"/><Relationship Id="rId654" Type="http://schemas.openxmlformats.org/officeDocument/2006/relationships/hyperlink" Target="https://www.google.com/search?q=campfire+rose&amp;sxsrf=ALeKk000jQCdSG-K2dF3jiaVmNmVFio4bg:1588424905960&amp;source=lnms&amp;tbm=isch&amp;sa=X&amp;ved=2ahUKEwipnZbyn5XpAhUEQ60KHX4GCFEQ_AUoAnoECA4QBA&amp;biw=1741&amp;bih=866" TargetMode="External"/><Relationship Id="rId696" Type="http://schemas.openxmlformats.org/officeDocument/2006/relationships/hyperlink" Target="https://www.google.com/search?q=Lemon+Lime+Nandina+domestica+%27Lemon+Lime%27++PP24749&amp;tbm=isch&amp;ved=2ahUKEwiF2YnBz5z0AhXQC1MKHcuMBOIQ2-cCegQIABAA&amp;oq=Lemon+Lime+Nandina+domestica+%27Lemon+Lime%27++PP24749&amp;gs_lcp=CgNpbWcQDDoHCCMQ7wMQJ1DSMVjBQmCKWWgAcAB4AIAB2QKIAdkDkgEFMi4zLTGYAQCgAQGqAQtnd3Mtd2l6LWltZ8ABAQ&amp;sclient=img&amp;ei=zYCTYcW-KdCXzALLmZKQDg&amp;bih=878&amp;biw=1750&amp;hl=en" TargetMode="External"/><Relationship Id="rId861" Type="http://schemas.openxmlformats.org/officeDocument/2006/relationships/hyperlink" Target="https://www.google.com/search?q=milly+rock+red+yarrow+achillea+millefolium+PP%2331757&amp;sca_esv=569475139&amp;authuser=1&amp;udm=2&amp;biw=1660&amp;bih=729&amp;sxsrf=ACQVn09ly_9QE-PK0kQviAREcN1Zp6FbFg%3A1713005038076&amp;ei=7mEaZu2SBIiX0_gPmPud4Aw&amp;ved=0ahUKEwjtwauGgb-FAxWIyxQJHZh9B8wQ4dUDCBE&amp;oq=milly+rock+red+yarrow+achillea+millefolium+PP%2331757&amp;gs_lp=Egxnd3Mtd2l6LXNlcnAiM21pbGx5IHJvY2sgcmVkIHlhcnJvdyBhY2hpbGxlYSBtaWxsZWZvbGl1bSBQUCMzMTc1N0jk5QFQiwpYi5QBcAJ4AJABAJgBM6ABsgGqAQE0uAEMyAEA-AEB-AECmAIAoAIAmAMAiAYBkgcAoAe0AQ&amp;sclient=gws-wiz-serp" TargetMode="External"/><Relationship Id="rId46" Type="http://schemas.openxmlformats.org/officeDocument/2006/relationships/hyperlink" Target="https://www.google.com/search?q=Hollywood+Juniper+Juniperus+chinensis+%27Torulosa%E2%80%99&amp;tbm=isch&amp;ved=2ahUKEwi32J-b0ZTtAhXDK1MKHW4FBPAQ2-cCegQIABAA&amp;oq=Hollywood+Juniper+Juniperus+chinensis+%27Torulosa%E2%80%99&amp;gs_lcp=CgNpbWcQDFC-yQJYnMoCYPrWAmgAcAB4AIABVogBlwGSAQEymAEAoAEBqgELZ3dzLXdpei1pbWfAAQE&amp;sclient=img&amp;ei=w425X_fqLMPXzALuipCADw&amp;bih=831&amp;biw=1428" TargetMode="External"/><Relationship Id="rId293" Type="http://schemas.openxmlformats.org/officeDocument/2006/relationships/hyperlink" Target="https://www.google.com/search?q=Passion+Hibiscus+Head+Over+Heels%C2%AE+Hibiscus+moscheutos+%27RutHib2%27+PP+30,853&amp;authuser=1&amp;sxsrf=APq-WBttcIpBiC1Jgnhp25AA2w-3Mgr0KQ:1647809149538&amp;source=lnms&amp;tbm=isch&amp;sa=X&amp;ved=2ahUKEwiS5I-4x9X2AhX5FjQIHWESAQoQ_AUoA3oECAIQBQ&amp;biw=1646&amp;bih=915&amp;dpr=1" TargetMode="External"/><Relationship Id="rId307" Type="http://schemas.openxmlformats.org/officeDocument/2006/relationships/hyperlink" Target="https://www.google.com/search?q=Firepower+Nandina+domestica+%27Firepower%27&amp;tbm=isch&amp;ved=2ahUKEwi-v6CfvLHyAhWUdqwKHSvpDMQQ2-cCegQIABAA&amp;oq=Firepower+Nandina+domestica+%27Firepower%27&amp;gs_lcp=CgNpbWcQDDIGCAAQBxAeUI8YWI8YYJ0xaABwAHgAgAFNiAFNkgEBMZgBAKABAaoBC2d3cy13aXotaW1nwAEB&amp;sclient=img&amp;ei=bzcYYf7LOpTtsQWr0rOgDA&amp;bih=878&amp;biw=1437&amp;hl=en" TargetMode="External"/><Relationship Id="rId349" Type="http://schemas.openxmlformats.org/officeDocument/2006/relationships/hyperlink" Target="https://www.google.com/search?q=John+Baldwin+Boxwood+Buxus+microphylla+%27John+Baldwin%27&amp;tbm=isch&amp;ved=2ahUKEwif5squtv7uAhUV81MKHWQUBpUQ2-cCegQIABAA&amp;oq=John+Baldwin+Boxwood+Buxus+microphylla+%27John+Baldwin%27&amp;gs_lcp=CgNpbWcQDFAAWABg79oOaABwAHgAgAEAiAEAkgEAmAEAqgELZ3dzLXdpei1pbWc&amp;sclient=img&amp;ei=jyA0YN_iEpXmzwLkqJioCQ&amp;authuser=1&amp;bih=830&amp;biw=1333&amp;hl=en" TargetMode="External"/><Relationship Id="rId514" Type="http://schemas.openxmlformats.org/officeDocument/2006/relationships/hyperlink" Target="https://plants.ces.ncsu.edu/plants/dryopteris-erythrosora/common-name/autumn-fern/" TargetMode="External"/><Relationship Id="rId556" Type="http://schemas.openxmlformats.org/officeDocument/2006/relationships/hyperlink" Target="mailto:ChrisatNewViewPlanting@gmail.com" TargetMode="External"/><Relationship Id="rId721" Type="http://schemas.openxmlformats.org/officeDocument/2006/relationships/hyperlink" Target="https://www.google.com/search?q=Lady+Banks+Climbing+Rose+Rosa+banksiae+%27Lutea%27&amp;tbm=isch&amp;ved=2ahUKEwiurMHBkJXpAhUJBlMKHe9XAlkQ2-cCegQIABAA&amp;oq=Lady+Banks+Climbing+Rose+Rosa+banksiae+%27Lutea%27&amp;gs_lcp=CgNpbWcQDFD7LFjhPmC0W2gAcAB4AIABWogB1QWSAQE5mAEAoAEBqgELZ3dzLXdpei1pbWc&amp;sclient=img&amp;ei=qWCtXu6zFomMzALvr4nIBQ&amp;authuser=1&amp;bih=866&amp;biw=1434&amp;hl=en" TargetMode="External"/><Relationship Id="rId763" Type="http://schemas.openxmlformats.org/officeDocument/2006/relationships/hyperlink" Target="https://www.trees2go.com/grower-two/" TargetMode="External"/><Relationship Id="rId88" Type="http://schemas.openxmlformats.org/officeDocument/2006/relationships/hyperlink" Target="https://plants.ces.ncsu.edu/plants/magnolia-grandiflora/" TargetMode="External"/><Relationship Id="rId111" Type="http://schemas.openxmlformats.org/officeDocument/2006/relationships/hyperlink" Target="https://www.google.com/search?q=Jade+Butterflies+Ginkgo+biloba+%27Jade+Butterflies%27&amp;tbm=isch&amp;ved=2ahUKEwi0u7qJxez5AhWhmIkEHaZMBbkQ2-cCegQIABAA&amp;oq=Jade+Butterflies+Ginkgo+biloba+%27Jade+Butterflies%27&amp;gs_lcp=CgNpbWcQDFCyD1iXL2DmQmgAcAB4AIABZ4gBuAaSAQM2LjOYAQCgAQGqAQtnd3Mtd2l6LWltZ8ABAQ&amp;sclient=img&amp;ei=oPIMY7TrEqGxptQPppmVyAs&amp;authuser=1&amp;bih=768&amp;biw=1526&amp;hl=en" TargetMode="External"/><Relationship Id="rId153" Type="http://schemas.openxmlformats.org/officeDocument/2006/relationships/hyperlink" Target="https://www.google.com/search?q=European+Hornbeam+Carpinus+betulus+%E2%80%98Fastigiata%E2%80%99&amp;tbm=isch&amp;ved=2ahUKEwjo1vzi8vroAhVYaKwKHQAHDLoQ2-cCegQIABAA&amp;oq=European+Hornbeam+Carpinus+betulus+%E2%80%98Fastigiata%E2%80%99&amp;gs_lcp=CgNpbWcQDDIGCAAQCBAeUMWJB1jFiQdghKIHaABwAHgAgAFriAFrkgEDMC4xmAEAoAEBqgELZ3dzLXdpei1pbWc&amp;sclient=img&amp;ei=0Z-fXqiqEdjQsQWAjrDQCw&amp;bih=878&amp;biw=1454" TargetMode="External"/><Relationship Id="rId195" Type="http://schemas.openxmlformats.org/officeDocument/2006/relationships/hyperlink" Target="https://plants.ces.ncsu.edu/plants/lagerstroemia-indica/" TargetMode="External"/><Relationship Id="rId209" Type="http://schemas.openxmlformats.org/officeDocument/2006/relationships/hyperlink" Target="https://www.google.com/search?q=Catawba+Crape+Myrtle+Lagerstroemia+indica+%27Catawba%27&amp;tbm=isch&amp;ved=2ahUKEwjd2JaJ2fToAhWSe6wKHQz_DO4Q2-cCegQIABAA&amp;oq=Catawba+Crape+Myrtle+Lagerstroemia+indica+%27Catawba%27&amp;gs_lcp=CgNpbWcQDFCrmwtYn7kLYOTEC2gAcAB4AIABUYgBmgGSAQEymAEAoAEBqgELZ3dzLXdpei1pbWc&amp;sclient=img&amp;ei=j1-cXp3VJ5L3sQWM_rPwDg&amp;bih=878&amp;biw=1750&amp;hl=en" TargetMode="External"/><Relationship Id="rId360" Type="http://schemas.openxmlformats.org/officeDocument/2006/relationships/hyperlink" Target="https://plants.ces.ncsu.edu/plants/camellia-sasanqua/" TargetMode="External"/><Relationship Id="rId416" Type="http://schemas.openxmlformats.org/officeDocument/2006/relationships/hyperlink" Target="https://plants.ces.ncsu.edu/plants/syringa-pubescens-subsp-patula/common-name/miss-kim-lilac/" TargetMode="External"/><Relationship Id="rId598" Type="http://schemas.openxmlformats.org/officeDocument/2006/relationships/hyperlink" Target="https://www.google.com/search?q=Soft+Caress+Mahonia+eurybracteata+%27Soft+Caress%27+PP20183&amp;tbm=isch&amp;ved=2ahUKEwj9qeGs0Zz0AhVFRawKHQ-SDIIQ2-cCegQIABAA&amp;oq=Soft+Caress+Mahonia+eurybracteata+%27Soft+Caress%27+PP20183&amp;gs_lcp=CgNpbWcQDDoHCCMQ7wMQJ1CPCljnFWCVHGgAcAB4AIABW4gB_QGSAQEzmAEAoAEBqgELZ3dzLXdpei1pbWfAAQE&amp;sclient=img&amp;ei=u4KTYb3gOcWKsQWPpLKQCA&amp;bih=878&amp;biw=1750&amp;hl=en" TargetMode="External"/><Relationship Id="rId819" Type="http://schemas.openxmlformats.org/officeDocument/2006/relationships/hyperlink" Target="https://plants.ces.ncsu.edu/plants/rosa/" TargetMode="External"/><Relationship Id="rId220" Type="http://schemas.openxmlformats.org/officeDocument/2006/relationships/hyperlink" Target="https://www.google.com/search?q=Galaxy+Magnolia+x+%27Galaxy%27&amp;tbm=isch&amp;ved=2ahUKEwiOpo7EjrnzAhUe_qwKHfV-Cx4Q2-cCegQIABAA&amp;oq=Galaxy+Magnolia+x+%27Galaxy%27&amp;gs_lcp=CgNpbWcQDFCydVi_eWDwhgFoAHAAeACAAW6IAcIBkgEDMS4xmAEAoAEBqgELZ3dzLXdpei1pbWfAAQE&amp;sclient=img&amp;ei=HVVfYc6jJ578swX1_a3wAQ&amp;bih=878&amp;biw=1750&amp;hl=en" TargetMode="External"/><Relationship Id="rId458" Type="http://schemas.openxmlformats.org/officeDocument/2006/relationships/hyperlink" Target="https://www.google.com/search?q=Tifblue+Blueberry+Vaccinium+corymbosum+%27Tifblue%27&amp;tbm=isch&amp;ved=2ahUKEwjS26KFh8vyAhXGlVMKHQSZAmAQ2-cCegQIABAA&amp;oq=Tifblue+Blueberry+Vaccinium+corymbosum+%27Tifblue%27&amp;gs_lcp=CgNpbWcQDFDBkAFY97UBYITAAWgAcAB4AIABUYgBkwGSAQEymAEAoAEBqgELZ3dzLXdpei1pbWfAAQE&amp;sclient=img&amp;ei=T6ElYZL4I8arzgKEsoqABg&amp;bih=876&amp;biw=1435&amp;hl=en" TargetMode="External"/><Relationship Id="rId623" Type="http://schemas.openxmlformats.org/officeDocument/2006/relationships/hyperlink" Target="https://www.google.com/search?q=Dwarf+Japanese+Garden+Juniper+Juniperus+procumbens+%27Nana%27&amp;hl=en&amp;sxsrf=ALeKk00ARsryQ5RAd6bE0Js3lzvuDID1iA:1600565235780&amp;source=lnms&amp;tbm=isch&amp;sa=X&amp;ved=2ahUKEwjIycWSyvbrAhULKKwKHRFUCAMQ_AUoAnoECA4QBA&amp;biw=1627&amp;bih=834" TargetMode="External"/><Relationship Id="rId665" Type="http://schemas.openxmlformats.org/officeDocument/2006/relationships/hyperlink" Target="https://plants.ces.ncsu.edu/plants/forsythia/" TargetMode="External"/><Relationship Id="rId830" Type="http://schemas.openxmlformats.org/officeDocument/2006/relationships/hyperlink" Target="https://www.google.com/search?sca_esv=602346591&amp;authuser=1&amp;sxsrf=ACQVn09__2m_38YTt2jixvF-365TdrEDSw:1706535202048&amp;q=Emerald+Squeeze+Arborvitae+Thuja+occidentalis+%27Lilshreckthu%27+PP33785&amp;tbm=isch&amp;source=lnms&amp;sa=X&amp;ved=2ahUKEwjl046E24KEAxVuFFkFHcW7ArwQ0pQJegQIEBAB&amp;biw=1920&amp;bih=911&amp;dpr=1" TargetMode="External"/><Relationship Id="rId15" Type="http://schemas.openxmlformats.org/officeDocument/2006/relationships/hyperlink" Target="https://www.google.com/search?q=Yellow+Ribbon+Arborvitae+Thuja+occidentalis+%27Yellow+Ribbon%27&amp;tbm=isch&amp;ved=2ahUKEwjg0LjC-K_uAhVO61MKHWUVBvgQ2-cCegQIABAA&amp;oq=Yellow+Ribbon+Arborvitae+Thuja+occidentalis+%27Yellow+Ribbon%27&amp;gs_lcp=CgNpbWcQDDIECCMQJzIECCMQJ1C-B1jaCGCwD2gAcAB4AIABQogBggGSAQEymAEAoAEBqgELZ3dzLXdpei1pbWfAAQE&amp;sclient=img&amp;ei=uvoKYOCLFs7WzwLlqpjADw&amp;bih=867&amp;biw=1482" TargetMode="External"/><Relationship Id="rId57" Type="http://schemas.openxmlformats.org/officeDocument/2006/relationships/hyperlink" Target="https://plants.ces.ncsu.edu/plants/ilex-cornuta-burfordii/common-name/burford-holly/" TargetMode="External"/><Relationship Id="rId262" Type="http://schemas.openxmlformats.org/officeDocument/2006/relationships/hyperlink" Target="https://www.google.com/search?q=Serendipity+Magnolia+figo+%E2%80%98Serendipity+Magnolia%E2%80%99&amp;hl=en&amp;sxsrf=ALeKk02R5Tvc72nrD911wuONMUSDacJLrw:1615477697898&amp;source=lnms&amp;tbm=isch&amp;sa=X&amp;ved=2ahUKEwi-js2yy6jvAhVIJKwKHSWoCQsQ_AUoAXoECAEQAw&amp;biw=1640&amp;bih=890" TargetMode="External"/><Relationship Id="rId318" Type="http://schemas.openxmlformats.org/officeDocument/2006/relationships/hyperlink" Target="https://plants.ces.ncsu.edu/plants/linnaea-x-grandiflora-kaleidoscope-pp-16988/common-name/kaleidoscope-abelia/" TargetMode="External"/><Relationship Id="rId525" Type="http://schemas.openxmlformats.org/officeDocument/2006/relationships/hyperlink" Target="https://www.google.com/search?q=Enchanted+Eve+Tickseed+Coreopsis+Li%27l+Bang%E2%84%A2+%27Enchanted+Eve%27+PP%2327857&amp;authuser=1&amp;sxsrf=APq-WBs_rDoqSpzxVE78gDzWeZCiSughhA:1647807115706&amp;source=lnms&amp;tbm=isch&amp;sa=X&amp;ved=2ahUKEwi1zajuv9X2AhXqkOAKHZ0qBhcQ_AUoA3oECAEQBQ&amp;biw=1646&amp;bih=915&amp;dpr=1" TargetMode="External"/><Relationship Id="rId567" Type="http://schemas.openxmlformats.org/officeDocument/2006/relationships/hyperlink" Target="https://plants.ces.ncsu.edu/plants/rhododendron-eriocarpum/common-name/dwarf-indica-gumpo-azalea/" TargetMode="External"/><Relationship Id="rId732" Type="http://schemas.openxmlformats.org/officeDocument/2006/relationships/hyperlink" Target="https://www.google.com/search?q=Biloxi+Crape+Myrtle+Lagerstroemia+%27Biloxi%27&amp;tbm=isch&amp;ved=2ahUKEwiygMrBg4HpAhXOhlMKHbIyABMQ2-cCegQIABAA&amp;oq=Biloxi+Crape+Myrtle+Lagerstroemia+%27Biloxi%27&amp;gs_lcp=CgNpbWcQDDoGCAAQCBAeUMvKAliPuQNgxMcDaABwAHgAgAFSiAGZC5IBAjIymAEAoAEBqgELZ3dzLXdpei1pbWc&amp;sclient=img&amp;ei=rdaiXvL1BM6NzgKy5YCYAQ&amp;bih=878&amp;biw=1750&amp;hl=en" TargetMode="External"/><Relationship Id="rId99" Type="http://schemas.openxmlformats.org/officeDocument/2006/relationships/hyperlink" Target="https://www.google.com/search?q=Summertime+Blues+Chaste+Tree+Vitex+x+%27Helen+Froehlich%27+PPAF&amp;tbm=isch&amp;ved=2ahUKEwiZl8zr2Yz0AhULQkIHHYnfCiMQ2-cCegQIABAA&amp;oq=Summertime+Blues+Chaste+Tree+Vitex+x+%27Helen+Froehlich%27+PPAF&amp;gs_lcp=CgNpbWcQDFDEB1i-EmDzuQFoAHAAeACAAfMCiAG0CZIBBzEuMi4yLjGYAQCgAQGqAQtnd3Mtd2l6LWltZ8ABAQ&amp;sclient=img&amp;ei=JyiLYdnnF4uEieoPib-rmAI&amp;authuser=1&amp;bih=870&amp;biw=1493" TargetMode="External"/><Relationship Id="rId122" Type="http://schemas.openxmlformats.org/officeDocument/2006/relationships/hyperlink" Target="https://plants.ces.ncsu.edu/plants/prunus-x-yedoensis/common-name/yoshino-cherry/" TargetMode="External"/><Relationship Id="rId164" Type="http://schemas.openxmlformats.org/officeDocument/2006/relationships/hyperlink" Target="https://plants.ces.ncsu.edu/plants/acer-rubrum/" TargetMode="External"/><Relationship Id="rId371" Type="http://schemas.openxmlformats.org/officeDocument/2006/relationships/hyperlink" Target="https://www.google.com/search?q=White+Profusion+Butterfly+Bush+Buddleia+davidii+%27White+Profusion%27&amp;tbm=isch&amp;ved=2ahUKEwjt9sihpteAAxXdMVkFHStzD30Q2-cCegQIABAA&amp;oq=White+Profusion+Butterfly+Bush+Buddleia+davidii+%27White+Profusion%27&amp;gs_lcp=CgNpbWcQDFAAWABgAGgAcAB4AIABAIgBAJIBAJgBAKoBC2d3cy13aXotaW1n&amp;sclient=img&amp;ei=1JLXZO28G93j5NoPq-a96Ac&amp;bih=890&amp;biw=1625&amp;hl=en" TargetMode="External"/><Relationship Id="rId774" Type="http://schemas.openxmlformats.org/officeDocument/2006/relationships/hyperlink" Target="https://www.google.com/search?q=Visions+in+White+Goat%27s+Beard+Astilbe+chinensis+%27Visions+in+White%27&amp;tbm=isch&amp;ved=2ahUKEwjI9YLy1-D-AhVOI2IAHVAXDWwQ2-cCegQIABAA&amp;oq=Visions+in+White+Goat%27s+Beard+Astilbe+chinensis+%27Visions+in+White%27&amp;gs_lcp=CgNpbWcQDDoECCMQJ1DREFjvRmC_9AFoAHAAeACAAUGIAcMDkgEBOZgBAKABAaoBC2d3cy13aXotaW1nwAEB&amp;sclient=img&amp;ei=F0dWZIiOCM7GiLMP0K604AY&amp;bih=876&amp;biw=1435&amp;hl=en" TargetMode="External"/><Relationship Id="rId427" Type="http://schemas.openxmlformats.org/officeDocument/2006/relationships/hyperlink" Target="https://plants.ces.ncsu.edu/plants/ulmus-alata/" TargetMode="External"/><Relationship Id="rId469" Type="http://schemas.openxmlformats.org/officeDocument/2006/relationships/hyperlink" Target="https://www.google.com/search?q=Powderblue+Blueberry+Vaccinium+corymbosum+%27Powderblue%27&amp;tbm=isch&amp;ved=2ahUKEwj517uorf7oAhVO96wKHW23D4gQ2-cCegQIABAA&amp;oq=Powderblue+Blueberry+Vaccinium+corymbosum+%27Powderblue%27&amp;gs_lcp=CgNpbWcQDFAAWABg08cCaABwAHgAgAEAiAEAkgEAmAEAqgELZ3dzLXdpei1pbWc&amp;sclient=img&amp;ei=22-hXrn-Hc7uswXt7r7ACA&amp;bih=876&amp;biw=1435&amp;hl=en" TargetMode="External"/><Relationship Id="rId634" Type="http://schemas.openxmlformats.org/officeDocument/2006/relationships/hyperlink" Target="https://www.google.com/search?q=Chestnut+Oak+Quercus+prinus&amp;tbm=isch&amp;hl=en&amp;sa=X&amp;ved=2ahUKEwjQkLL9jtT-AhXdNlkFHbUbD7QQBXoECAEQRQ&amp;biw=1436&amp;bih=720" TargetMode="External"/><Relationship Id="rId676" Type="http://schemas.openxmlformats.org/officeDocument/2006/relationships/hyperlink" Target="https://www.google.com/search?q=Gulftide+Osmanthus+heterophyllus+%27Gulftide%27&amp;tbm=isch&amp;ved=2ahUKEwimvaT6p4X4AhUZE80KHSgsAnwQ2-cCegQIABAA&amp;oq=Gulftide+Osmanthus+heterophyllus+%27Gulftide%27&amp;gs_lcp=CgNpbWcQDDoECCMQJ1CaH1i6IGCRMmgAcAB4AIABY4gBngKSAQEzmAEAoAEBqgELZ3dzLXdpei1pbWfAAQE&amp;sclient=img&amp;ei=zLeTYqanEpmmtAao2IjgBw&amp;bih=831&amp;biw=1428" TargetMode="External"/><Relationship Id="rId841" Type="http://schemas.openxmlformats.org/officeDocument/2006/relationships/hyperlink" Target="https://www.trees2go.com/faq/" TargetMode="External"/><Relationship Id="rId26" Type="http://schemas.openxmlformats.org/officeDocument/2006/relationships/hyperlink" Target="https://plants.ces.ncsu.edu/plants/thuja-occidentalis/" TargetMode="External"/><Relationship Id="rId231" Type="http://schemas.openxmlformats.org/officeDocument/2006/relationships/hyperlink" Target="https://www.google.com/search?q=Yuletide+Camellia+sasanqua+%27Yuletide%27&amp;tbm=isch&amp;ved=2ahUKEwi0jMON5-PyAhWGnVMKHX55CM0Q2-cCegQIABAA&amp;oq=Yuletide+Camellia+sasanqua+%27Yuletide%27&amp;gs_lcp=CgNpbWcQDFDEQVidigFggpkBaABwAHgAgAFciAHYCZIBAjE2mAEAoAEBqgELZ3dzLXdpei1pbWfAAQE&amp;sclient=img&amp;ei=RJsyYbTaGYa7zgL-8qHoDA&amp;authuser=1&amp;bih=855&amp;biw=1716&amp;hl=en" TargetMode="External"/><Relationship Id="rId273" Type="http://schemas.openxmlformats.org/officeDocument/2006/relationships/hyperlink" Target="https://plants.ces.ncsu.edu/plants/aucuba-japonica/common-name/gold-dust/" TargetMode="External"/><Relationship Id="rId329" Type="http://schemas.openxmlformats.org/officeDocument/2006/relationships/hyperlink" Target="https://plants.ces.ncsu.edu/plants/thuja-occidentalis-hetzs-midget/common-name/hetz-midget-arborvitae/" TargetMode="External"/><Relationship Id="rId480" Type="http://schemas.openxmlformats.org/officeDocument/2006/relationships/hyperlink" Target="https://plants.ces.ncsu.edu/plants/miscanthus-sinensis-morning-light/common-name/morning-light-miscanthus/" TargetMode="External"/><Relationship Id="rId536" Type="http://schemas.openxmlformats.org/officeDocument/2006/relationships/hyperlink" Target="https://plants.ces.ncsu.edu/plants/hosta/" TargetMode="External"/><Relationship Id="rId701" Type="http://schemas.openxmlformats.org/officeDocument/2006/relationships/hyperlink" Target="https://www.google.com/search?q=Purely+Purple+Crape+Myrtle+Lagerstroemia+Black+Diamond+%27Purely+Purple%27&amp;tbm=isch&amp;ved=2ahUKEwjwxfyD3fToAhUazawKHcilBcEQ2-cCegQIABAA&amp;oq=Purely+Purple+Crape+Myrtle+Lagerstroemia+Black+Diamond+%27Purely+Purple%27&amp;gs_lcp=CgNpbWcQDFCQjglYmbQJYMjDCWgAcAB4AIABUogBUpIBATGYAQGgAQGqAQtnd3Mtd2l6LWltZw&amp;sclient=img&amp;ei=tmOcXvCSHZqaswXIy5aIDA&amp;bih=878&amp;biw=1750&amp;hl=en" TargetMode="External"/><Relationship Id="rId68" Type="http://schemas.openxmlformats.org/officeDocument/2006/relationships/hyperlink" Target="https://plants.ces.ncsu.edu/plants/osmanthus-fragrans/common-name/fragrant-tea-olive/" TargetMode="External"/><Relationship Id="rId133" Type="http://schemas.openxmlformats.org/officeDocument/2006/relationships/hyperlink" Target="https://plants.ces.ncsu.edu/plants/quercus-texana/common-name/nuttall-oak/" TargetMode="External"/><Relationship Id="rId175" Type="http://schemas.openxmlformats.org/officeDocument/2006/relationships/hyperlink" Target="https://www.google.com/search?q=First+Lady+Flowering+Cherry+Prunus+x+%27First+Lady%27&amp;authuser=1&amp;source=lnms&amp;tbm=isch&amp;sa=X&amp;ved=2ahUKEwj0o8aKp5zvAhUGZc0KHcZjA_IQ_AUoAXoECBMQAw&amp;biw=1323&amp;bih=820" TargetMode="External"/><Relationship Id="rId340" Type="http://schemas.openxmlformats.org/officeDocument/2006/relationships/hyperlink" Target="https://www.google.com/search?q=Trailing+Dwarf+Gardenia+jasminoides+%27Radicans%27&amp;tbm=isch&amp;ved=2ahUKEwiE4Nb5zaX9AhVhD2IAHfmZDdgQ2-cCegQIABAA&amp;oq=Trailing+Dwarf+Gardenia+jasminoides+%27Radicans%27&amp;gs_lcp=CgNpbWcQDDoECCMQJ1CBFViBFWDCJGgAcAB4AIABO4gBZZIBATKYAQCgAQGqAQtnd3Mtd2l6LWltZ8ABAQ&amp;sclient=img&amp;ei=8zH0Y8SaLuGeiLMP-bO2wA0&amp;bih=878&amp;biw=1437&amp;hl=en" TargetMode="External"/><Relationship Id="rId578" Type="http://schemas.openxmlformats.org/officeDocument/2006/relationships/hyperlink" Target="https://plants.ces.ncsu.edu/plants/cornus-kousa/common-name/kousa-dogwood/" TargetMode="External"/><Relationship Id="rId743" Type="http://schemas.openxmlformats.org/officeDocument/2006/relationships/hyperlink" Target="https://www.google.com/search?q=Snow+Goose+Cherry+Prunus+serrulata+%27Snow+Goose%27&amp;tbm=isch&amp;ved=2ahUKEwiUvsfC1-b-AhXXI2IAHe1EDH4Q2-cCegQIABAA&amp;oq=Snow+Goose+Cherry+Prunus+serrulata+%27Snow+Goose%27&amp;gs_lcp=CgNpbWcQDDIECCMQJ1CBkgVYgZIFYJafBWgAcAB4AIABOYgBoAGSAQEzmAEAoAEBqgELZ3dzLXdpei1pbWfAAQE&amp;sclient=img&amp;ei=AmxZZJS1AdfHiLMP7Ymx8Ac&amp;bih=720&amp;biw=1453&amp;hl=en" TargetMode="External"/><Relationship Id="rId785" Type="http://schemas.openxmlformats.org/officeDocument/2006/relationships/hyperlink" Target="https://www.google.com/search?q=Forest+Pansy+Redbud+Cercis+canadensis+%27Forest+Pansy%27&amp;tbm=isch&amp;ved=2ahUKEwjC5MSctqzrAhUF0lMKHQbuBB4Q2-cCegQIABAA&amp;oq=Forest+Pansy+Redbud+Cercis+canadensis+%27Forest+Pansy%27&amp;gs_lcp=CgNpbWcQDFD1ih9YqJ0fYOakH2gAcAB4AIABcYgBuQGSAQMxLjGYAQCgAQGqAQtnd3Mtd2l6LWltZ8ABAQ&amp;sclient=img&amp;ei=884_X4KfF4WkzwKG3JPwAQ&amp;authuser=1&amp;bih=877&amp;biw=1617&amp;hl=en" TargetMode="External"/><Relationship Id="rId200" Type="http://schemas.openxmlformats.org/officeDocument/2006/relationships/hyperlink" Target="https://plants.ces.ncsu.edu/plants/magnolia-hybrids/" TargetMode="External"/><Relationship Id="rId382" Type="http://schemas.openxmlformats.org/officeDocument/2006/relationships/hyperlink" Target="https://www.google.com/search?q=Peach+Drift+Rose+Rosa+%27Meiggili%27+PP18542&amp;tbm=isch&amp;ved=2ahUKEwitvpi08pD0AhXog2oFHeemDugQ2-cCegQIABAA&amp;oq=Peach+Drift+Rose+Rosa+%27Meiggili%27+PP18542&amp;gs_lcp=CgNpbWcQDDoHCCMQ7wMQJ1DyCVjyCWDpFWgAcAB4AIABWYgBsQGSAQEymAEAoAEBqgELZ3dzLXdpei1pbWfAAQE&amp;sclient=img&amp;ei=yVqNYe21AuiHqtsP5826wA4&amp;bih=878&amp;biw=1454&amp;hl=en" TargetMode="External"/><Relationship Id="rId438" Type="http://schemas.openxmlformats.org/officeDocument/2006/relationships/hyperlink" Target="https://www.google.com/search?q=Pugster+Blue+Butterfly+Bush+Buddleia+%27SMNBDBT%27+PP28794+CBRAF&amp;tbm=isch&amp;ved=2ahUKEwixmPrI2aH0AhVbQUIHHTbTCPQQ2-cCegQIABAA&amp;oq=Pugster+Blue+Butterfly+Bush+Buddleia+%27SMNBDBT%27+PP28794+CBRAF&amp;gs_lcp=CgNpbWcQDDoHCCMQ7wMQJ1CtC1jTI2C2NmgAcAB4AIABU4gB7QGSAQEzmAEAoAEBqgELZ3dzLXdpei1pbWfAAQE&amp;sclient=img&amp;ei=cSqWYfGbD9uCieoPtqajoA8&amp;bih=878&amp;biw=1454&amp;hl=en" TargetMode="External"/><Relationship Id="rId603" Type="http://schemas.openxmlformats.org/officeDocument/2006/relationships/hyperlink" Target="https://plants.ces.ncsu.edu/plants/thuja-plicata/" TargetMode="External"/><Relationship Id="rId645" Type="http://schemas.openxmlformats.org/officeDocument/2006/relationships/hyperlink" Target="https://plants.ces.ncsu.edu/plants/phlox-subulata/common-name/creeping-phlox/" TargetMode="External"/><Relationship Id="rId687" Type="http://schemas.openxmlformats.org/officeDocument/2006/relationships/hyperlink" Target="https://www.google.com/search?q=Dwarf+Golden+Sweet+Flag+Acorus+gramineus+%E2%80%98Minimus+Aureus%E2%80%99&amp;tbm=isch&amp;ved=2ahUKEwj1raz1xsr6AhXHG98KHTdxCWwQ2-cCegQIABAA&amp;oq=Dwarf+Golden+Sweet+Flag+Acorus+gramineus+%E2%80%98Minimus+Aureus%E2%80%99&amp;gs_lcp=CgNpbWcQDFD_B1iuDmCPHWgAcAB4AIABXIgB_gOSAQE2mAEAoAEBqgELZ3dzLXdpei1pbWfAAQE&amp;sclient=img&amp;ei=Bj0-Y_WSGce3_Aa34qXgBg&amp;authuser=1&amp;bih=806&amp;biw=1674&amp;hl=en" TargetMode="External"/><Relationship Id="rId810" Type="http://schemas.openxmlformats.org/officeDocument/2006/relationships/hyperlink" Target="https://www.google.com/search?q=milly+rock+rose+yarrow+achillea+millefolium+PP%2331620&amp;sca_esv=569475139&amp;authuser=1&amp;udm=2&amp;biw=1660&amp;bih=729&amp;sxsrf=ACQVn0_E-RvCipCzqXEAT2eYwwGtoYQaQA%3A1713005024681&amp;ei=4GEaZvKbKfrt5NoPpMya8AM&amp;ved=0ahUKEwjyi_r_gL-FAxX6NlkFHSSmBj4Q4dUDCBE&amp;oq=milly+rock+rose+yarrow+achillea+millefolium+PP%2331620&amp;gs_lp=Egxnd3Mtd2l6LXNlcnAiNG1pbGx5IHJvY2sgcm9zZSB5YXJyb3cgYWNoaWxsZWEgbWlsbGVmb2xpdW0gUFAjMzE2MjBIpBhQ2QJY7QxwAXgAkAEAmAEtoAFYqgEBMrgBDMgBAPgBAfgBApgCAaACAsICBBAjGCeYAwCIBgGSBwExoAda&amp;sclient=gws-wiz-serp" TargetMode="External"/><Relationship Id="rId852" Type="http://schemas.openxmlformats.org/officeDocument/2006/relationships/hyperlink" Target="https://www.google.com/search?sca_esv=cdd0bb096d146f62&amp;hl=en&amp;sxsrf=ACQVn08km9SiNuf7wBXmuS0YnBTCxAVNgA:1712082141850&amp;q=Golden+Dwarf+Hinoki+Falsecypress+Chamaecyparis+obtusa+%27Nana+Lutea%27&amp;uds=AMwkrPtNxDp2fwrHG71Vw9iACnxGN3uDHxnC_ylUxJC3GKL0NVKt7lBq2fEZKQyJQsdTS-PLcYwOjyornkZkvxY7HWFHNSDtakaJUR5zY0XRn-4L04u4cqiVVvb5HCWKw6YHHvmWJe53xsePyvNeabVMS80SpQh4-UmgXQcvlMtHybp8nQkC0a3DIWepu9iNPyldQpzUB-Udi0uWMdtYnGRvGl9vUbfG4DjMkgwB6M_i_XLU0GmI1SJkKB2bw31P-IKAsftF_YqfDR0g2bjq_N5xrvIGaG85BLmAESpm2p5Y-2MmmhFGVAuz--ZTkiKFlEw3c7iEnBlNF-XwaqCvXjucOJY8qeBwY6x6rxvUuQ7fMGWZEiEWPXY&amp;udm=2&amp;prmd=isvnbmtz&amp;sa=X&amp;ved=2ahUKEwiUj5D_kqSFAxVxEVkFHTMHBegQtKgLegQIDhAB&amp;biw=1661&amp;bih=758&amp;dpr=1" TargetMode="External"/><Relationship Id="rId242" Type="http://schemas.openxmlformats.org/officeDocument/2006/relationships/hyperlink" Target="https://www.google.com/search?q=Dark+Fire+Loropetalum+chinensis+var.+rubrum+%27Dark+Fire%27&amp;tbm=isch&amp;ved=2ahUKEwj7_N3yybv8AhUyvHIEHaYeB7MQ2-cCegQIABAA&amp;oq=Dark+Fire+Loropetalum+chinensis+var.+rubrum+%27Dark+Fire%27&amp;gs_lcp=CgNpbWcQDFCOHViOHWDMM2gAcAB4AIABowGIAdIBkgEDMS4xmAEAoAEBqgELZ3dzLXdpei1pbWfAAQE&amp;sclient=img&amp;ei=n5q8Y7uxC7L4ytMPpr2cmAs&amp;bih=878&amp;biw=1750&amp;hl=en" TargetMode="External"/><Relationship Id="rId284" Type="http://schemas.openxmlformats.org/officeDocument/2006/relationships/hyperlink" Target="https://www.google.com/search?q=encore+azaleas&amp;tbm=isch&amp;ved=2ahUKEwj91OefnfXoAhWD0FMKHSjEAxcQ2-cCegQIABAA&amp;oq=Encore+&amp;gs_lcp=CgNpbWcQARgAMgIIADICCAAyAggAMgIIADICCAAyAggAMgIIADICCAAyAggAMgIIADoECCMQJzoECAAQQzoFCAAQgwFQoDBYgDhgj0toAHAAeACAAU-IAekDkgEBN5gBAKABAaoBC2d3cy13aXotaW1n&amp;sclient=img&amp;ei=DKecXv2eLIOhzwKoiI-4AQ&amp;bih=878&amp;biw=1750&amp;hl=en" TargetMode="External"/><Relationship Id="rId491" Type="http://schemas.openxmlformats.org/officeDocument/2006/relationships/hyperlink" Target="https://www.google.com/search?q=Blue+Pacific+Juniper+Juniperus+conferta+%27Blue+Pacific%27&amp;tbm=isch&amp;ved=2ahUKEwi5lJG35IzrAhUINa0KHQBkDu0Q2-cCegQIABAA&amp;oq=Blue+Pacific+Juniper+Juniperus+conferta+%27Blue+Pacific%27&amp;gs_lcp=CgNpbWcQDFDlP1jlP2CwSWgAcAB4AIABWIgBWJIBATGYAQCgAQGqAQtnd3Mtd2l6LWltZ8ABAQ&amp;sclient=img&amp;ei=bzgvX_mgIojqtAWAyLnoDg&amp;authuser=1&amp;bih=841&amp;biw=1772" TargetMode="External"/><Relationship Id="rId505" Type="http://schemas.openxmlformats.org/officeDocument/2006/relationships/hyperlink" Target="https://plants.ces.ncsu.edu/plants/carex/" TargetMode="External"/><Relationship Id="rId712" Type="http://schemas.openxmlformats.org/officeDocument/2006/relationships/hyperlink" Target="https://plants.ces.ncsu.edu/plants/ficus-carica/" TargetMode="External"/><Relationship Id="rId37" Type="http://schemas.openxmlformats.org/officeDocument/2006/relationships/hyperlink" Target="https://www.google.com/search?q=Sky+Pencil+Holly+Ilex+crenata+%27Sky+Pencil%27&amp;tbm=isch&amp;ved=2ahUKEwilpIn73-foAhWUYqwKHQvSD4AQ2-cCegQIABAA&amp;oq=Sky+Pencil+Holly+Ilex+crenata+%27Sky+Pencil%27&amp;gs_lcp=CgNpbWcQDFDDbljDbmD0eGgAcAB4AIABX4gBX5IBATGYAQCgAQGqAQtnd3Mtd2l6LWltZw&amp;sclient=img&amp;ei=9JWVXqXaH5TFsQWLpL-ACA&amp;bih=831&amp;biw=1428" TargetMode="External"/><Relationship Id="rId79" Type="http://schemas.openxmlformats.org/officeDocument/2006/relationships/hyperlink" Target="https://plants.ces.ncsu.edu/plants/cedrus-atlantica/common-name/blue-atlas-cedar/" TargetMode="External"/><Relationship Id="rId102" Type="http://schemas.openxmlformats.org/officeDocument/2006/relationships/hyperlink" Target="https://www.google.com/search?q=White+Oak+Quercus+alba&amp;tbm=isch&amp;ved=2ahUKEwipgfGgl9HoAhVF0VMKHaKOBwcQ2-cCegQIABAA&amp;oq=White+Oak+Quercus+alba&amp;gs_lcp=CgNpbWcQDDICCAAyBggAEAgQHjIGCAAQCBAeUMPwD1jD8A9g5IEQaABwAHgAgAE7iAE7kgEBMZgBAKABAaoBC2d3cy13aXotaW1n&amp;sclient=img&amp;ei=7cCJXunWL8WizwKinZ44&amp;bih=900&amp;biw=1761" TargetMode="External"/><Relationship Id="rId144" Type="http://schemas.openxmlformats.org/officeDocument/2006/relationships/hyperlink" Target="https://www.google.com/search?q=Allee+Chinese+Elm+Ulmus+parvifolia+%27Allee%27&amp;tbm=isch&amp;ved=2ahUKEwiE15bZkOjyAhWMUawKHVaeC9cQ2-cCegQIABAA&amp;oq=Allee+Chinese+Elm+Ulmus+parvifolia+%27Allee%27&amp;gs_lcp=CgNpbWcQDFDAa1jAa2DldGgAcAB4AIABbogBbpIBAzAuMZgBAKABAaoBC2d3cy13aXotaW1nwAEB&amp;sclient=img&amp;ei=v980YcT7NYyjsQXWvK64DQ&amp;bih=878&amp;biw=1767" TargetMode="External"/><Relationship Id="rId547" Type="http://schemas.openxmlformats.org/officeDocument/2006/relationships/hyperlink" Target="https://www.google.com/search?q=Dwarf+Fountain+Grass+Pennisetum+alopecuroides+%E2%80%98Hameln%E2%80%99&amp;tbm=isch&amp;ved=2ahUKEwjirJXW5_voAhXHLawKHe8dA4IQ2-cCegQIABAA&amp;oq=Dwarf+Fountain+Grass+Pennisetum+alopecuroides+%E2%80%98Hameln%E2%80%99&amp;gs_lcp=CgNpbWcQDFDH2j1Yx9o9YKDkPWgAcAB4AIABbogBbpIBAzAuMZgBAKABAaoBC2d3cy13aXotaW1n&amp;sclient=img&amp;ei=ZRqgXqLmFsfbsAXvu4yQCA&amp;bih=878&amp;biw=1454" TargetMode="External"/><Relationship Id="rId589" Type="http://schemas.openxmlformats.org/officeDocument/2006/relationships/hyperlink" Target="https://www.google.com/search?q=Flirt+Nandina+Nandina+domestica+%27Flirt%27&amp;tbm=isch&amp;ved=2ahUKEwiZtKyntvXoAhUMLq0KHdTwASgQ2-cCegQIABAA&amp;oq=Flirt+Nandina+Nandina+domestica+%27Flirt%27&amp;gs_lcp=CgNpbWcQDFClrgRYpa4EYIa4BGgAcAB4AIABAIgBAJIBAJgBAKABAaoBC2d3cy13aXotaW1n&amp;sclient=img&amp;ei=U8GcXtm-GYzctAXU4YfAAg&amp;bih=878&amp;biw=1437&amp;hl=en" TargetMode="External"/><Relationship Id="rId754" Type="http://schemas.openxmlformats.org/officeDocument/2006/relationships/hyperlink" Target="https://plants.ces.ncsu.edu/plants/edgeworthia-chrysantha/common-name/paperbush/" TargetMode="External"/><Relationship Id="rId796" Type="http://schemas.openxmlformats.org/officeDocument/2006/relationships/hyperlink" Target="https://www.trees2go.com/grower-five/" TargetMode="External"/><Relationship Id="rId90" Type="http://schemas.openxmlformats.org/officeDocument/2006/relationships/hyperlink" Target="https://www.google.com/search?q=American+Pillar+Arborvitae+Thuja+occidentalis+%22American+Pillar%27&amp;tbm=isch&amp;ved=2ahUKEwi7rL3fht77AhWalmoFHZH3DY8Q2-cCegQIABAA&amp;oq=American+Pillar+Arborvitae+Thuja+occidentalis+%22American+Pillar%27&amp;gs_lcp=CgNpbWcQDDoFCAAQgARQxw5Y-lJgw1xoAHAAeACAAVCIAbYCkgEBNJgBAKABAaoBC2d3cy13aXotaW1nwAEB&amp;sclient=img&amp;ei=9ZGLY_vdOpqtqtsPke-3-Ag&amp;bih=831&amp;biw=1428" TargetMode="External"/><Relationship Id="rId186" Type="http://schemas.openxmlformats.org/officeDocument/2006/relationships/hyperlink" Target="https://www.google.com/search?q=Purple+Magic+Crape+Myrtle+Lagerstroemia+%27Purple+Magic%27+&amp;tbm=isch&amp;ved=2ahUKEwjc8rLxy6X9AhW7F2IAHQU3CrEQ2-cCegQIABAA&amp;oq=Purple+Magic+Crape+Myrtle+Lagerstroemia+%27Purple+Magic%27+&amp;gs_lcp=CgNpbWcQDDoECAAQQzoFCAAQgAQ6BggAEAcQHlCdEFjoLmDfSGgAcAB4AIABOIgBjgGSAQEzmAEAoAEBqgELZ3dzLXdpei1pbWfAAQE&amp;sclient=img&amp;ei=yS_0Y5zqH7uviLMPhe6oiAs&amp;authuser=1&amp;bih=824&amp;biw=1754&amp;hl=en" TargetMode="External"/><Relationship Id="rId351" Type="http://schemas.openxmlformats.org/officeDocument/2006/relationships/hyperlink" Target="https://www.google.com/search?q=Winter+Gem+Boxwood+Buxus+microphylla+%27Winter+Gem%27&amp;tbm=isch&amp;ved=2ahUKEwjn2sWupvXoAhUZNa0KHW5_D1IQ2-cCegQIABAA&amp;oq=Winter+Gem+Boxwood+Buxus+microphylla+%27Winter+Gem%27&amp;gs_lcp=CgNpbWcQDFDy5n9Y8uZ_YLmDgAFoAHAAeACAAW6IAW6SAQMwLjGYAQCgAQGqAQtnd3Mtd2l6LWltZw&amp;sclient=img&amp;ei=m7CcXqehIZnqtAXu_r2QBQ&amp;bih=878&amp;biw=1750&amp;hl=en" TargetMode="External"/><Relationship Id="rId393" Type="http://schemas.openxmlformats.org/officeDocument/2006/relationships/hyperlink" Target="https://www.google.com/search?q=New+Gold+Lantana+camara+%27New+Gold%27&amp;tbm=isch&amp;ved=2ahUKEwjS-Kzp6YT3AhUQz1MKHVuMC5QQ2-cCegQIABAA&amp;oq=New+Gold+Lantana+camara+%27New+Gold%27&amp;gs_lcp=CgNpbWcQDDIHCCMQ7wMQJ1DnD1jzLWDOPGgAcAB4AIABSIgBwAGSAQEzmAEAoAEBqgELZ3dzLXdpei1pbWfAAQE&amp;sclient=img&amp;ei=x1pQYpL5EJCezwLbmK6gCQ&amp;authuser=1&amp;bih=866&amp;biw=1434" TargetMode="External"/><Relationship Id="rId407" Type="http://schemas.openxmlformats.org/officeDocument/2006/relationships/hyperlink" Target="https://plants.ces.ncsu.edu/plants/viburnum-plicatum-f-tomentosum/" TargetMode="External"/><Relationship Id="rId449" Type="http://schemas.openxmlformats.org/officeDocument/2006/relationships/hyperlink" Target="https://www.google.com/search?q=Tiny+Tuff+Stuff%E2%84%A2+Mountain+Hydrangea+serrata+%27MAKD%27+PP24842&amp;tbm=isch&amp;ved=2ahUKEwiwzfDAkKT0AhXI6FMKHdNmAYcQ2-cCegQIABAA&amp;oq=Tiny+Tuff+Stuff%E2%84%A2+Mountain+Hydrangea+serrata+%27MAKD%27+PP24842&amp;gs_lcp=CgNpbWcQDDIGCAAQBxAeOgUIABCABFC8DFi8DGCcMGgAcAB4AIABgQGIAcwBkgEDMS4xmAEAoAEBqgELZ3dzLXdpei1pbWfAAQE&amp;sclient=img&amp;ei=e3CXYfCjLcjRzwLTzYW4CA&amp;authuser=1&amp;bih=927&amp;biw=1405&amp;hl=en" TargetMode="External"/><Relationship Id="rId614" Type="http://schemas.openxmlformats.org/officeDocument/2006/relationships/hyperlink" Target="https://www.google.com/search?q=Becky+Shasta+Daisy+Leucanthemum+x+superbum+%27Becky%27&amp;authuser=1&amp;source=lnms&amp;tbm=isch&amp;sa=X&amp;ved=2ahUKEwjQ66TkvfbwAhVvAp0JHT-zBzMQ_AUoAXoECAEQAw&amp;biw=1646&amp;bih=863" TargetMode="External"/><Relationship Id="rId656" Type="http://schemas.openxmlformats.org/officeDocument/2006/relationships/hyperlink" Target="https://www.google.com/search?q=Twisty+Baby(TM)+Black+Locust+Robinia+pseudoacacia+%27Lace+Lady%27&amp;tbm=isch&amp;ved=2ahUKEwjPwZyep-jyAhUkQUIHHTu7D44Q2-cCegQIABAA&amp;oq=Twisty+Baby(TM)+Black+Locust+Robinia+pseudoacacia+%27Lace+Lady%27&amp;gs_lcp=CgNpbWcQDDIHCCMQ7wMQJzIHCCMQ7wMQJ1CvYFivYGCdcmgAcAB4AIABfIgBfJIBAzAuMZgBAKABAaoBC2d3cy13aXotaW1nwAEB&amp;sclient=img&amp;ei=Yvc0Yc-IEKSCieoPu_a-8Ag&amp;bih=878&amp;biw=1750&amp;hl=en" TargetMode="External"/><Relationship Id="rId821" Type="http://schemas.openxmlformats.org/officeDocument/2006/relationships/hyperlink" Target="https://www.google.com/search?q=Blush+Pink%E2%84%A2+Nandina+domestica+%27Blush+Pink%27+PP%2319916&amp;tbm=isch&amp;ved=2ahUKEwi3wcuMn9GDAxXGIWIAHfuQBFkQ2-cCegQIABAA&amp;oq=Blush+Pink%E2%84%A2+Nandina+domestica+%27Blush+Pink%27+PP%2319916&amp;gs_lcp=CgNpbWcQDFCGFFiGFGCihgFoAHAAeACAAX6IAbwBkgEDMS4xmAEAoAEBqgELZ3dzLXdpei1pbWfAAQE&amp;sclient=img&amp;ei=nrmdZbf6HsbDiLMP-6GSyAU&amp;bih=773&amp;biw=1452&amp;hl=en" TargetMode="External"/><Relationship Id="rId863" Type="http://schemas.openxmlformats.org/officeDocument/2006/relationships/hyperlink" Target="https://www.google.com/search?q=Tropicanna%C2%AE+Black+Canna+lily+Canna+x+generalis+%27Tropicanna+Black%27+PP%2321350&amp;sca_esv=97d3c4185a5a42ee&amp;udm=2&amp;biw=1854&amp;bih=734&amp;sxsrf=ACQVn0-yyrdUai_qDyypUMWiZ-FD41amOw%3A1713823662344&amp;ei=rt8mZravFNzj5NoPxMiLcA&amp;ved=0ahUKEwi2vufU6taFAxXcMVkFHUTkAg4Q4dUDCBE&amp;oq=Tropicanna%C2%AE+Black+Canna+lily+Canna+x+generalis+%27Tropicanna+Black%27+PP%2321350&amp;gs_lp=Egxnd3Mtd2l6LXNlcnAiS1Ryb3BpY2FubmHCriBCbGFjayBDYW5uYSBsaWx5IENhbm5hIHggZ2VuZXJhbGlzICdUcm9waWNhbm5hIEJsYWNrJyBQUCMyMTM1MEiW7QFQ7glYhdYBcAF4AJABAJgBPKAB7ASqAQIxMbgBDMgBAPgBAfgBApgCAKACAJgDAIgGAZIHAKAH7wM&amp;sclient=gws-wiz-serp" TargetMode="External"/><Relationship Id="rId211" Type="http://schemas.openxmlformats.org/officeDocument/2006/relationships/hyperlink" Target="https://www.google.com/search?q=Colorama+Scarlet+Crape+Myrtle+Lagerstroemia+%27Colorama+Scarlet%27&amp;tbm=isch&amp;ved=2ahUKEwin7-z81_ToAhUK3VMKHY57B5gQ2-cCegQIABAA&amp;oq=Colorama+Scarlet+Crape+Myrtle+Lagerstroemia+%27Colorama+Scarlet%27&amp;gs_lcp=CgNpbWcQDFC7pwVYnr0FYPHHBWgAcAB4AIABaogBqQGSAQMxLjGYAQCgAQGqAQtnd3Mtd2l6LWltZw&amp;sclient=img&amp;ei=aV6cXueWFoq6zwKO953ACQ&amp;bih=878&amp;biw=1750&amp;hl=en" TargetMode="External"/><Relationship Id="rId253" Type="http://schemas.openxmlformats.org/officeDocument/2006/relationships/hyperlink" Target="https://www.google.com/search?q=Ruby+Loropetalum+chinense+%27Ruby%27&amp;tbm=isch&amp;ved=2ahUKEwiJwob-kpDyAhWdQkIHHS58DH4Q2-cCegQIABAA&amp;oq=Ruby+Loropetalum+chinense+%27Ruby%27&amp;gs_lcp=CgNpbWcQDFDBnQFYwZ0BYISpAWgAcAB4AIABQ4gBQ5IBATGYAQCgAQGqAQtnd3Mtd2l6LWltZ8ABAQ&amp;sclient=img&amp;ei=_b4GYcnPBp2FieoPrvix8Ac&amp;bih=824&amp;biw=1641&amp;hl=en" TargetMode="External"/><Relationship Id="rId295" Type="http://schemas.openxmlformats.org/officeDocument/2006/relationships/hyperlink" Target="https://www.google.com/search?q=Little+Henry+Virginia+Sweetspire+Itea+virginica+Little+Henry%C2%AE+Itea+virginica+%27Sprich%27+PP10988&amp;tbm=isch&amp;ved=2ahUKEwjBz_HwzqX9AhXFF2IAHY5pBQQQ2-cCegQIABAA&amp;oq=Little+Henry+Virginia+Sweetspire+Itea+virginica+Little+Henry%C2%AE+Itea+virginica+%27Sprich%27+PP10988&amp;gs_lcp=CgNpbWcQDFDmS1jGcmCQiAFoAXAAeACAATWIAa8DkgECMTCYAQCgAQGqAQtnd3Mtd2l6LWltZ8ABAQ&amp;sclient=img&amp;ei=7TL0Y4GlLsWviLMPjtOVIA" TargetMode="External"/><Relationship Id="rId309" Type="http://schemas.openxmlformats.org/officeDocument/2006/relationships/hyperlink" Target="https://plants.ces.ncsu.edu/plants/nandina-domestica-fire-power/common-name/fire-power-nandina/" TargetMode="External"/><Relationship Id="rId460" Type="http://schemas.openxmlformats.org/officeDocument/2006/relationships/hyperlink" Target="https://www.google.com/search?q=Legacy+Blueberry+Vaccinium+virgatum+%27Legacy%27&amp;tbm=isch&amp;ved=2ahUKEwiNj4DJ8fbsAhUSRawKHdrUDEAQ2-cCegQIABAA&amp;oq=Legacy+Blueberry+Vaccinium+virgatum+%27Legacy%27&amp;gs_lcp=CgNpbWcQDFDgoBtY4KAbYLOqG2gAcAB4AIABXIgBXJIBATGYAQCgAQGqAQtnd3Mtd2l6LWltZ8ABAQ&amp;sclient=img&amp;ei=KfWpX83WHJKKsQXaqbOABA&amp;bih=876&amp;biw=1435&amp;hl=en" TargetMode="External"/><Relationship Id="rId516" Type="http://schemas.openxmlformats.org/officeDocument/2006/relationships/hyperlink" Target="https://www.google.com/search?q=Variegated+Sweet+Flag+Acorus+calamus+%E2%80%98Variegatus%E2%80%99&amp;authuser=1&amp;hl=en&amp;sxsrf=ALiCzsaf3r9BUU-3ISFIf6c6c90YRFm6oA:1652567448348&amp;source=lnms&amp;tbm=isch&amp;sa=X&amp;ved=2ahUKEwjtnOe9heD3AhUQH80KHZpNApkQ_AUoAnoECAEQBA&amp;biw=1608&amp;bih=889&amp;dpr=1" TargetMode="External"/><Relationship Id="rId698" Type="http://schemas.openxmlformats.org/officeDocument/2006/relationships/hyperlink" Target="https://www.google.com/search?q=Sea+Green+Juniper+Juniperus+chinensis+%27Sea+Green%27&amp;authuser=1&amp;hl=en&amp;sxsrf=ALeKk00haym2L0Se9vHsOEp03IzkYN_kRQ:1596937027003&amp;source=lnms&amp;tbm=isch&amp;sa=X&amp;ved=2ahUKEwjyjeSB_ozrAhUEnKwKHeUEBSsQ_AUoAnoECAwQBA&amp;biw=1772&amp;bih=841" TargetMode="External"/><Relationship Id="rId48" Type="http://schemas.openxmlformats.org/officeDocument/2006/relationships/hyperlink" Target="https://www.google.com/search?q=DeGroot%27s+Spire+Arborvitae+Thuja+occidentalis+%27DeGroot%27s+Spire%27&amp;tbm=isch&amp;ved=2ahUKEwjSlpnv1ufoAhVGJ6wKHXEEA1IQ2-cCegQIABAA&amp;oq=DeGroot%27s+Spire+Arborvitae+Thuja+occidentalis+%27DeGroot%27s+Spire%27&amp;gs_lcp=CgNpbWcQDFCXhQFYl4UBYIiRAWgAcAB4AIABS4gBS5IBATGYAQCgAQGqAQtnd3Mtd2l6LWltZw&amp;sclient=img&amp;ei=a4yVXpK1KsbOsAXxiIyQBQ&amp;bih=831&amp;biw=1428" TargetMode="External"/><Relationship Id="rId113" Type="http://schemas.openxmlformats.org/officeDocument/2006/relationships/hyperlink" Target="https://www.trees2go.com/grower-four/" TargetMode="External"/><Relationship Id="rId320" Type="http://schemas.openxmlformats.org/officeDocument/2006/relationships/hyperlink" Target="https://plants.ces.ncsu.edu/plants/loropetalum-chinense-f-rubrum/" TargetMode="External"/><Relationship Id="rId558" Type="http://schemas.openxmlformats.org/officeDocument/2006/relationships/hyperlink" Target="https://www.google.com/search?q=Kay%27s+Early+Hope+Redbud+Cercis+chinensis+%27Kay%27s+Early+Hope%27&amp;authuser=1&amp;hl=en&amp;source=lnms&amp;tbm=isch&amp;sa=X&amp;ved=2ahUKEwiK2e71i-vwAhXnTN8KHXMkAUoQ_AUoAXoECAEQAw&amp;biw=1379&amp;bih=875" TargetMode="External"/><Relationship Id="rId723" Type="http://schemas.openxmlformats.org/officeDocument/2006/relationships/hyperlink" Target="https://www.google.com/search?q=Karley+Rose+Fountain+Grass+Pennisetum+orientale+%E2%80%98Karley+Rose%E2%80%99&amp;tbm=isch&amp;ved=2ahUKEwjE7I-F7PvoAhUBOawKHaLECKcQ2-cCegQIABAA&amp;oq=Karley+Rose+Fountain+Grass+Pennisetum+orientale+%E2%80%98Karley+Rose%E2%80%99&amp;gs_lcp=CgNpbWcQDFAAWABgi9oHaABwAHgAgAEAiAEAkgEAmAEAqgELZ3dzLXdpei1pbWc&amp;sclient=img&amp;ei=-R6gXoSMJIHysAWiiaO4Cg&amp;bih=829&amp;biw=1454&amp;hl=en" TargetMode="External"/><Relationship Id="rId765" Type="http://schemas.openxmlformats.org/officeDocument/2006/relationships/hyperlink" Target="https://www.trees2go.com/grower-four/" TargetMode="External"/><Relationship Id="rId155" Type="http://schemas.openxmlformats.org/officeDocument/2006/relationships/hyperlink" Target="https://www.google.com/search?q=Dawn+Redwood+Metasequoia+glyptostroboides&amp;tbm=isch&amp;ved=2ahUKEwj47tHNsvjoAhUJzKwKHV-TCbIQ2-cCegQIABAA&amp;oq=Dawn+Redwood+Metasequoia+glyptostroboides&amp;gs_lcp=CgNpbWcQDDICCAAyBggAEAgQHjIGCAAQCBAeUNXjC1jV4wtg1_ALaABwAHgAgAFdiAFdkgEBMZgBAKABAaoBC2d3cy13aXotaW1n&amp;sclient=img&amp;ei=GVCeXrj-C4mYswXfpqaQCw&amp;authuser=1&amp;bih=878&amp;biw=1454" TargetMode="External"/><Relationship Id="rId197" Type="http://schemas.openxmlformats.org/officeDocument/2006/relationships/hyperlink" Target="https://plants.ces.ncsu.edu/plants/acer-palmatum-sango-kaku/common-name/coral-bark-japanese-maple/" TargetMode="External"/><Relationship Id="rId362" Type="http://schemas.openxmlformats.org/officeDocument/2006/relationships/hyperlink" Target="https://www.google.com/search?q=Bloomstruck%C2%AE+Hydrangea+macrophylla+%27Bloomstruck%27&amp;tbm=isch&amp;ved=2ahUKEwimpcKjsYn0AhUBQK0KHdMdBrsQ2-cCegQIABAA&amp;oq=Bloomstruck%C2%AE+Hydrangea+macrophylla+%27Bloomstruck%27&amp;gs_lcp=CgNpbWcQDDoHCCMQ7wMQJ1CrD1irD2CyH2gAcAB4AIABVIgBpAGSAQEymAEAoAEBqgELZ3dzLXdpei1pbWfAAQE&amp;sclient=img&amp;ei=92qJYebNJIGAtQXTu5jYCw&amp;bih=876&amp;biw=1435&amp;hl=en" TargetMode="External"/><Relationship Id="rId418" Type="http://schemas.openxmlformats.org/officeDocument/2006/relationships/hyperlink" Target="https://plants.ces.ncsu.edu/plants/syringa-pubescens-subsp-patula/common-name/miss-kim-lilac/" TargetMode="External"/><Relationship Id="rId625" Type="http://schemas.openxmlformats.org/officeDocument/2006/relationships/hyperlink" Target="https://plants.ces.ncsu.edu/plants/juniperus-conferta/" TargetMode="External"/><Relationship Id="rId832" Type="http://schemas.openxmlformats.org/officeDocument/2006/relationships/hyperlink" Target="https://plants.ces.ncsu.edu/plants/distylium/" TargetMode="External"/><Relationship Id="rId222" Type="http://schemas.openxmlformats.org/officeDocument/2006/relationships/hyperlink" Target="https://www.google.com/search?q=Seven-Son+Flower+Tree+Heptacodium+miconioides&amp;tbm=isch&amp;ved=2ahUKEwjJr-CGvp77AhUTjuAKHXcEBfcQ2-cCegQIABAA&amp;oq=Seven-Son+Flower+Tree+Heptacodium+miconioides&amp;gs_lcp=CgNpbWcQDFCiDFjKEWCSHmgAcAB4AIABV4gBgwKSAQEzmAEAoAEBqgELZ3dzLXdpei1pbWfAAQE&amp;sclient=img&amp;ei=BT5qY4mZAZOcggf3iJS4Dw&amp;authuser=1&amp;bih=871&amp;biw=1392" TargetMode="External"/><Relationship Id="rId264" Type="http://schemas.openxmlformats.org/officeDocument/2006/relationships/hyperlink" Target="https://plants.ces.ncsu.edu/plants/camellia-sasanqua/" TargetMode="External"/><Relationship Id="rId471" Type="http://schemas.openxmlformats.org/officeDocument/2006/relationships/hyperlink" Target="https://www.google.com/search?q=Fort+Hill+Creeping+Phlox+subulata+%27Fort+Hill%27&amp;tbm=isch&amp;ved=2ahUKEwjVo6y8jZT5AhVh81MKHXgGBvsQ2-cCegQIABAA&amp;oq=Fort+Hill+Creeping+Phlox+subulata+%27Fort+Hill%27&amp;gs_lcp=CgNpbWcQDDoECCMQJ1D8Dlj8DmC9GmgAcAB4AIABV4gBqQGSAQEymAEAoAEBqgELZ3dzLXdpei1pbWfAAQE&amp;sclient=img&amp;ei=KZXeYpXrKOHmzwL4jJjYDw&amp;bih=876&amp;biw=1435&amp;hl=en" TargetMode="External"/><Relationship Id="rId667" Type="http://schemas.openxmlformats.org/officeDocument/2006/relationships/hyperlink" Target="https://plants.ces.ncsu.edu/plants/prunus-cerasus/common-name/weeping-cherry/" TargetMode="External"/><Relationship Id="rId17" Type="http://schemas.openxmlformats.org/officeDocument/2006/relationships/hyperlink" Target="https://plants.ces.ncsu.edu/plants/sabal-minor/common-name/dwarf-palmetto/" TargetMode="External"/><Relationship Id="rId59" Type="http://schemas.openxmlformats.org/officeDocument/2006/relationships/hyperlink" Target="https://plants.ces.ncsu.edu/plants/thuja-plicata/" TargetMode="External"/><Relationship Id="rId124" Type="http://schemas.openxmlformats.org/officeDocument/2006/relationships/hyperlink" Target="https://www.google.com/search?q=Legacy+Sugar+Maple+Acer+saccharum+%27Legacy%27&amp;hl=en&amp;sxsrf=ALeKk02TlFbIvkJ4RWR2B8hMHffKIcjPYA:1621472539606&amp;source=lnms&amp;tbm=isch&amp;sa=X&amp;ved=2ahUKEwjLvPH1h9fwAhUOPq0KHcr5BiYQ_AUoAnoECAEQBA&amp;biw=1405&amp;bih=893" TargetMode="External"/><Relationship Id="rId527" Type="http://schemas.openxmlformats.org/officeDocument/2006/relationships/hyperlink" Target="https://plants.ces.ncsu.edu/plants/rudbeckia-fulgida/common-name/black-eyed-susan/" TargetMode="External"/><Relationship Id="rId569" Type="http://schemas.openxmlformats.org/officeDocument/2006/relationships/hyperlink" Target="https://plants.ces.ncsu.edu/plants/styrax-japonicus/common-name/japanese-snowbell/" TargetMode="External"/><Relationship Id="rId734" Type="http://schemas.openxmlformats.org/officeDocument/2006/relationships/hyperlink" Target="https://plants.ces.ncsu.edu/plants/nyssa-sylvatica/common-name/black-gum/" TargetMode="External"/><Relationship Id="rId776" Type="http://schemas.openxmlformats.org/officeDocument/2006/relationships/hyperlink" Target="https://plants.ces.ncsu.edu/plants/tradescantia-x-andersoniana/" TargetMode="External"/><Relationship Id="rId70" Type="http://schemas.openxmlformats.org/officeDocument/2006/relationships/hyperlink" Target="https://www.google.com/search?q=Wax+Myrtle+Myrica+cerifera&amp;tbm=isch&amp;ved=2ahUKEwieovSSlv_xAhUN6awKHQ2oCGMQ2-cCegQIABAA&amp;oq=Wax+Myrtle+Myrica+cerifera&amp;gs_lcp=CgNpbWcQDDIECCMQJzIGCAAQCBAeMgYIABAIEB5Q8fwBWJWRAmCqnQJoAXAAeACAAYYBiAG2ApIBAzIuMZgBAKABAaoBC2d3cy13aXotaW1nwAEB&amp;sclient=img&amp;ei=mtj9YJ7tJI3SswWN0KKYBg&amp;bih=876&amp;biw=1499&amp;hl=en" TargetMode="External"/><Relationship Id="rId166" Type="http://schemas.openxmlformats.org/officeDocument/2006/relationships/hyperlink" Target="https://plants.ces.ncsu.edu/plants/quercus-robur/" TargetMode="External"/><Relationship Id="rId331" Type="http://schemas.openxmlformats.org/officeDocument/2006/relationships/hyperlink" Target="https://plants.ces.ncsu.edu/plants/viburnum-davidii/" TargetMode="External"/><Relationship Id="rId373" Type="http://schemas.openxmlformats.org/officeDocument/2006/relationships/hyperlink" Target="https://plants.ces.ncsu.edu/plants/weigela-florida/common-name/weigela/" TargetMode="External"/><Relationship Id="rId429" Type="http://schemas.openxmlformats.org/officeDocument/2006/relationships/hyperlink" Target="https://www.google.com/search?q=Sweet+Drift+Rose+Rosa+%27Meiswetdom%27+PP21612&amp;tbm=isch&amp;ved=2ahUKEwj56MiI85D0AhVDLK0KHRimDTkQ2-cCegQIABAA&amp;oq=Sweet+Drift+Rose+Rosa+%27Meiswetdom%27+PP21612&amp;gs_lcp=CgNpbWcQDDoHCCMQ7wMQJ1CYFViYFWDmIGgAcAB4AIABaYgBywGSAQMxLjGYAQCgAQGqAQtnd3Mtd2l6LWltZ8ABAQ&amp;sclient=img&amp;ei=eVuNYbnIPMPYtAWYzLbIAw&amp;bih=878&amp;biw=1454&amp;hl=en" TargetMode="External"/><Relationship Id="rId580" Type="http://schemas.openxmlformats.org/officeDocument/2006/relationships/hyperlink" Target="https://plants.ces.ncsu.edu/plants/syringa-penda-bloomerang/" TargetMode="External"/><Relationship Id="rId636" Type="http://schemas.openxmlformats.org/officeDocument/2006/relationships/hyperlink" Target="https://plants.ces.ncsu.edu/plants/astilbe-japonica/common-name/astilbe/" TargetMode="External"/><Relationship Id="rId801" Type="http://schemas.openxmlformats.org/officeDocument/2006/relationships/hyperlink" Target="https://www.trees2go.com/grower-four/" TargetMode="External"/><Relationship Id="rId1" Type="http://schemas.openxmlformats.org/officeDocument/2006/relationships/printerSettings" Target="../printerSettings/printerSettings1.bin"/><Relationship Id="rId233" Type="http://schemas.openxmlformats.org/officeDocument/2006/relationships/hyperlink" Target="https://www.google.com/search?q=Woodland+Ruby+Anise+Illicium+x+%27Woodland+Ruby%27&amp;tbm=isch&amp;ved=2ahUKEwjRqMSY17PpAhUS66wKHd6WA_kQ2-cCegQIABAA&amp;oq=Woodland+Ruby+Anise+Illicium+x+%27Woodland+Ruby%27&amp;gs_lcp=CgNpbWcQDDIECCMQJzIECCMQJ1CZC1jJDGDAFWgAcAB4AIABWYgBrgGSAQEymAEAoAEBqgELZ3dzLXdpei1pbWc&amp;sclient=img&amp;ei=TmW9XtHJHpLWswXerY7IDw&amp;bih=804&amp;biw=1613&amp;safe=active&amp;hl=en" TargetMode="External"/><Relationship Id="rId440" Type="http://schemas.openxmlformats.org/officeDocument/2006/relationships/hyperlink" Target="https://www.google.com/search?q=Pugster%C2%AE+Amethyst+Butterfly+Bush+Buddleia+%27SMNBDL%27+PP30236&amp;hl=en&amp;sxsrf=AOaemvLTUCX_9MO2zwfT7iqmkxdkMNH_Vw:1636654229151&amp;source=lnms&amp;tbm=isch&amp;sa=X&amp;ved=2ahUKEwih0sqP9JD0AhWflWoFHd57CRgQ_AUoAnoECAEQBA&amp;biw=1417&amp;bih=824&amp;dpr=1" TargetMode="External"/><Relationship Id="rId678" Type="http://schemas.openxmlformats.org/officeDocument/2006/relationships/hyperlink" Target="https://www.google.com/search?q=Nandina+domestica&amp;tbm=isch&amp;ved=2ahUKEwjR_JX1jYfpAhVN9qwKHSQRAjQQ2-cCegQIABAA&amp;oq=Nandina+domestica&amp;gs_lcp=CgNpbWcQDDIECAAQQzIECAAQQzICCAAyAggAMgIIADICCAAyBAgAEEMyBAgAEEMyAggAMgIIAFDKIljKImCaLmgAcAB4AIABWYgBWZIBATGYAQCgAQGqAQtnd3Mtd2l6LWltZw&amp;sclient=img&amp;ei=5AamXtH6A83sswWkooigAw&amp;bih=866&amp;biw=1434&amp;hl=en" TargetMode="External"/><Relationship Id="rId843" Type="http://schemas.openxmlformats.org/officeDocument/2006/relationships/hyperlink" Target="https://plants.ces.ncsu.edu/plants/miscanthus-sinensis/" TargetMode="External"/><Relationship Id="rId28" Type="http://schemas.openxmlformats.org/officeDocument/2006/relationships/hyperlink" Target="https://plants.ces.ncsu.edu/plants/juniperus-chinensis-kaizuka/common-name/hollywood-juniper/" TargetMode="External"/><Relationship Id="rId275" Type="http://schemas.openxmlformats.org/officeDocument/2006/relationships/hyperlink" Target="https://www.google.com/search?q=Angelica+Blue+Juniper+juniperus+chinensis+%27angelica+blue%27&amp;hl=en&amp;sxsrf=ALeKk02rJ9XcJ2XPd25fNzOPmRn9lFlQ3g:1590230968714&amp;source=lnms&amp;tbm=isch&amp;sa=X&amp;ved=2ahUKEwirzYCA6MnpAhUsU98KHd4RCnoQ_AUoAXoECA8QAw&amp;biw=1784&amp;bih=827" TargetMode="External"/><Relationship Id="rId300" Type="http://schemas.openxmlformats.org/officeDocument/2006/relationships/hyperlink" Target="https://plants.ces.ncsu.edu/plants/yucca-filamentosa/" TargetMode="External"/><Relationship Id="rId482" Type="http://schemas.openxmlformats.org/officeDocument/2006/relationships/hyperlink" Target="https://plants.ces.ncsu.edu/plants/miscanthus-sinensis/" TargetMode="External"/><Relationship Id="rId538" Type="http://schemas.openxmlformats.org/officeDocument/2006/relationships/hyperlink" Target="https://plants.ces.ncsu.edu/plants/hemerocallis/" TargetMode="External"/><Relationship Id="rId703" Type="http://schemas.openxmlformats.org/officeDocument/2006/relationships/hyperlink" Target="https://plants.ces.ncsu.edu/plants/carya-ovata/common-name/shagbark-hickory/" TargetMode="External"/><Relationship Id="rId745" Type="http://schemas.openxmlformats.org/officeDocument/2006/relationships/hyperlink" Target="https://plants.ces.ncsu.edu/plants/acer-palmatum/" TargetMode="External"/><Relationship Id="rId81" Type="http://schemas.openxmlformats.org/officeDocument/2006/relationships/hyperlink" Target="https://www.google.com/search?q=Nellie+Stevens+Holly+Ilex+x+%27Nellie+R.+Stevens%27&amp;tbm=isch&amp;ved=2ahUKEwi9w8n7oaD0AhVSTqwKHf5eAToQ2-cCegQIABAA&amp;oq=Nellie+Stevens+Holly+Ilex+x+%27Nellie+R.+Stevens%27&amp;gs_lcp=CgNpbWcQDDIHCCMQ7wMQJzIHCCMQ7wMQJ1DdHVixU2DdgwFoAHAAeACAAcMBiAGfBZIBAzYuMZgBAKABAaoBC2d3cy13aXotaW1nwAEB&amp;sclient=img&amp;ei=62mVYf2hEdKcsQX-vYXQAw&amp;bih=831&amp;biw=1428" TargetMode="External"/><Relationship Id="rId135" Type="http://schemas.openxmlformats.org/officeDocument/2006/relationships/hyperlink" Target="https://www.google.com/search?q=Jane+Magnolia+x+%27Jane%27&amp;authuser=1&amp;source=lnms&amp;tbm=isch&amp;sa=X&amp;ved=2ahUKEwi2qL_3-JzwAhVSiuAKHQA-BEAQ_AUoAXoECAEQAw&amp;biw=1444&amp;bih=824" TargetMode="External"/><Relationship Id="rId177" Type="http://schemas.openxmlformats.org/officeDocument/2006/relationships/hyperlink" Target="https://plants.ces.ncsu.edu/plants/lagerstroemia-indica/" TargetMode="External"/><Relationship Id="rId342" Type="http://schemas.openxmlformats.org/officeDocument/2006/relationships/hyperlink" Target="https://www.google.com/search?q=Gulf+Stream+Nandina+domestica+%27Gulf+Stream%27&amp;tbm=isch&amp;ved=2ahUKEwiyvtPKzaX9AhXgFWIAHY3jDmMQ2-cCegQIABAA&amp;oq=Gulf+Stream+Nandina+domestica+%27Gulf+Stream%27&amp;gs_lcp=CgNpbWcQDDoECCMQJ1DcFVjcFWDvJWgAcAB4AIABM4gBYJIBATKYAQCgAQGqAQtnd3Mtd2l6LWltZ8ABAQ&amp;sclient=img&amp;ei=kTH0Y_KxCOCriLMPjce7mAY&amp;bih=878&amp;biw=1437&amp;hl=en" TargetMode="External"/><Relationship Id="rId384" Type="http://schemas.openxmlformats.org/officeDocument/2006/relationships/hyperlink" Target="https://plants.ces.ncsu.edu/plants/hydrangea-macrophylla/" TargetMode="External"/><Relationship Id="rId591" Type="http://schemas.openxmlformats.org/officeDocument/2006/relationships/hyperlink" Target="https://plants.ces.ncsu.edu/plants/ilex-glabra/" TargetMode="External"/><Relationship Id="rId605" Type="http://schemas.openxmlformats.org/officeDocument/2006/relationships/hyperlink" Target="https://plants.ces.ncsu.edu/plants/thuja-plicata/" TargetMode="External"/><Relationship Id="rId787" Type="http://schemas.openxmlformats.org/officeDocument/2006/relationships/hyperlink" Target="https://plants.ces.ncsu.edu/plants/carex-pensylvanica/common-name/pennsylvania-sedge/" TargetMode="External"/><Relationship Id="rId812" Type="http://schemas.openxmlformats.org/officeDocument/2006/relationships/hyperlink" Target="https://plants.ces.ncsu.edu/plants/sambucus-canadensis/common-name/elderberry/" TargetMode="External"/><Relationship Id="rId202" Type="http://schemas.openxmlformats.org/officeDocument/2006/relationships/hyperlink" Target="https://plants.ces.ncsu.edu/plants/metasequoia-glyptostroboides/" TargetMode="External"/><Relationship Id="rId244" Type="http://schemas.openxmlformats.org/officeDocument/2006/relationships/hyperlink" Target="https://plants.ces.ncsu.edu/plants/loropetalum-chinense/" TargetMode="External"/><Relationship Id="rId647" Type="http://schemas.openxmlformats.org/officeDocument/2006/relationships/hyperlink" Target="https://www.google.com/search?q=Variegated+Yucca+gloriosa+%27Variegata%27&amp;authuser=1&amp;hl=en&amp;source=lnms&amp;tbm=isch&amp;sa=X&amp;ved=2ahUKEwim_c-MhZ_uAhUNwlkKHXKeDkIQ_AUoAnoECB4QBA&amp;biw=1720&amp;bih=920" TargetMode="External"/><Relationship Id="rId689" Type="http://schemas.openxmlformats.org/officeDocument/2006/relationships/hyperlink" Target="https://plants.ces.ncsu.edu/plants/salix-babylonica/common-name/weeping-willow/" TargetMode="External"/><Relationship Id="rId854" Type="http://schemas.openxmlformats.org/officeDocument/2006/relationships/hyperlink" Target="https://www.google.com/search?q=Meyer+Lemon+Citrus+x+limon+%27Meyer%27&amp;sca_esv=6457b5ff455aa099&amp;authuser=1&amp;hl=en&amp;biw=1660&amp;bih=729&amp;udm=2&amp;sxsrf=ACQVn0_R4iwvgPCz-YxczPmQmgxLHGx2MQ%3A1712577209176&amp;ei=udoTZv-sCuel5NoPuNid2AM&amp;ved=0ahUKEwi_7c-hx7KFAxXnElkFHThsBzsQ4dUDCBE&amp;oq=Meyer+Lemon+Citrus+x+limon+%27Meyer%27&amp;gs_lp=Egxnd3Mtd2l6LXNlcnAiIk1leWVyIExlbW9uIENpdHJ1cyB4IGxpbW9uICdNZXllcidI0w9QAFgAcAB4AJABAJgBM6ABM6oBATG4AQzIAQD4AQL4AQGYAgCgAgCYAwCSBwCgBy0&amp;sclient=gws-wiz-serp" TargetMode="External"/><Relationship Id="rId39" Type="http://schemas.openxmlformats.org/officeDocument/2006/relationships/hyperlink" Target="https://www.google.com/search?q=Black+Dragon+Cryptomeria+Cryptomeria+japonica+%27Black+Dragon%27&amp;tbm=isch&amp;ved=2ahUKEwi3kPHh3efoAhURQKwKHT-FAS0Q2-cCegQIABAA&amp;oq=Black+Dragon+Cryptomeria+Cryptomeria+japonica+%27Black+Dragon%27&amp;gs_lcp=CgNpbWcQDFDPX1jPX2Cqa2gAcAB4AIABU4gBU5IBATGYAQCgAQGqAQtnd3Mtd2l6LWltZw&amp;sclient=img&amp;ei=ppOVXrelMpGAsQW_ioboAg&amp;bih=831&amp;biw=1428" TargetMode="External"/><Relationship Id="rId286" Type="http://schemas.openxmlformats.org/officeDocument/2006/relationships/hyperlink" Target="https://plants.ces.ncsu.edu/plants/buddleja-lo-behold-purple-haze/common-name/purple-haze-butterfly-bush/" TargetMode="External"/><Relationship Id="rId451" Type="http://schemas.openxmlformats.org/officeDocument/2006/relationships/hyperlink" Target="https://www.google.com/search?q=Cameo+Flowering+Quince+Chaenomeles+speciosa+%27Cameo%27&amp;tbm=isch&amp;ved=2ahUKEwjiq5zdtP7oAhUEHKwKHVraCqMQ2-cCegQIABAA&amp;oq=Cameo+Flowering+Quince+Chaenomeles+speciosa+%27Cameo%27&amp;gs_lcp=CgNpbWcQDFDWyQRY1skEYK_VBGgAcAB4AIABYYgBYZIBATGYAQCgAQGqAQtnd3Mtd2l6LWltZw&amp;sclient=img&amp;ei=oXehXqLXCoS4sAXatKuYCg&amp;bih=876&amp;biw=1435&amp;hl=en" TargetMode="External"/><Relationship Id="rId493" Type="http://schemas.openxmlformats.org/officeDocument/2006/relationships/hyperlink" Target="https://plants.ces.ncsu.edu/plants/juniperus-horizontalis-blue-rug/common-name/blue-rug-juniper/" TargetMode="External"/><Relationship Id="rId507" Type="http://schemas.openxmlformats.org/officeDocument/2006/relationships/hyperlink" Target="https://plants.ces.ncsu.edu/plants/weigela-florida/common-name/weigela/" TargetMode="External"/><Relationship Id="rId549" Type="http://schemas.openxmlformats.org/officeDocument/2006/relationships/hyperlink" Target="https://www.google.com/search?q=Japanese+Painted+Fern+Athyrium+niponicum+%27Pictum%27&amp;tbm=isch&amp;ved=2ahUKEwiJh_ipi4fpAhUh8VMKHVYEARsQ2-cCegQIABAA&amp;oq=Japanese+Painted+Fern+Athyrium+niponicum+%27Pictum%27&amp;gs_lcp=CgNpbWcQDDIGCAAQCBAeUMiNCVjIjQlgkZkJaABwAHgAgAFiiAFikgEBMZgBAKABAaoBC2d3cy13aXotaW1n&amp;sclient=img&amp;ei=LQSmXsm8GaHizwLWiITYAQ&amp;bih=866&amp;biw=1434&amp;hl=en" TargetMode="External"/><Relationship Id="rId714" Type="http://schemas.openxmlformats.org/officeDocument/2006/relationships/hyperlink" Target="https://plants.ces.ncsu.edu/plants/cercis-canadensis/" TargetMode="External"/><Relationship Id="rId756" Type="http://schemas.openxmlformats.org/officeDocument/2006/relationships/hyperlink" Target="https://plants.ces.ncsu.edu/plants/clethra-alnifolia/common-name/summersweet/" TargetMode="External"/><Relationship Id="rId50" Type="http://schemas.openxmlformats.org/officeDocument/2006/relationships/hyperlink" Target="https://www.google.com/search?q=Needlepoint+Holly+Ilex+cornuta+%27Needlepoint%27&amp;authuser=1&amp;sxsrf=ALeKk01tbl7J6YVzgKcesxC8n6cxfhaTgQ:1600997952756&amp;source=lnms&amp;tbm=isch&amp;sa=X&amp;ved=2ahUKEwjY-omSloPsAhUFVc0KHUddAIMQ_AUoAnoECA4QBA&amp;biw=1649&amp;bih=830" TargetMode="External"/><Relationship Id="rId104" Type="http://schemas.openxmlformats.org/officeDocument/2006/relationships/hyperlink" Target="https://plants.ces.ncsu.edu/plants/taxodium-distichum/common-name/bald-cypress/" TargetMode="External"/><Relationship Id="rId146" Type="http://schemas.openxmlformats.org/officeDocument/2006/relationships/hyperlink" Target="https://www.google.com/search?q=Sun+Valley+Red+Maple+Acer+rubrum+%27Sun+Valley%27&amp;tbm=isch&amp;ved=2ahUKEwjswMDiw_ToAhUUyKwKHU1_CN0Q2-cCegQIABAA&amp;oq=Sun+Valley+Red+Maple+Acer+rubrum+%27Sun+Valley%27&amp;gs_lcp=CgNpbWcQDFDQtwNY_sEDYJHQA2gAcAB4AIABV4gBoQGSAQEymAEAoAEBqgELZ3dzLXdpei1pbWc&amp;sclient=img&amp;ei=OUmcXqzAGJSQswXN_qHoDQ&amp;bih=878&amp;biw=1750&amp;hl=en" TargetMode="External"/><Relationship Id="rId188" Type="http://schemas.openxmlformats.org/officeDocument/2006/relationships/hyperlink" Target="https://plants.ces.ncsu.edu/plants/lagerstroemia-indica/" TargetMode="External"/><Relationship Id="rId311" Type="http://schemas.openxmlformats.org/officeDocument/2006/relationships/hyperlink" Target="https://www.google.com/search?q=Eastbay+Privet+Ligustrum+japonicum+%27East+Bay%27&amp;authuser=1&amp;hl=en&amp;sxsrf=ALeKk038Rc2qOdPKH6eA70zHXjLDApx2bg:1598926514095&amp;source=lnms&amp;tbm=isch&amp;sa=X&amp;ved=2ahUKEwj_z5O38cbrAhVBx1kKHTg6BxcQ_AUoAnoECA0QBA&amp;biw=1669&amp;bih=852" TargetMode="External"/><Relationship Id="rId353" Type="http://schemas.openxmlformats.org/officeDocument/2006/relationships/hyperlink" Target="https://www.google.com/search?q=Blue+Cascade+Distylium+%27PIIDIST-II%27&amp;tbm=isch&amp;ved=2ahUKEwjdmbLG-KTyAhUS8VMKHZFpCmwQ2-cCegQIABAA&amp;oq=Blue+Cascade+Distylium+%27PIIDIST-II%27&amp;gs_lcp=CgNpbWcQDDIGCAAQBxAeUNthWNthYPlxaABwAHgAgAFUiAFUkgEBMZgBAKABAaoBC2d3cy13aXotaW1nwAEB&amp;sclient=img&amp;ei=16URYZ3SIpLizwKR06ngBg&amp;bih=878&amp;biw=1750&amp;hl=en" TargetMode="External"/><Relationship Id="rId395" Type="http://schemas.openxmlformats.org/officeDocument/2006/relationships/hyperlink" Target="https://www.google.com/search?q=Wine+%26+Roses+Weigela+florida+%27Alexandra%27+PP10772&amp;tbm=isch&amp;ved=2ahUKEwiRkfL1kaT0AhWEl1MKHVx-BHoQ2-cCegQIABAA&amp;oq=Wine+%26+Roses+Weigela+florida+%27Alexandra%27+PP10772&amp;gs_lcp=CgNpbWcQDDoGCAAQCBAeUJcOWJcOYI8YaABwAHgAgAFhiAGnAZIBATKYAQCgAQGqAQtnd3Mtd2l6LWltZ8ABAQ&amp;sclient=img&amp;ei=93GXYdG5FYSvzgLc_JHQBw&amp;authuser=1&amp;bih=832&amp;biw=1335&amp;hl=en" TargetMode="External"/><Relationship Id="rId409" Type="http://schemas.openxmlformats.org/officeDocument/2006/relationships/hyperlink" Target="https://www.google.com/search?q=Vanilla+Strawberry+Hydrangea+paniculata+%27Renhy%27+PP20670&amp;tbm=isch&amp;ved=2ahUKEwil_6uHk5D0AhUHTVMKHRK8C3UQ2-cCegQIABAA&amp;oq=Vanilla+Strawberry+Hydrangea+paniculata+%27Renhy%27+PP20670&amp;gs_lcp=CgNpbWcQDFDhD1jhD2CIUWgAcAB4AIABiQGIAdwBkgEDMS4xmAEAoAEBqgELZ3dzLXdpei1pbWfAAQE&amp;sclient=img&amp;ei=zfaMYeXkJYeazQKS-K6oBw&amp;authuser=1&amp;bih=892&amp;biw=1640" TargetMode="External"/><Relationship Id="rId560" Type="http://schemas.openxmlformats.org/officeDocument/2006/relationships/hyperlink" Target="https://www.google.com/search?q=Stained+Glass+Hosta&amp;tbm=isch&amp;ved=2ahUKEwj128KZ0aX9AhWTF2IAHaI3DskQ2-cCegQIABAA&amp;oq=Stained+Glass+Hosta&amp;gs_lcp=CgNpbWcQDDIECCMQJzIFCAAQgAQyBQgAEIAEMgUIABCABDIFCAAQgAQyBQgAEIAEMgUIABCABDIFCAAQgAQyBggAEAgQHjIGCAAQCBAeUJQJWJQJYNQWaABwAHgAgAEviAFdkgEBMpgBAKABAaoBC2d3cy13aXotaW1nwAEB&amp;sclient=img&amp;ei=WzX0Y7XCM5OviLMPou-4yAw&amp;bih=876&amp;biw=1435&amp;hl=en" TargetMode="External"/><Relationship Id="rId798" Type="http://schemas.openxmlformats.org/officeDocument/2006/relationships/hyperlink" Target="https://www.trees2go.com/grower-two/" TargetMode="External"/><Relationship Id="rId92" Type="http://schemas.openxmlformats.org/officeDocument/2006/relationships/hyperlink" Target="https://www.google.com/search?q=Longleaf+Pine+Pinus+palustris&amp;tbm=isch&amp;ved=2ahUKEwi-y_XN4PT7AhXy7skDHWPRA2kQ2-cCegQIABAA&amp;oq=Longleaf+Pine+Pinus+palustris&amp;gs_lcp=CgNpbWcQDDIGCAAQCBAeOgQIIxAnUL1qWL1qYIB9aABwAHgAgAFKiAGOAZIBATKYAQCgAQGqAQtnd3Mtd2l6LWltZ8ABAQ&amp;sclient=img&amp;ei=-niXY77mIvLdp84P46KPyAY&amp;bih=830&amp;biw=1640&amp;hl=en" TargetMode="External"/><Relationship Id="rId213" Type="http://schemas.openxmlformats.org/officeDocument/2006/relationships/hyperlink" Target="https://www.google.com/search?q=greensleeves+kousa+dogwood+cornus+kousa+%27greensleeves%27&amp;tbm=isch&amp;ved=2ahUKEwjQ57TAqYn_AhVVCVkFHVI9CRAQ2-cCegQIABAA&amp;oq=Greensleeves+Kousa+Dogwood+Cornus+kousa+%27Greensleeves%27&amp;gs_lcp=CgNpbWcQARgAMgQIIxAnOgYIABAIEB5QnRZY6HJgw98BaAFwAHgAgAE7iAHbAZIBATSYAQCgAQGqAQtnd3Mtd2l6LWltZ8ABAQ&amp;sclient=img&amp;ei=YJVrZNC3FNWS5NoP0vqkgAE&amp;bih=878&amp;biw=1750&amp;hl=en" TargetMode="External"/><Relationship Id="rId420" Type="http://schemas.openxmlformats.org/officeDocument/2006/relationships/hyperlink" Target="https://plants.ces.ncsu.edu/plants/buddleja-davidii/" TargetMode="External"/><Relationship Id="rId616" Type="http://schemas.openxmlformats.org/officeDocument/2006/relationships/hyperlink" Target="https://plants.ces.ncsu.edu/plants/loropetalum-chinense/" TargetMode="External"/><Relationship Id="rId658" Type="http://schemas.openxmlformats.org/officeDocument/2006/relationships/hyperlink" Target="https://www.google.com/search?q=Prairie+Fire%E2%84%A2+Sedge+Carex+testacea+Prairie+Fire%E2%84%A2&amp;tbm=isch&amp;ved=2ahUKEwjg1e6fxPjvAhULTK0KHe4QB7AQ2-cCegQIABAA&amp;oq=Prairie+Fire%E2%84%A2+Sedge+Carex+testacea+Prairie+Fire%E2%84%A2&amp;gs_lcp=CgNpbWcQDFCDNFjzygFgsJUEaABwAHgAgAFdiAGTAZIBATKYAQCgAQGqAQtnd3Mtd2l6LWltZ8ABAQ&amp;sclient=img&amp;ei=riV0YODGJYuYtQXuoZyACw&amp;authuser=1&amp;bih=862&amp;biw=1502" TargetMode="External"/><Relationship Id="rId823" Type="http://schemas.openxmlformats.org/officeDocument/2006/relationships/hyperlink" Target="https://www.google.com/search?q=Little+King+Dwarf+River+Birch+Betula+nigra+%27Little+King%27&amp;tbm=isch&amp;ved=2ahUKEwjix97VqtqDAxUyI2IAHXD5CwoQ2-cCegQIABAA&amp;oq=Little+King+Dwarf+River+Birch+Betula+nigra+%27Little+King%27&amp;gs_lcp=CgNpbWcQDFCVGliGqwFg5eIBaABwAHgAgAE5iAGUBJIBAjEwmAEAoAEBqgELZ3dzLXdpei1pbWfAAQE&amp;sclient=img&amp;ei=tn2iZeKUFbLGiLMP8PKvUA&amp;authuser=1&amp;bih=878&amp;biw=1454" TargetMode="External"/><Relationship Id="rId865" Type="http://schemas.openxmlformats.org/officeDocument/2006/relationships/hyperlink" Target="https://plants.ces.ncsu.edu/plants/canna-x-generalis/" TargetMode="External"/><Relationship Id="rId255" Type="http://schemas.openxmlformats.org/officeDocument/2006/relationships/hyperlink" Target="https://plants.ces.ncsu.edu/plants/loropetalum-chinense-f-rubrum/" TargetMode="External"/><Relationship Id="rId297" Type="http://schemas.openxmlformats.org/officeDocument/2006/relationships/hyperlink" Target="https://plants.ces.ncsu.edu/plants/illicium-parviflorum-florida-sunshine/common-name/florida-sunshine-anise/" TargetMode="External"/><Relationship Id="rId462" Type="http://schemas.openxmlformats.org/officeDocument/2006/relationships/hyperlink" Target="https://plants.ces.ncsu.edu/plants/vaccinium-corymbosum/" TargetMode="External"/><Relationship Id="rId518" Type="http://schemas.openxmlformats.org/officeDocument/2006/relationships/hyperlink" Target="https://plants.ces.ncsu.edu/plants/trachelospermum-asiaticum/" TargetMode="External"/><Relationship Id="rId725" Type="http://schemas.openxmlformats.org/officeDocument/2006/relationships/hyperlink" Target="https://plants.ces.ncsu.edu/plants/cercis-canadensis-ruby-falls/common-name/ruby-falls-redbud/" TargetMode="External"/><Relationship Id="rId115" Type="http://schemas.openxmlformats.org/officeDocument/2006/relationships/hyperlink" Target="https://plants.ces.ncsu.edu/plants/chionanthus-retusus/common-name/chinese-fringetree/" TargetMode="External"/><Relationship Id="rId157" Type="http://schemas.openxmlformats.org/officeDocument/2006/relationships/hyperlink" Target="https://plants.ces.ncsu.edu/plants/taxodium-distichum/common-name/bald-cypress/" TargetMode="External"/><Relationship Id="rId322" Type="http://schemas.openxmlformats.org/officeDocument/2006/relationships/hyperlink" Target="https://plants.ces.ncsu.edu/plants/distylium/" TargetMode="External"/><Relationship Id="rId364" Type="http://schemas.openxmlformats.org/officeDocument/2006/relationships/hyperlink" Target="https://www.google.com/search?q=Miss+Molly+Butterfly+Bush+Buddleia+x+%27Miss+Molly%27&amp;authuser=1&amp;hl=en&amp;sxsrf=ALeKk00moWkptxYQFx0GVQGLHXEchpr42A:1600258544600&amp;source=lnms&amp;tbm=isch&amp;sa=X&amp;ved=2ahUKEwiywuXQ0-3rAhUpx1kKHcodCYkQ_AUoAnoECA4QBA&amp;biw=1632&amp;bih=836" TargetMode="External"/><Relationship Id="rId767" Type="http://schemas.openxmlformats.org/officeDocument/2006/relationships/hyperlink" Target="https://plants.ces.ncsu.edu/plants/carex-oshimensis/" TargetMode="External"/><Relationship Id="rId61" Type="http://schemas.openxmlformats.org/officeDocument/2006/relationships/hyperlink" Target="https://plants.ces.ncsu.edu/plants/ilex-chinensis/" TargetMode="External"/><Relationship Id="rId199" Type="http://schemas.openxmlformats.org/officeDocument/2006/relationships/hyperlink" Target="https://plants.ces.ncsu.edu/plants/lagerstroemia-natchez/" TargetMode="External"/><Relationship Id="rId571" Type="http://schemas.openxmlformats.org/officeDocument/2006/relationships/hyperlink" Target="https://www.google.com/search?q=Red+Rocket+Crape+Myrtle+Lagerstroemia+Whit+IV+%27Red+Rocket%27&amp;tbm=isch&amp;ved=2ahUKEwjDpfzO1fToAhWFGlMKHbPZAxkQ2-cCegQIABAA&amp;oq=Red+Rocket+Crape+Myrtle+Lagerstroemia+Whit+IV+%27Red+Rocket%27&amp;gs_lcp=CgNpbWcQDFC80AdYvNAHYOTaB2gAcAB4AIABTogBTpIBATGYAQCgAQGqAQtnd3Mtd2l6LWltZw&amp;sclient=img&amp;ei=8FucXsPtEIW1zAKzs4_IAQ&amp;bih=878&amp;biw=1750&amp;hl=en" TargetMode="External"/><Relationship Id="rId627" Type="http://schemas.openxmlformats.org/officeDocument/2006/relationships/hyperlink" Target="https://www.google.com/search?q=Green+Giant+Arborvitae+Thuja+plicata+%27Green+Giant%27&amp;tbm=isch&amp;ved=2ahUKEwjY4LrViZz5AhUXlWoFHX4IDjEQ2-cCegQIABAA&amp;oq=Green+Giant+Arborvitae+Thuja+plicata+%27Green+Giant%27&amp;gs_lcp=CgNpbWcQDDoECCMQJ1C5Wli5WmD6Z2gAcAB4AIABUYgB6QGSAQEzmAEAoAEBqgELZ3dzLXdpei1pbWfAAQE&amp;sclient=img&amp;ei=6sLiYtjDHpeqqtsP_pC4iAM&amp;bih=900&amp;biw=1761" TargetMode="External"/><Relationship Id="rId669" Type="http://schemas.openxmlformats.org/officeDocument/2006/relationships/hyperlink" Target="https://www.google.com/search?q=Serpentine+Weeping+Pussy+Willow+Salix+caprea+%27Pendula%27&amp;tbm=isch&amp;ved=2ahUKEwjU5pSI9vXoAhVFWKwKHZjKBdYQ2-cCegQIABAA&amp;oq=Serpentine+Weeping+Pussy+Willow+Salix+caprea+%27Pendula%27&amp;gs_lcp=CgNpbWcQDFDkRFjAnQFg2KwBaABwAHgAgAFsiAHaApIBAzMuMZgBAKABAaoBC2d3cy13aXotaW1n&amp;sclient=img&amp;ei=LQSdXpScNsWwsQWYlZewDQ&amp;bih=878&amp;biw=1454&amp;hl=en" TargetMode="External"/><Relationship Id="rId834" Type="http://schemas.openxmlformats.org/officeDocument/2006/relationships/hyperlink" Target="https://plants.ces.ncsu.edu/plants/salvia-rosmarinus/common-name/rosemary/" TargetMode="External"/><Relationship Id="rId19" Type="http://schemas.openxmlformats.org/officeDocument/2006/relationships/hyperlink" Target="https://plants.ces.ncsu.edu/plants/cryptomeria-japonica/" TargetMode="External"/><Relationship Id="rId224" Type="http://schemas.openxmlformats.org/officeDocument/2006/relationships/hyperlink" Target="https://plants.ces.ncsu.edu/plants/ilex-latifolia/" TargetMode="External"/><Relationship Id="rId266" Type="http://schemas.openxmlformats.org/officeDocument/2006/relationships/hyperlink" Target="https://www.google.com/search?q=Stellar+Ruby+Magnolia+x+figo+%27Stellar+Ruby%27+PP29778&amp;tbm=isch&amp;ved=2ahUKEwiczeLP05z0AhVbQUIHHQuUAqMQ2-cCegQIABAA&amp;oq=Stellar+Ruby+Magnolia+x+figo+%27Stellar+Ruby%27+PP29778&amp;gs_lcp=CgNpbWcQDDoHCCMQ7wMQJ1CGC1iGC2DbFWgAcAB4AIABUYgBlgGSAQEymAEAoAEBqgELZ3dzLXdpei1pbWfAAQE&amp;sclient=img&amp;ei=HoWTYZzGDtuCieoPi6iKmAo&amp;bih=870&amp;biw=1588" TargetMode="External"/><Relationship Id="rId431" Type="http://schemas.openxmlformats.org/officeDocument/2006/relationships/hyperlink" Target="https://www.google.com/search?q=Tamukeyama+Cutleaf+Japanese+Maple+Acer+palmatum+dissectum+%27Tamukeyama%27&amp;tbm=isch&amp;ved=2ahUKEwjLr_iT-fXoAhULJKwKHV_WANcQ2-cCegQIABAA&amp;oq=Tamukeyama+Cutleaf+Japanese+Maple+Acer+palmatum+dissectum+%27Tamukeyama%27&amp;gs_lcp=CgNpbWcQDFDs0gRY7NIEYOThBGgAcAB4AIABT4gBT5IBATGYAQCgAQGqAQtnd3Mtd2l6LWltZw&amp;sclient=img&amp;ei=awedXovONovIsAXfrIO4DQ&amp;bih=878&amp;biw=1454&amp;hl=en" TargetMode="External"/><Relationship Id="rId473" Type="http://schemas.openxmlformats.org/officeDocument/2006/relationships/hyperlink" Target="https://www.google.com/search?q=Emerald+Blue+Creeping+Phlox+subulata+%27Emerald+Blue%27&amp;tbm=isch&amp;ved=2ahUKEwjP_4qOi5T5AhUHl2oFHWyXCN0Q2-cCegQIABAA&amp;oq=Emerald+Blue+Creeping+Phlox+subulata+%27Emerald+Blue%27&amp;gs_lcp=CgNpbWcQDDoECCMQJ1DCEFjCEGDfJ2gAcAB4AIABTogBlQGSAQEymAEAoAEBqgELZ3dzLXdpei1pbWfAAQE&amp;sclient=img&amp;ei=r5LeYo_sL4euqtsP7K6i6A0&amp;bih=876&amp;biw=1435&amp;hl=en" TargetMode="External"/><Relationship Id="rId529" Type="http://schemas.openxmlformats.org/officeDocument/2006/relationships/hyperlink" Target="https://plants.ces.ncsu.edu/plants/hemerocallis-hybrida/" TargetMode="External"/><Relationship Id="rId680" Type="http://schemas.openxmlformats.org/officeDocument/2006/relationships/hyperlink" Target="https://plants.ces.ncsu.edu/plants/asimina-triloba/common-name/pawpaw/" TargetMode="External"/><Relationship Id="rId736" Type="http://schemas.openxmlformats.org/officeDocument/2006/relationships/hyperlink" Target="https://plants.ces.ncsu.edu/plants/quercus-bicolor/common-name/swamp-white-oak/" TargetMode="External"/><Relationship Id="rId30" Type="http://schemas.openxmlformats.org/officeDocument/2006/relationships/hyperlink" Target="https://plants.ces.ncsu.edu/plants/thuja-occidentalis/" TargetMode="External"/><Relationship Id="rId126" Type="http://schemas.openxmlformats.org/officeDocument/2006/relationships/hyperlink" Target="https://plants.ces.ncsu.edu/plants/prunus-okame/common-name/okame-cherry/" TargetMode="External"/><Relationship Id="rId168" Type="http://schemas.openxmlformats.org/officeDocument/2006/relationships/hyperlink" Target="https://plants.ces.ncsu.edu/plants/acer-rubrum/" TargetMode="External"/><Relationship Id="rId333" Type="http://schemas.openxmlformats.org/officeDocument/2006/relationships/hyperlink" Target="https://plants.ces.ncsu.edu/plants/ilex-vomitoria-nana/common-name/dwarf-yaupon-holly/" TargetMode="External"/><Relationship Id="rId540" Type="http://schemas.openxmlformats.org/officeDocument/2006/relationships/hyperlink" Target="https://plants.ces.ncsu.edu/plants/iris-ensata/" TargetMode="External"/><Relationship Id="rId778" Type="http://schemas.openxmlformats.org/officeDocument/2006/relationships/hyperlink" Target="https://plants.ces.ncsu.edu/plants/salvia-yangii/common-name/russian-sage/" TargetMode="External"/><Relationship Id="rId72" Type="http://schemas.openxmlformats.org/officeDocument/2006/relationships/hyperlink" Target="https://www.google.com/search?q=Robin+Holly+Ilex+x+%27Conin%27&amp;tbm=isch&amp;ved=2ahUKEwjwvPfXu4z0AhUC3KwKHeVNAIMQ2-cCegQIABAA&amp;oq=Robin+Holly+Ilex+x+%27Conin%27&amp;gs_lcp=CgNpbWcQDDoHCCMQ7wMQJ1DsC1jsC2ClGmgAcAB4AIABXYgBsgGSAQEymAEAoAEBqgELZ3dzLXdpei1pbWfAAQE&amp;sclient=img&amp;ei=iQiLYbDUBYK4swXlm4GYCA&amp;bih=831&amp;biw=1428" TargetMode="External"/><Relationship Id="rId375" Type="http://schemas.openxmlformats.org/officeDocument/2006/relationships/hyperlink" Target="https://www.google.com/search?q=Popcorn+Drift+Rose+Rosa+%27Novarospop%27+PP24773&amp;tbm=isch&amp;ved=2ahUKEwjXsJvp8pD0AhUDDq0KHe-NA-YQ2-cCegQIABAA&amp;oq=Popcorn+Drift+Rose+Rosa+%27Novarospop%27+PP24773&amp;gs_lcp=CgNpbWcQDDoHCCMQ7wMQJ1D2CVj2CWDlFmgAcAB4AIABWIgBpQGSAQEymAEAoAEBqgELZ3dzLXdpei1pbWfAAQE&amp;sclient=img&amp;ei=OFuNYde0DoOctAXvm46wDg&amp;bih=878&amp;biw=1454&amp;hl=en" TargetMode="External"/><Relationship Id="rId582" Type="http://schemas.openxmlformats.org/officeDocument/2006/relationships/hyperlink" Target="https://www.google.com/search?q=Chollipo+Euonymus+japonicus+%27Chollipo%27&amp;tbm=isch&amp;ved=2ahUKEwiQqNT2tbLwAhWGjlMKHQcoC6YQ2-cCegQIABAA&amp;oq=Chollipo+Euonymus+japonicus+%27Chollipo%27&amp;gs_lcp=CgNpbWcQDFDvH1jvH2D0KmgAcAB4AIABTogBTpIBATGYAQCgAQGqAQtnd3Mtd2l6LWltZ8ABAQ&amp;sclient=img&amp;ei=Sn-SYJDbOIadzgKH0KywCg&amp;authuser=1&amp;bih=755&amp;biw=1431" TargetMode="External"/><Relationship Id="rId638" Type="http://schemas.openxmlformats.org/officeDocument/2006/relationships/hyperlink" Target="https://www.google.com/search?q=Rainbow+Pillar+Serviceberry+Amelanchier+canadensis+%27Glenn+Form%E2%80%99+PP9092&amp;tbm=isch&amp;ved=2ahUKEwixxOjtvqH5AhXBl1MKHawRAP8Q2-cCegQIABAA&amp;oq=Rainbow+Pillar+Serviceberry+Amelanchier+canadensis+%27Glenn+Form%E2%80%99+PP9092&amp;gs_lcp=CgNpbWcQDDoECCMQJ1DTCVjTCWD1FGgAcAB4AIABWYgBpwGSAQEymAEAoAEBqgELZ3dzLXdpei1pbWfAAQE&amp;sclient=img&amp;ei=x5nlYvHEFcGvzgKso4D4Dw&amp;bih=840&amp;biw=1462&amp;hl=en" TargetMode="External"/><Relationship Id="rId803" Type="http://schemas.openxmlformats.org/officeDocument/2006/relationships/hyperlink" Target="https://plants.ces.ncsu.edu/plants/cryptomeria-japonica/common-name/japanese-cedar/" TargetMode="External"/><Relationship Id="rId845" Type="http://schemas.openxmlformats.org/officeDocument/2006/relationships/hyperlink" Target="https://plants.ces.ncsu.edu/plants/canna-americanallis-var-variegata/common-name/bengal-tiger-canna/" TargetMode="External"/><Relationship Id="rId3" Type="http://schemas.openxmlformats.org/officeDocument/2006/relationships/hyperlink" Target="https://plants.ces.ncsu.edu/plants/cotinus-coggygria/common-name/smokebush/" TargetMode="External"/><Relationship Id="rId235" Type="http://schemas.openxmlformats.org/officeDocument/2006/relationships/hyperlink" Target="https://www.google.com/search?q=Marmorata+Aucuba+japonica+%27Marmorata%27&amp;tbm=isch&amp;ved=2ahUKEwi8pqfVzKX9AhXpFmIAHbJjAMgQ2-cCegQIABAA&amp;oq=Marmorata+Aucuba+japonica+%27Marmorata%27&amp;gs_lcp=CgNpbWcQDFAAWABgAGgAcAB4AIABAIgBAJIBAJgBAKoBC2d3cy13aXotaW1n&amp;sclient=img&amp;ei=mzD0Y_zsAumtiLMPsseBwAw&amp;bih=831&amp;biw=1428" TargetMode="External"/><Relationship Id="rId277" Type="http://schemas.openxmlformats.org/officeDocument/2006/relationships/hyperlink" Target="https://www.google.com/search?q=Gold+Dust+Aucuba+japonica+%27Gold+Dust%27&amp;tbm=isch&amp;ved=2ahUKEwj65oaxzKX9AhW9CVkFHTE2BHgQ2-cCegQIABAA&amp;oq=Gold+Dust+Aucuba+japonica+%27Gold+Dust%27&amp;gs_lcp=CgNpbWcQDDIGCAAQBxAeOgQIIxAnUJcTWJcTYNMmaABwAHgAgAExiAFfkgEBMpgBAKABAaoBC2d3cy13aXotaW1nwAEB&amp;sclient=img&amp;ei=TzD0Y7qDAb2T5NoPseyQwAc&amp;bih=831&amp;biw=1428" TargetMode="External"/><Relationship Id="rId400" Type="http://schemas.openxmlformats.org/officeDocument/2006/relationships/hyperlink" Target="https://plants.ces.ncsu.edu/plants/hydrangea-paniculata-limelight-pp-12874/common-name/limelight-hydrangea/" TargetMode="External"/><Relationship Id="rId442" Type="http://schemas.openxmlformats.org/officeDocument/2006/relationships/hyperlink" Target="https://plants.ces.ncsu.edu/plants/cercis-canadensis/common-name/redbud/" TargetMode="External"/><Relationship Id="rId484" Type="http://schemas.openxmlformats.org/officeDocument/2006/relationships/hyperlink" Target="https://plants.ces.ncsu.edu/plants/hosta/" TargetMode="External"/><Relationship Id="rId705" Type="http://schemas.openxmlformats.org/officeDocument/2006/relationships/hyperlink" Target="https://plants.ces.ncsu.edu/plants/nandina-domestica/common-name/nandina/" TargetMode="External"/><Relationship Id="rId137" Type="http://schemas.openxmlformats.org/officeDocument/2006/relationships/hyperlink" Target="https://plants.ces.ncsu.edu/plants/nyssa-sylvatica/common-name/black-gum/" TargetMode="External"/><Relationship Id="rId302" Type="http://schemas.openxmlformats.org/officeDocument/2006/relationships/hyperlink" Target="https://www.google.com/search?q=Carissa+Holly+Ilex+cornuta+%27Carissa%27&amp;authuser=1&amp;sxsrf=ALeKk00CfpC0AGL-do8Kfvkaom7HHk9Shw:1602461560616&amp;source=lnms&amp;tbm=isch&amp;sa=X&amp;ved=2ahUKEwjhptjA4q3sAhVIgK0KHZFTApMQ_AUoAXoECAwQAw&amp;biw=1701&amp;bih=878" TargetMode="External"/><Relationship Id="rId344" Type="http://schemas.openxmlformats.org/officeDocument/2006/relationships/hyperlink" Target="https://www.google.com/search?q=Golden+Soft+Touch+Holly+Ilex+crenata+%27Golden+Soft+Touch%27&amp;tbm=isch&amp;ved=2ahUKEwj8kJnds_XoAhUBL60KHVnuAtIQ2-cCegQIABAA&amp;oq=Golden+Soft+Touch+Holly+Ilex+crenata+%27Golden+Soft+Touch%27&amp;gs_lcp=CgNpbWcQDFC6kgVYzZwFYIKmBWgAcAB4AIABTogBmQGSAQEymAEAoAEBqgELZ3dzLXdpei1pbWc&amp;sclient=img&amp;ei=n76cXrzFAoHetAXZ3IuQDQ&amp;bih=878&amp;biw=1437&amp;hl=en" TargetMode="External"/><Relationship Id="rId691" Type="http://schemas.openxmlformats.org/officeDocument/2006/relationships/hyperlink" Target="https://www.google.com/search?q=Snow+Fountains+Weeping+Cherry+Prunus+x+%27Snofozam%27&amp;tbm=isch&amp;ved=2ahUKEwj6jJv45sTyAhUM9awKHXRaAPoQ2-cCegQIABAA&amp;oq=Snow+Fountains+Weeping+Cherry+Prunus+x+%27Snofozam%27&amp;gs_lcp=CgNpbWcQDFCsFVisFWC5H2gAcAB4AIABYogBYpIBATGYAQCgAQGqAQtnd3Mtd2l6LWltZ8ABAQ&amp;sclient=img&amp;ei=V1oiYbqFM4zqswX0tIHQDw&amp;bih=878&amp;biw=1454&amp;hl=en" TargetMode="External"/><Relationship Id="rId747" Type="http://schemas.openxmlformats.org/officeDocument/2006/relationships/hyperlink" Target="https://www.google.com/search?q=White+Fringetree+Chionanthus+virginicus&amp;tbm=isch&amp;ved=2ahUKEwjMxbO9joT_AhWFA1kFHRYvBXkQ2-cCegQIABAA&amp;oq=White+Fringetree+Chionanthus+virginicus&amp;gs_lcp=CgNpbWcQDDIECAAQHjoECCMQJ1CHCljfRGCNjgFoAXAAeACAAVWIAeQIkgECMTeYAQCgAQGqAQtnd3Mtd2l6LWltZ8ABAQ&amp;sclient=img&amp;ei=89loZIyAI4WH5NoPlt6UyAc&amp;authuser=1&amp;bih=702&amp;biw=1484&amp;hl=en" TargetMode="External"/><Relationship Id="rId789" Type="http://schemas.openxmlformats.org/officeDocument/2006/relationships/hyperlink" Target="https://plants.ces.ncsu.edu/plants/hydrangea-quercifolia-pee-wee/" TargetMode="External"/><Relationship Id="rId41" Type="http://schemas.openxmlformats.org/officeDocument/2006/relationships/hyperlink" Target="https://www.google.com/search?q=Christmas+Jewel+Holly+Ilex+x+%27HL10-90+Christmas+Jewel%27&amp;tbm=isch&amp;hl=en&amp;sa=X&amp;ved=2ahUKEwjfwYenhPDxAhUH_qwKHefgAsYQBXoECAEQEA&amp;biw=1601&amp;bih=847" TargetMode="External"/><Relationship Id="rId83" Type="http://schemas.openxmlformats.org/officeDocument/2006/relationships/hyperlink" Target="https://plants.ces.ncsu.edu/plants/trachycarpus-fortunei/common-name/windmill-palm/" TargetMode="External"/><Relationship Id="rId179" Type="http://schemas.openxmlformats.org/officeDocument/2006/relationships/hyperlink" Target="https://plants.ces.ncsu.edu/plants/vitex-agnus-castus-shoal-creek/" TargetMode="External"/><Relationship Id="rId386" Type="http://schemas.openxmlformats.org/officeDocument/2006/relationships/hyperlink" Target="https://plants.usda.gov/core/profile?symbol=ROSA5" TargetMode="External"/><Relationship Id="rId551" Type="http://schemas.openxmlformats.org/officeDocument/2006/relationships/hyperlink" Target="https://plants.ces.ncsu.edu/plants/hemerocallis/" TargetMode="External"/><Relationship Id="rId593" Type="http://schemas.openxmlformats.org/officeDocument/2006/relationships/hyperlink" Target="https://www.google.com/search?q=Granny+Smith+Apple+Malus+domestica+%27Granny+Smith%27&amp;tbm=isch&amp;ved=2ahUKEwjNnIKoyKX9AhU3EmIAHWDGBeoQ2-cCegQIABAA&amp;oq=Granny+Smith+Apple+Malus+domestica+%27Granny+Smith%27&amp;gs_lcp=CgNpbWcQDDIECCMQJ1AAWABg0wpoAHAAeACAASuIASuSAQExmAEAqgELZ3dzLXdpei1pbWfAAQE&amp;sclient=img&amp;ei=Ciz0Y83vE7ekiLMP4IyX0A4&amp;authuser=1&amp;bih=855&amp;biw=1697" TargetMode="External"/><Relationship Id="rId607" Type="http://schemas.openxmlformats.org/officeDocument/2006/relationships/hyperlink" Target="https://www.google.com/search?q=Cherokee+Brave+Dogwood+Cornus+florida+%27Cherokee+Brave%27&amp;tbm=isch&amp;ved=2ahUKEwjd-c-M9JnvAhUHUFMKHeoADIMQ2-cCegQIABAA&amp;oq=Cherokee+Brave+Dogwood+Cornus+florida+%27Cherokee+Brave%27&amp;gs_lcp=CgNpbWcQDFDWMFihbGCseGgAcAB4AIABUYgB1wWSAQIxMZgBAKABAaoBC2d3cy13aXotaW1nwAEB&amp;sclient=img&amp;ei=LIlCYN2zAYegzQLqgbCYCA&amp;bih=854&amp;biw=1661" TargetMode="External"/><Relationship Id="rId649" Type="http://schemas.openxmlformats.org/officeDocument/2006/relationships/hyperlink" Target="https://plants.ces.ncsu.edu/plants/ilex-verticillata-southern-gentleman/" TargetMode="External"/><Relationship Id="rId814" Type="http://schemas.openxmlformats.org/officeDocument/2006/relationships/hyperlink" Target="https://plants.ces.ncsu.edu/plants/rhododendron-eriocarpum/common-name/dwarf-indica-gumpo-azalea/" TargetMode="External"/><Relationship Id="rId856" Type="http://schemas.openxmlformats.org/officeDocument/2006/relationships/hyperlink" Target="https://www.google.com/search?q=Key+Lime+Tree+Citrus+x+aurantifolia&amp;sca_esv=571bc24825544f17&amp;authuser=1&amp;bih=729&amp;biw=1660&amp;udm=2&amp;sxsrf=ACQVn09GUfzo1ApU4xs3H77wJPeeoavzCQ%3A1712582528113&amp;ei=gO8TZp2eBpax5NoPx9Oq8Ag&amp;ved=0ahUKEwid3vGJ27KFAxWWGFkFHcepCo4Q4dUDCBE&amp;oq=Key+Lime+Tree+Citrus+x+aurantifolia&amp;gs_lp=Egxnd3Mtd2l6LXNlcnAiI0tleSBMaW1lIFRyZWUgQ2l0cnVzIHggYXVyYW50aWZvbGlhSMxGUK4VWJQ7cAF4AJABAJgBM6ABjQGqAQEzuAEMyAEA-AEC-AEBmAIAoAIAmAMAiAYBkgcAoAeHAQ&amp;sclient=gws-wiz-serp" TargetMode="External"/><Relationship Id="rId190" Type="http://schemas.openxmlformats.org/officeDocument/2006/relationships/hyperlink" Target="https://plants.ces.ncsu.edu/plants/acer-palmatum/" TargetMode="External"/><Relationship Id="rId204" Type="http://schemas.openxmlformats.org/officeDocument/2006/relationships/hyperlink" Target="https://www.google.com/search?q=Bailey+Red+Twig+Dogwood+Cornus+sericea+%27Baileyi%27&amp;hl=en&amp;sxsrf=ALeKk00k4TglsHs4uKCF5rqJtV_PfKf1nw:1627781049894&amp;source=lnms&amp;tbm=isch&amp;sa=X&amp;ved=2ahUKEwj1zID61I7yAhVICs0KHYtgD9sQ_AUoAnoECAEQBA&amp;cshid=1627781077648430&amp;biw=1658&amp;bih=824" TargetMode="External"/><Relationship Id="rId246" Type="http://schemas.openxmlformats.org/officeDocument/2006/relationships/hyperlink" Target="https://plants.ces.ncsu.edu/plants/osmanthus-heterophyllus/" TargetMode="External"/><Relationship Id="rId288" Type="http://schemas.openxmlformats.org/officeDocument/2006/relationships/hyperlink" Target="https://plants.ces.ncsu.edu/plants/berberis-thunbergii-crimson-pygmy/common-name/crimson-pygmy-japanese-barberry/" TargetMode="External"/><Relationship Id="rId411" Type="http://schemas.openxmlformats.org/officeDocument/2006/relationships/hyperlink" Target="https://www.google.com/search?q=Golden+Globe+Arborvitae+Thuja+occidentalis+%27Golden+Globe%27&amp;tbm=isch&amp;ved=2ahUKEwio167gkKbyAhVLTa0KHQpVDKwQ2-cCegQIABAA&amp;oq=Golden+Globe+Arborvitae+Thuja+occidentalis+%27Golden+Globe%27&amp;gs_lcp=CgNpbWcQDFCRmQNYkZkDYLqpA2gAcAB4AIABgAGIAYABkgEDMC4xmAEAoAEBqgELZ3dzLXdpei1pbWfAAQE&amp;sclient=img&amp;ei=cEUSYajfDcuatQWKqrHgCg&amp;authuser=1&amp;bih=882&amp;biw=1705" TargetMode="External"/><Relationship Id="rId453" Type="http://schemas.openxmlformats.org/officeDocument/2006/relationships/hyperlink" Target="https://plants.ces.ncsu.edu/plants/vaccinium/common-name/blueberries/" TargetMode="External"/><Relationship Id="rId509" Type="http://schemas.openxmlformats.org/officeDocument/2006/relationships/hyperlink" Target="https://www.google.com/search?q=Brilliance+Autumn+Fern+Dryopteris+erythrosora+%27Brilliance%27&amp;tbm=isch&amp;ved=2ahUKEwjZjMTUiofpAhXOhlMKHbTgA-cQ2-cCegQIABAA&amp;oq=Brilliance+Autumn+Fern+Dryopteris+erythrosora+%27Brilliance%27&amp;gs_lcp=CgNpbWcQDFDp5gpY6eYKYNvuCmgAcAB4AIABcYgBcZIBAzAuMZgBAKABAaoBC2d3cy13aXotaW1n&amp;sclient=img&amp;ei=egOmXtnnEs6NzgK0wY-4Dg&amp;bih=866&amp;biw=1434&amp;hl=en" TargetMode="External"/><Relationship Id="rId660" Type="http://schemas.openxmlformats.org/officeDocument/2006/relationships/hyperlink" Target="https://plants.ces.ncsu.edu/plants/vaccinium/common-name/blueberries/" TargetMode="External"/><Relationship Id="rId106" Type="http://schemas.openxmlformats.org/officeDocument/2006/relationships/hyperlink" Target="https://www.google.com/search?q=Autaugaville+Purple+Crapemyrtle+Lagerstroemia+%27Autaugaville+Purple%27&amp;hl=en&amp;sxsrf=ALiCzsbiIjZQ4RKtiknYTfYZoI8honkCDg:1665539646815&amp;source=lnms&amp;tbm=isch&amp;sa=X&amp;ved=2ahUKEwjorYfYytn6AhWhmmoFHZG1Bx4Q_AUoAXoECBYQAw&amp;biw=1568&amp;bih=871&amp;dpr=1" TargetMode="External"/><Relationship Id="rId313" Type="http://schemas.openxmlformats.org/officeDocument/2006/relationships/hyperlink" Target="https://www.google.com/search?q=Purple+Daydream+Loropetalum+chinense+%27PIILC-III%27+PP25471&amp;tbm=isch&amp;ved=2ahUKEwiL_dSnmo_0AhVFEFMKHaQFAeIQ2-cCegQIABAA&amp;oq=Purple+Daydream+Loropetalum+chinense+%27PIILC-III%27+PP25471&amp;gs_lcp=CgNpbWcQDDoHCCMQ7wMQJ1CDEViDEWD5HWgAcAB4AIABdIgB3wGSAQMwLjKYAQCgAQGqAQtnd3Mtd2l6LWltZ8ABAQ&amp;sclient=img&amp;ei=MHiMYYulK8WgzAKki4SQDg&amp;bih=878&amp;biw=1437&amp;hl=en" TargetMode="External"/><Relationship Id="rId495" Type="http://schemas.openxmlformats.org/officeDocument/2006/relationships/hyperlink" Target="https://plants.ces.ncsu.edu/plants/liriope-muscari/" TargetMode="External"/><Relationship Id="rId716" Type="http://schemas.openxmlformats.org/officeDocument/2006/relationships/hyperlink" Target="https://plants.ces.ncsu.edu/plants/cercis-canadensis-merlot/common-name/merlot-redbud/" TargetMode="External"/><Relationship Id="rId758" Type="http://schemas.openxmlformats.org/officeDocument/2006/relationships/hyperlink" Target="https://www.trees2go.com/sources/" TargetMode="External"/><Relationship Id="rId10" Type="http://schemas.openxmlformats.org/officeDocument/2006/relationships/hyperlink" Target="https://plants.ces.ncsu.edu/plants/loropetalum-chinense-f-rubrum/" TargetMode="External"/><Relationship Id="rId52" Type="http://schemas.openxmlformats.org/officeDocument/2006/relationships/hyperlink" Target="https://plants.ces.ncsu.edu/plants/ilex-x-conaf/common-name/oakleaf-holly/" TargetMode="External"/><Relationship Id="rId94" Type="http://schemas.openxmlformats.org/officeDocument/2006/relationships/hyperlink" Target="https://www.google.com/search?q=Deodar+Cedar+Cedrus+deodara&amp;tbm=isch&amp;ved=2ahUKEwin2o2IrujyAhURRlMKHdiZDqYQ2-cCegQIABAA&amp;oq=Deodar+Cedar+Cedrus+deodara&amp;gs_lcp=CgNpbWcQDDIHCCMQ7wMQJzIGCAAQCBAeMgYIABAIEB5QhBBYyilgjjhoAHAAeACAAUyIAaQCkgEBNJgBAKABAaoBC2d3cy13aXotaW1nwAEB&amp;sclient=img&amp;ei=iv40YaftOJGMzQLYs7qwCg&amp;bih=830&amp;biw=1640&amp;hl=en" TargetMode="External"/><Relationship Id="rId148" Type="http://schemas.openxmlformats.org/officeDocument/2006/relationships/hyperlink" Target="https://www.google.com/search?q=Redpointe+Red+Maple+Acer+rubrum+%27Frank+Jr.%27+PP16769&amp;tbm=isch&amp;ved=2ahUKEwiBxpip1Iz0AhWFmVMKHb_TD3gQ2-cCegQIABAA&amp;oq=Redpointe+Red+Maple+Acer+rubrum+%27Frank+Jr.%27+PP16769&amp;gs_lcp=CgNpbWcQDDoHCCMQ7wMQJ1DXClj5GGC9K2gAcAB4AIABhAGIAakCkgEDMi4xmAEAoAEBqgELZ3dzLXdpei1pbWfAAQE&amp;sclient=img&amp;ei=XSKLYcGjOoWzzgK_p7_ABw&amp;bih=878&amp;biw=1750&amp;hl=en" TargetMode="External"/><Relationship Id="rId355" Type="http://schemas.openxmlformats.org/officeDocument/2006/relationships/hyperlink" Target="https://www.google.com/search?q=Dwarf+Yaupon+Holly+Ilex+vomitoria+%27Nana%27&amp;tbm=isch&amp;ved=2ahUKEwiXuYbeo_XoAhXLQa0KHSdaApkQ2-cCegQIABAA&amp;oq=Dwarf+Yaupon+Holly+Ilex+vomitoria+%27Nana%27&amp;gs_lcp=CgNpbWcQDDIECAAQHlD6xQVY-sUFYM_PBWgAcAB4AIABd4gBd5IBAzAuMZgBAKABAaoBC2d3cy13aXotaW1n&amp;sclient=img&amp;ei=2a2cXtfoNMuDtQWntInICQ&amp;bih=878&amp;biw=1750&amp;hl=en" TargetMode="External"/><Relationship Id="rId397" Type="http://schemas.openxmlformats.org/officeDocument/2006/relationships/hyperlink" Target="https://plants.ces.ncsu.edu/plants/chamaecyparis-obtusa/common-name/dwarf-hinoki-falsecypress/" TargetMode="External"/><Relationship Id="rId520" Type="http://schemas.openxmlformats.org/officeDocument/2006/relationships/hyperlink" Target="https://www.google.com/search?q=Confederate+Jasmine+Trachelospermum+jasminoides&amp;tbm=isch&amp;ved=2ahUKEwj5q6nopuztAhURWKwKHT4YDDcQ2-cCegQIABAA&amp;oq=Confederate+Jasmine+Trachelospermum+jasminoides&amp;gs_lcp=CgNpbWcQDFAAWABg_kJoAHAAeACAAQCIAQCSAQCYAQCqAQtnd3Mtd2l6LWltZw&amp;sclient=img&amp;ei=d4TnX7mUJpGwsQW-sLC4Aw&amp;authuser=1&amp;bih=866&amp;biw=1434&amp;hl=en" TargetMode="External"/><Relationship Id="rId562" Type="http://schemas.openxmlformats.org/officeDocument/2006/relationships/hyperlink" Target="https://plants.ces.ncsu.edu/plants/acer-griseum/common-name/paperbark-maple/" TargetMode="External"/><Relationship Id="rId618" Type="http://schemas.openxmlformats.org/officeDocument/2006/relationships/hyperlink" Target="https://plants.ces.ncsu.edu/plants/eriobotrya-japonica/common-name/loquat/" TargetMode="External"/><Relationship Id="rId825" Type="http://schemas.openxmlformats.org/officeDocument/2006/relationships/hyperlink" Target="https://www.trees2go.com/grower-four/" TargetMode="External"/><Relationship Id="rId215" Type="http://schemas.openxmlformats.org/officeDocument/2006/relationships/hyperlink" Target="https://www.google.com/search?q=Coral+Bark+Japanese+Maple+Acer+palmatum+%27Sango-kaku%27&amp;tbm=isch&amp;ved=2ahUKEwi-8vfD0fToAhUXf6wKHdqhBooQ2-cCegQIABAA&amp;oq=Coral+Bark+Japanese+Maple+Acer+palmatum+%27Sango-kaku%27&amp;gs_lcp=CgNpbWcQDFCbxydYm8cnYKbQJ2gAcAB4AIABRYgBRZIBATGYAQCgAQGqAQtnd3Mtd2l6LWltZw&amp;sclient=img&amp;ei=p1ecXv6CGJf-sQXaw5rQCA&amp;bih=878&amp;biw=1750&amp;hl=en" TargetMode="External"/><Relationship Id="rId257" Type="http://schemas.openxmlformats.org/officeDocument/2006/relationships/hyperlink" Target="https://www.google.com/search?q=Ebbing%27s+Silverberry+Elaeagnus+x+ebbingei+%27Ebbing%27s+Silverberry%27&amp;tbm=isch&amp;ved=2ahUKEwiau8XOnOnyAhVVW98KHWtgDboQ2-cCegQIABAA&amp;oq=Ebbing%27s+Silverberry+Elaeagnus+x+ebbingei+%27Ebbing%27s+Silverberry%27&amp;gs_lcp=CgNpbWcQDFCTOFiTOGCNSWgAcAB4AIABUogBUpIBATGYAQCgAQGqAQtnd3Mtd2l6LWltZ8ABAQ&amp;sclient=img&amp;ei=dnI1YZqoIdW2_QbrwLXQCw&amp;bih=832&amp;biw=1723&amp;hl=en" TargetMode="External"/><Relationship Id="rId422" Type="http://schemas.openxmlformats.org/officeDocument/2006/relationships/hyperlink" Target="https://plants.ces.ncsu.edu/plants/buddleja-davidii/" TargetMode="External"/><Relationship Id="rId464" Type="http://schemas.openxmlformats.org/officeDocument/2006/relationships/hyperlink" Target="https://www.google.com/search?q=Climax+Blueberry+Vaccinium+corymbosum+%27Climax%27&amp;tbm=isch&amp;ved=2ahUKEwjZ5_vkq_7oAhXBYa0KHT49ApQQ2-cCegQIABAA&amp;oq=Climax+Blueberry+Vaccinium+corymbosum+%27Climax%27&amp;gs_lcp=CgNpbWcQDFDWkxJY1pMSYOedEmgAcAB4AIABfIgBfJIBAzAuMZgBAKABAaoBC2d3cy13aXotaW1n&amp;sclient=img&amp;ei=QW6hXpnDHsHDtQW--oigCQ&amp;bih=876&amp;biw=1435&amp;hl=en" TargetMode="External"/><Relationship Id="rId867" Type="http://schemas.openxmlformats.org/officeDocument/2006/relationships/drawing" Target="../drawings/drawing1.xml"/><Relationship Id="rId299" Type="http://schemas.openxmlformats.org/officeDocument/2006/relationships/hyperlink" Target="https://www.google.com/search?q=Crimson+Fire+Loropetalum+chinense+%27PIILC-1%27+PP25534&amp;tbm=isch&amp;ved=2ahUKEwif6pirjJD0AhUH5awKHXcrCT4Q2-cCegQIABAA&amp;oq=Crimson+Fire+Loropetalum+chinense+%27PIILC-1%27+PP25534&amp;gs_lcp=CgNpbWcQDDIHCCMQ7wMQJ1DESVi2xAFg5qECaAFwAHgAgAFtiAGyApIBAzEuMpgBAKABAaoBC2d3cy13aXotaW1nwAEB&amp;sclient=img&amp;ei=we-MYd-FLofKswX31qTwAw&amp;bih=878&amp;biw=1437&amp;hl=en" TargetMode="External"/><Relationship Id="rId727" Type="http://schemas.openxmlformats.org/officeDocument/2006/relationships/hyperlink" Target="https://www.google.com/search?q=L.A.+Dreamin%27%C2%AE+Hydrangea+macrophylla+%27Lindsey+Ann%27&amp;tbm=isch&amp;ved=2ahUKEwiS47jr1_P1AhXGAc0KHSQZDo8Q2-cCegQIABAA&amp;oq=L.A.+Dreamin%27%C2%AE+Hydrangea+macrophylla+%27Lindsey+Ann%27&amp;gs_lcp=CgNpbWcQDFCLWljwowFg8K0BaAFwAHgAgAFfiAHrApIBATSYAQCgAQGqAQtnd3Mtd2l6LWltZ8ABAQ&amp;sclient=img&amp;ei=WUIEYtLSLsaDtAaksrj4CA&amp;bih=876&amp;biw=1435&amp;hl=en" TargetMode="External"/><Relationship Id="rId63" Type="http://schemas.openxmlformats.org/officeDocument/2006/relationships/hyperlink" Target="https://www.google.com/search?q=Little+Sprout+Arborvitae+Thuja+plicata+%27Little+Sprout%27&amp;tbm=isch&amp;ved=2ahUKEwj3u5L6pNrvAhXNs1MKHRW9AIMQ2-cCegQIABAA&amp;oq=Little+Sprout+Arborvitae+Thuja+plicata+%27Little+Sprout%27&amp;gs_lcp=CgNpbWcQDFDlWFjlWGDvZGgAcAB4AIABQYgBQZIBATGYAQCgAQGqAQtnd3Mtd2l6LWltZ8ABAQ&amp;sclient=img&amp;ei=VUpkYLe9NM3nzgKV-oKYCA&amp;bih=831&amp;biw=1428" TargetMode="External"/><Relationship Id="rId159" Type="http://schemas.openxmlformats.org/officeDocument/2006/relationships/hyperlink" Target="https://plants.ces.ncsu.edu/plants/metasequoia-glyptostroboides/common-name/dawn-redwood/" TargetMode="External"/><Relationship Id="rId366" Type="http://schemas.openxmlformats.org/officeDocument/2006/relationships/hyperlink" Target="https://plants.ces.ncsu.edu/plants/hydrangea-macrophylla/" TargetMode="External"/><Relationship Id="rId573" Type="http://schemas.openxmlformats.org/officeDocument/2006/relationships/hyperlink" Target="https://plants.ces.ncsu.edu/plants/magnolia-grandiflora-little-gem/common-name/little-gem-magnolia/" TargetMode="External"/><Relationship Id="rId780" Type="http://schemas.openxmlformats.org/officeDocument/2006/relationships/hyperlink" Target="https://plants.ces.ncsu.edu/plants/chamaecyparis-pisifera-golden-mop/common-name/golden-mop-chamaecyparis/" TargetMode="External"/><Relationship Id="rId226" Type="http://schemas.openxmlformats.org/officeDocument/2006/relationships/hyperlink" Target="https://www.google.com/search?q=Desire+Hibiscus+Head+Over+Heels%C2%AE+Hibiscus+moscheutos+%27RutHib4%27&amp;tbm=isch&amp;ved=2ahUKEwjYqbTg5Yr8AhXl8lMKHa6qDzgQ2-cCegQIABAA&amp;oq=Desire+Hibiscus+Head+Over+Heels%C2%AE+Hibiscus+moscheutos+%27RutHib4%27&amp;gs_lcp=CgNpbWcQA1C-EFjFOWDkPmgAcAB4AIABU4gB5QGSAQEzmAEAoAEBqgELZ3dzLXdpei1pbWfAAQE&amp;sclient=img&amp;ei=KQejY5jxLuXlzwKu1b7AAw&amp;authuser=1&amp;bih=915&amp;biw=1646" TargetMode="External"/><Relationship Id="rId433" Type="http://schemas.openxmlformats.org/officeDocument/2006/relationships/hyperlink" Target="https://www.google.com/search?q=Lace+Parasol+Winged+Elm+Ulmus+alata+%27Lace+Parasol%27&amp;tbm=isch&amp;ved=2ahUKEwi1p8O09_XoAhUH0lMKHcZXBwQQ2-cCegQIABAA&amp;oq=Lace+Parasol+Winged+Elm+Ulmus+alata+%27Lace+Parasol%27&amp;gs_lcp=CgNpbWcQDFCCqwhYgqsIYIu1CGgAcAB4AIABYIgBYJIBATGYAQCgAQGqAQtnd3Mtd2l6LWltZw&amp;sclient=img&amp;ei=lwWdXvX_FYekzwLGr50g&amp;bih=878&amp;biw=1454&amp;hl=en" TargetMode="External"/><Relationship Id="rId640" Type="http://schemas.openxmlformats.org/officeDocument/2006/relationships/hyperlink" Target="https://plants.ces.ncsu.edu/plants/diospyros-kaki-fuyu/common-name/fuyu-persimmon/" TargetMode="External"/><Relationship Id="rId738" Type="http://schemas.openxmlformats.org/officeDocument/2006/relationships/hyperlink" Target="https://www.google.com/search?q=Pink+Dogwood+Cornus+florida+rubra&amp;tbm=isch&amp;ved=2ahUKEwjE7sa5yqX9AhVSEmIAHZJnBkgQ2-cCegQIABAA&amp;oq=Pink+Dogwood+Cornus+florida+rubra&amp;gs_lcp=CgNpbWcQDDIGCAAQCBAeOgQIIxAnUIEUWPAxYO9GaABwAHgAgAE0iAGQAZIBATOYAQCgAQGqAQtnd3Mtd2l6LWltZ8ABAQ&amp;sclient=img&amp;ei=Ry70Y4SvO9KkiLMPks-ZwAQ&amp;bih=854&amp;biw=1661" TargetMode="External"/><Relationship Id="rId74" Type="http://schemas.openxmlformats.org/officeDocument/2006/relationships/hyperlink" Target="https://www.google.com/search?q=Fortune%27s+Osmanthus+x+fortunei&amp;tbm=isch&amp;ved=2ahUKEwjh1frts-jyAhWLC1MKHfaXCV0Q2-cCegQIABAA&amp;oq=Fortune%27s+Osmanthus+x+fortunei&amp;gs_lcp=CgNpbWcQDFDsN1i3QmDOUGgAcAB4AIABRIgBggGSAQEymAEAoAEBqgELZ3dzLXdpei1pbWfAAQE&amp;sclient=img&amp;ei=ngQ1YeGOK4uXzAL2r6boBQ&amp;bih=831&amp;biw=1428" TargetMode="External"/><Relationship Id="rId377" Type="http://schemas.openxmlformats.org/officeDocument/2006/relationships/hyperlink" Target="https://www.google.com/search?q=Sunburst+St.+John%E2%80%99s+Wort+Hypericum+frondosum+%E2%80%98Sunburst%E2%80%99&amp;tbm=isch&amp;ved=2ahUKEwizwpeFvv7oAhUKUKwKHfneA5sQ2-cCegQIABAA&amp;oq=Sunburst+St.+John%E2%80%99s+Wort+Hypericum+frondosum+%E2%80%98Sunburst%E2%80%99&amp;gs_lcp=CgNpbWcQDFCoxAtYqMQLYKjQC2gAcAB4AIABYogBYpIBATGYAQCgAQGqAQtnd3Mtd2l6LWltZw&amp;sclient=img&amp;ei=ZIGhXrOAN4qgsQX5vY_YCQ&amp;bih=876&amp;biw=1435&amp;hl=en" TargetMode="External"/><Relationship Id="rId500" Type="http://schemas.openxmlformats.org/officeDocument/2006/relationships/hyperlink" Target="https://www.google.com/search?q=Variegated+Liriope+muscari+%27Variegata%27&amp;tbm=isch&amp;ved=2ahUKEwjHqb7-6c7yAhWIAKwKHTR6DdEQ2-cCegQIABAA&amp;oq=Variegated+Liriope+muscari+%27Variegata%27&amp;gs_lcp=CgNpbWcQDFD0gQFY9IEBYJaQAWgAcAB4AIABU4gBU5IBATGYAQCgAQGqAQtnd3Mtd2l6LWltZ8ABAQ&amp;sclient=img&amp;ei=t5snYYfyKYiBsAW09LWIDQ&amp;bih=829&amp;biw=1454&amp;hl=en" TargetMode="External"/><Relationship Id="rId584" Type="http://schemas.openxmlformats.org/officeDocument/2006/relationships/hyperlink" Target="https://www.google.com/search?q=Scorpio+Anise+Illicium+x+%27NCH1%27+PP29%2C939&amp;tbm=isch&amp;ved=2ahUKEwjksPGKx430AhVSMFMKHVgwCAQQ2-cCegQIABAA&amp;oq=Scorpio+Anise+Illicium+x+%27NCH1%27+PP29%2C939&amp;gs_lcp=CgNpbWcQDFDfE1jfE2DpN2gAcAB4AIABSogBhwGSAQEymAEAoAEBqgELZ3dzLXdpei1pbWfAAQE&amp;sclient=img&amp;ei=tJqLYeSGHdLgzALY4KAg&amp;bih=828&amp;biw=1421&amp;safe=active&amp;hl=en" TargetMode="External"/><Relationship Id="rId805" Type="http://schemas.openxmlformats.org/officeDocument/2006/relationships/hyperlink" Target="https://plants.ces.ncsu.edu/plants/juniperus-chinensis/" TargetMode="External"/><Relationship Id="rId5" Type="http://schemas.openxmlformats.org/officeDocument/2006/relationships/hyperlink" Target="https://www.google.com/search?q=Sweet+Tea+Gordlinia+grandiflora&amp;sxsrf=ALeKk01E9qXOz_FphZFln6q5dT6c8c7ahQ:1613771652069&amp;source=lnms&amp;tbm=isch&amp;sa=X&amp;ved=2ahUKEwikk8fw9_buAhUXB50JHcDFC5IQ_AUoAnoECAYQBA&amp;biw=1586&amp;bih=868" TargetMode="External"/><Relationship Id="rId237" Type="http://schemas.openxmlformats.org/officeDocument/2006/relationships/hyperlink" Target="https://plants.ces.ncsu.edu/plants/ilex-crenata/" TargetMode="External"/><Relationship Id="rId791" Type="http://schemas.openxmlformats.org/officeDocument/2006/relationships/hyperlink" Target="https://www.google.com/search?q=Pink+Heartbreaker%C2%AE+Weeping+Redbud+Cercis+canadensis+%27Pink+Heartbreaker+PP23043%27&amp;tbm=isch&amp;ved=2ahUKEwjH54K31O2AAxUVCVkFHQpjBtMQ2-cCegQIABAA&amp;oq=Pink+Heartbreaker%C2%AE+Weeping+Redbud+Cercis+canadensis+%27Pink+Heartbreaker+PP23043%27&amp;gs_lcp=CgNpbWcQDDoECCMQJ1D5HFiQQ2DnT2gAcAB4AIABcIgBgAKSAQMzLjGYAQCgAQGqAQtnd3Mtd2l6LWltZ8ABAQ&amp;sclient=img&amp;ei=B0zjZIfIK5WS5NoPisaZmA0&amp;authuser=1&amp;bih=864&amp;biw=1525" TargetMode="External"/><Relationship Id="rId444" Type="http://schemas.openxmlformats.org/officeDocument/2006/relationships/hyperlink" Target="https://www.google.com/search?q=Brown+Turkey+Fig+Ficus+carica+%27Brown+Turkey%27&amp;tbm=isch&amp;ved=2ahUKEwi32J_7ma3uAhVM0VMKHcIkBeYQ2-cCegQIABAA&amp;oq=Brown+Turkey+Fig+Ficus+carica+%27Brown+Turkey%27&amp;gs_lcp=CgNpbWcQDFC1Rli1RmDEUGgAcAB4AIABXIgBXJIBATGYAQCgAQGqAQtnd3Mtd2l6LWltZ8ABAQ&amp;sclient=img&amp;ei=JIsJYLe2J8yizwLCyZSwDg&amp;bih=876&amp;biw=1435&amp;hl=en" TargetMode="External"/><Relationship Id="rId651" Type="http://schemas.openxmlformats.org/officeDocument/2006/relationships/hyperlink" Target="https://www.google.com/search?q=Marley%27s+Pink+Parasol+Japanese+Snowbell+Styrax+japonicus+%27JLWeeping%27&amp;tbm=isch&amp;ved=2ahUKEwiH-eSf-PXoAhUKsFMKHb5UBAEQ2-cCegQIABAA&amp;oq=Marley%27s+Pink+Parasol+Japanese+Snowbell+Styrax+japonicus+%27JLWeeping%27&amp;gs_lcp=CgNpbWcQDFCAzQdYgM0HYPHVB2gAcAB4AIABVYgBVZIBATGYAQCgAQGqAQtnd3Mtd2l6LWltZw&amp;sclient=img&amp;ei=eAadXofdEorgzgK-qZEI&amp;bih=878&amp;biw=1454&amp;hl=en" TargetMode="External"/><Relationship Id="rId749" Type="http://schemas.openxmlformats.org/officeDocument/2006/relationships/hyperlink" Target="https://www.google.com/search?q=Tokyo+Tower+Fringetree+Chionanthus+retusus+%27Tokyo+Tower%27&amp;tbm=isch&amp;ved=2ahUKEwj5tOTQloT_AhW9ElkFHczzCnMQ2-cCegQIABAA&amp;oq=Tokyo+Tower+Fringetree+Chionanthus+retusus+%27Tokyo+Tower%27&amp;gs_lcp=CgNpbWcQAzoECCMQJ1CYDViYDWC3FGgAcAB4AIABRIgBgAGSAQEymAEAoAEBqgELZ3dzLXdpei1pbWfAAQE&amp;sclient=img&amp;ei=f-JoZLn5Kr2l5NoPzOermAc&amp;authuser=1&amp;bih=824&amp;biw=1210" TargetMode="External"/><Relationship Id="rId290" Type="http://schemas.openxmlformats.org/officeDocument/2006/relationships/hyperlink" Target="https://www.google.com/search?q=Golden+Barberry+Berberis+thunbergii+%27Aurea%27&amp;tbm=isch&amp;ved=2ahUKEwicqfa-95P4AhXLJc0KHeZ2DcoQ2-cCegQIABAA&amp;oq=Golden+Barberry+Berberis+thunbergii+%27Aurea%27&amp;gs_lcp=CgNpbWcQDFDgFljVOGDvR2gAcAB4AIABbogB8AKSAQMzLjGYAQCgAQGqAQtnd3Mtd2l6LWltZ8ABAQ&amp;sclient=img&amp;ei=PmKbYpySPMvLtAbm7bXQDA&amp;authuser=1&amp;bih=877&amp;biw=1489&amp;hl=en" TargetMode="External"/><Relationship Id="rId304" Type="http://schemas.openxmlformats.org/officeDocument/2006/relationships/hyperlink" Target="https://plants.ces.ncsu.edu/plants/gardenia-jasminoides/" TargetMode="External"/><Relationship Id="rId388" Type="http://schemas.openxmlformats.org/officeDocument/2006/relationships/hyperlink" Target="https://www.google.com/search?q=Nikko+Blue+Hydrangea+macrophylla+%27Nikko+Blue%27&amp;hl=en&amp;sxsrf=ALeKk01qXSoJ1SqGmsu6KT8UX__vtKK83w:1587948824999&amp;source=lnms&amp;tbm=isch&amp;sa=X&amp;ved=2ahUKEwift4qtsofpAhUFcq0KHRdNBWsQ_AUoAXoECBAQAw&amp;biw=1434&amp;bih=866" TargetMode="External"/><Relationship Id="rId511" Type="http://schemas.openxmlformats.org/officeDocument/2006/relationships/hyperlink" Target="https://www.google.com/search?q=Silver+Dragon+Liriope+Liriope+muscari+%27Silver+Dragon%27&amp;tbm=isch&amp;ved=2ahUKEwjUgrOng4fpAhVLMlMKHRehC8UQ2-cCegQIABAA&amp;oq=Silver+Dragon+Liriope+Liriope+muscari+%27Silver+Dragon%27&amp;gs_lcp=CgNpbWcQDFCLO1jHhwFgu5QBaABwAHgAgAFYiAHyDZIBAjI2mAEAoAEBqgELZ3dzLXdpei1pbWc&amp;sclient=img&amp;ei=xPulXtSQJcvkzAKXwq6oDA&amp;bih=829&amp;biw=1454&amp;hl=en" TargetMode="External"/><Relationship Id="rId609" Type="http://schemas.openxmlformats.org/officeDocument/2006/relationships/hyperlink" Target="https://www.google.com/search?q=Heavy+Metal+Switchgrass+Panicum+%E2%80%98Heavy+Metal%E2%80%99&amp;tbm=isch&amp;ved=2ahUKEwiOkrzEptbyAhXWB1MKHcHSDIUQ2-cCegQIABAA&amp;oq=Heavy+Metal+Switchgrass+Panicum+%E2%80%98Heavy+Metal%E2%80%99&amp;gs_lcp=CgNpbWcQDDIHCCMQ7wMQJ1ChWVihWWChZWgAcAB4AIABWIgBWJIBATGYAQCgAQGqAQtnd3Mtd2l6LWltZ8ABAQ&amp;sclient=img&amp;ei=uoYrYY7NLdaPzALBpbOoCA" TargetMode="External"/><Relationship Id="rId85" Type="http://schemas.openxmlformats.org/officeDocument/2006/relationships/hyperlink" Target="https://www.google.com/search?q=Chindo+Viburnum+awabuki+%27Chindo%27&amp;tbm=isch&amp;ved=2ahUKEwj4reDGsujyAhUVwikDHdKSBtUQ2-cCegQIABAA&amp;oq=Chindo+Viburnum+awabuki+%27Chindo%27&amp;gs_lcp=CgNpbWcQDDIGCAAQBxAeUP-XAVj_lwFgoasBaABwAHgAgAFKiAFKkgEBMZgBAKABAaoBC2d3cy13aXotaW1nwAEB&amp;sclient=img&amp;ei=QAM1YfiNA5WEp8kP0qWaqA0&amp;bih=831&amp;biw=1428" TargetMode="External"/><Relationship Id="rId150" Type="http://schemas.openxmlformats.org/officeDocument/2006/relationships/hyperlink" Target="https://www.google.com/search?q=Brandywine+Red+Maple+Acer+rubrum+%27Brandywine%27&amp;tbm=isch&amp;ved=2ahUKEwjUzrOhxfToAhUKsFMKHb5UBAEQ2-cCegQIABAA&amp;oq=Brandywine+Red+Maple+Acer+rubrum+%27Brandywine%27&amp;gs_lcp=CgNpbWcQDFCN5gNY2O4DYJH4A2gAcAB4AIABQogBhAGSAQEymAEAoAEBqgELZ3dzLXdpei1pbWc&amp;sclient=img&amp;ei=yUqcXpTGLYrgzgK-qZEI&amp;bih=878&amp;biw=1750&amp;hl=en" TargetMode="External"/><Relationship Id="rId595" Type="http://schemas.openxmlformats.org/officeDocument/2006/relationships/hyperlink" Target="https://plants.ces.ncsu.edu/plants/lagerstroemia-indica/common-name/crepe-myrtle/" TargetMode="External"/><Relationship Id="rId816" Type="http://schemas.openxmlformats.org/officeDocument/2006/relationships/hyperlink" Target="https://plants.ces.ncsu.edu/plants/bignonia-capreolata/common-name/cross-vine/" TargetMode="External"/><Relationship Id="rId248" Type="http://schemas.openxmlformats.org/officeDocument/2006/relationships/hyperlink" Target="https://www.google.com/search?q=Compacta+Japanese+Holly+Ilex+crenata+%27Compacta%27&amp;tbm=isch&amp;ved=2ahUKEwiI56LHya_pAhWGK6wKHaeeAlEQ2-cCegQIABAA&amp;oq=Compacta+Japanese+Holly+Ilex+crenata+%27Compacta%27&amp;gs_lcp=CgNpbWcQDDIECCMQJ1COAVjBB2CsD2gAcAB4AIABoQGIAZ4EkgEDMy4ymAEAoAEBqgELZ3dzLXdpei1pbWc&amp;sclient=img&amp;ei=Iz67XsjJHIbXsAWnvYqIBQ&amp;authuser=1&amp;bih=854&amp;biw=1614&amp;hl=en" TargetMode="External"/><Relationship Id="rId455" Type="http://schemas.openxmlformats.org/officeDocument/2006/relationships/hyperlink" Target="https://www.google.com/search?q=American+Beautyberry+Callicarpa+americana&amp;tbm=isch&amp;ved=2ahUKEwjeqKm7tf7oAhVK96wKHfe0A44Q2-cCegQIABAA&amp;oq=American+Beautyberry+Callicarpa+americana&amp;gs_lcp=CgNpbWcQDDIECAAQHlCLgwVYi4MFYP6ZBWgAcAB4AIABTIgBTJIBATGYAQCgAQGqAQtnd3Mtd2l6LWltZw&amp;sclient=img&amp;ei=ZnihXt7dH8ruswX36Y7wCA&amp;bih=876&amp;biw=1435&amp;hl=en" TargetMode="External"/><Relationship Id="rId662" Type="http://schemas.openxmlformats.org/officeDocument/2006/relationships/hyperlink" Target="https://www.google.com/search?q=Arctic+Fire+Red+Twig+Dogwood+Cornus+stolonifera+%27Farrow%27+PP18523&amp;tbm=isch&amp;ved=2ahUKEwimhJr_xI30AhUDDq0KHQVzDzkQ2-cCegQIABAA&amp;oq=Arctic+Fire+Red+Twig+Dogwood+Cornus+stolonifera+%27Farrow%27+PP18523&amp;gs_lcp=CgNpbWcQDDoHCCMQ7wMQJ1ClHFilHGDXJmgAcAB4AIAB_gOIAcwEkgEFMS41LTGYAQCgAQGqAQtnd3Mtd2l6LWltZ8ABAQ&amp;sclient=img&amp;ei=g5iLYea2BoOctAWF5r3IAw&amp;bih=819&amp;biw=1768&amp;hl=en" TargetMode="External"/><Relationship Id="rId12" Type="http://schemas.openxmlformats.org/officeDocument/2006/relationships/hyperlink" Target="https://www.google.com/search?q=Forever+Goldy+Arborvitae+Thuja+plicata+%274EVER%27+PP19267&amp;tbm=isch&amp;ved=2ahUKEwib8NvB0aH0AhWgQkIHHR98AhgQ2-cCegQIABAA&amp;oq=Forever+Goldy+Arborvitae+Thuja+plicata+%274EVER%27+PP19267&amp;gs_lcp=CgNpbWcQDDoHCCMQ7wMQJ1COLFiOLGD2PmgAcAB4AIABSYgBigGSAQEymAEAoAEBqgELZ3dzLXdpei1pbWfAAQE&amp;sclient=img&amp;ei=_iGWYZv5I6CFieoPn_iJwAE&amp;bih=866&amp;biw=1741" TargetMode="External"/><Relationship Id="rId108" Type="http://schemas.openxmlformats.org/officeDocument/2006/relationships/hyperlink" Target="https://plants.ces.ncsu.edu/plants/amelanchier-canadensis/common-name/serviceberry/" TargetMode="External"/><Relationship Id="rId315" Type="http://schemas.openxmlformats.org/officeDocument/2006/relationships/hyperlink" Target="https://plants.ces.ncsu.edu/plants/linnaea-x-grandiflora/" TargetMode="External"/><Relationship Id="rId522" Type="http://schemas.openxmlformats.org/officeDocument/2006/relationships/hyperlink" Target="https://www.google.com/search?q=Rosa%27s+Blush+Dwarf+Blueberry+Vaccinium+darrowii+%27Rosa%27s+Blush%27&amp;hl=en&amp;sxsrf=ALeKk02XPcBKnt6rSx7skNhtb5L5Gwj_zA:1620517874268&amp;source=lnms&amp;tbm=isch&amp;sa=X&amp;ved=2ahUKEwisrP3Bo7vwAhWPZM0KHQL4DgUQ_AUoAnoECAEQBA&amp;biw=1454&amp;bih=819" TargetMode="External"/><Relationship Id="rId96" Type="http://schemas.openxmlformats.org/officeDocument/2006/relationships/hyperlink" Target="https://plants.ces.ncsu.edu/plants/pinus-taeda/common-name/loblolly-pine/" TargetMode="External"/><Relationship Id="rId161" Type="http://schemas.openxmlformats.org/officeDocument/2006/relationships/hyperlink" Target="https://plants.ces.ncsu.edu/plants/quercus-palustris/common-name/pin-oak/" TargetMode="External"/><Relationship Id="rId399" Type="http://schemas.openxmlformats.org/officeDocument/2006/relationships/hyperlink" Target="https://plants.ces.ncsu.edu/plants/itea-virginica-henrys-garnet/" TargetMode="External"/><Relationship Id="rId827" Type="http://schemas.openxmlformats.org/officeDocument/2006/relationships/hyperlink" Target="https://www.google.com/search?q=Golden+Colonnade+Ginkgo+biloba+%27JFS-UGA2%27&amp;tbm=isch&amp;ved=2ahUKEwjq2JaZ0vuDAxV3J2IAHdfYAK4Q2-cCegQIABAA&amp;oq=Golden+Colonnade+Ginkgo+biloba+%27JFS-UGA2%27&amp;gs_lcp=CgNpbWcQDDoECCMQJ1DLDli_PmDScmgAcAB4AIABQogBngeSAQIxN5gBAKABAaoBC2d3cy13aXotaW1nwAEB&amp;sclient=img&amp;ei=WPSzZerMB_fOiLMP17GD8Ao&amp;authuser=1&amp;bih=768&amp;biw=1526&amp;hl=en" TargetMode="External"/><Relationship Id="rId259" Type="http://schemas.openxmlformats.org/officeDocument/2006/relationships/hyperlink" Target="https://plants.ces.ncsu.edu/plants/prunus-laurocerasus-schipkaensis/common-name/schip-laurel/" TargetMode="External"/><Relationship Id="rId466" Type="http://schemas.openxmlformats.org/officeDocument/2006/relationships/hyperlink" Target="https://www.google.com/search?q=Little+Miss+Figgy+Fig+Ficus+%27Little+Miss+Figgy%27&amp;authuser=1&amp;hl=en&amp;source=lnms&amp;tbm=isch&amp;sa=X&amp;ved=2ahUKEwj0-MzT2KfwAhXNGc0KHZ7IBVYQ_AUoA3oECAEQBQ&amp;biw=1437&amp;bih=820" TargetMode="External"/><Relationship Id="rId673" Type="http://schemas.openxmlformats.org/officeDocument/2006/relationships/hyperlink" Target="https://www.google.com/search?q=Obsession+Nandina+domestica+%27Seika%27+PP21891&amp;tbm=isch&amp;ved=2ahUKEwjDkpC9x430AhXFoK0KHcdrAnwQ2-cCegQIABAA&amp;oq=Obsession+Nandina+domestica+%27Seika%27+PP21891&amp;gs_lcp=CgNpbWcQDDoHCCMQ7wMQJ1CYEFiYEGDzHGgAcAB4AIABdYgBxgGSAQMxLjGYAQCgAQGqAQtnd3Mtd2l6LWltZ8ABAQ&amp;sclient=img&amp;ei=HZuLYYOQM8XBtgXH14ngBw&amp;bih=878&amp;biw=1750&amp;hl=en" TargetMode="External"/><Relationship Id="rId23" Type="http://schemas.openxmlformats.org/officeDocument/2006/relationships/hyperlink" Target="https://plants.ces.ncsu.edu/plants/ilex-hybrids/" TargetMode="External"/><Relationship Id="rId119" Type="http://schemas.openxmlformats.org/officeDocument/2006/relationships/hyperlink" Target="https://plants.ces.ncsu.edu/plants/ginkgo-biloba/common-name/ginkgo/" TargetMode="External"/><Relationship Id="rId326" Type="http://schemas.openxmlformats.org/officeDocument/2006/relationships/hyperlink" Target="https://plants.ces.ncsu.edu/plants/buxus-microphylla/" TargetMode="External"/><Relationship Id="rId533" Type="http://schemas.openxmlformats.org/officeDocument/2006/relationships/hyperlink" Target="https://www.google.com/search?q=Pink+Muhly+Grass+Muhlenbergia+capillaris&amp;tbm=isch&amp;ved=2ahUKEwjd2-e_5fvoAhXR6FMKHY2fBgAQ2-cCegQIABAA&amp;oq=Pink+Muhly+Grass+Muhlenbergia+capillaris&amp;gs_lcp=CgNpbWcQDDICCABQhNwLWITcC2D26wtoAHAAeACAAU-IAU-SAQExmAEAoAEBqgELZ3dzLXdpei1pbWc&amp;sclient=img&amp;ei=HRigXp3ZJdHRzwKNvxo&amp;bih=878&amp;biw=1454" TargetMode="External"/><Relationship Id="rId740" Type="http://schemas.openxmlformats.org/officeDocument/2006/relationships/hyperlink" Target="https://www.google.com/search?q=Arizona+Cypress+Cupressus+arizonica+glabra+%27Carolina+Sapphire%27&amp;tbm=isch&amp;ved=2ahUKEwj9-qn9g4vxAhUG0lMKHds1ArsQ2-cCegQIABAA&amp;oq=Arizona+Cypress+Cupressus+arizonica+glabra+%27Carolina+Sapphire%27&amp;gs_lcp=CgNpbWcQDFDDVljDVmCeYmgAcAB4AIABU4gBU5IBATGYAQCgAQGqAQtnd3Mtd2l6LWltZ8ABAQ&amp;sclient=img&amp;ei=S_TAYL2pNIakzwLb64jYCw&amp;bih=831&amp;biw=1428" TargetMode="External"/><Relationship Id="rId838" Type="http://schemas.openxmlformats.org/officeDocument/2006/relationships/hyperlink" Target="https://www.google.com/search?q=Waterfall+Japanese+Maple+Acer+palmatum+var.+dissectum+%27Waterfall%27&amp;tbm=isch&amp;ved=2ahUKEwjB6aCz69aEAxWqDWIAHVSHBYYQ2-cCegQIABAA&amp;oq=Waterfall+Japanese+Maple+Acer+palmatum+var.+dissectum+%27Waterfall%27&amp;gs_lp=EgNpbWciQVdhdGVyZmFsbCBKYXBhbmVzZSBNYXBsZSBBY2VyIHBhbG1hdHVtIHZhci4gZGlzc2VjdHVtICdXYXRlcmZhbGwnSLiGAVDRNViWa3AAeACQAQCYAUGgAZ4BqgEBM7gBDMgBAPgBAYoCC2d3cy13aXotaW1niAYB&amp;sclient=img&amp;ei=lcTjZYHLNqqbiLMP1I6WsAg&amp;bih=878&amp;biw=1454&amp;hl=en" TargetMode="External"/><Relationship Id="rId172" Type="http://schemas.openxmlformats.org/officeDocument/2006/relationships/hyperlink" Target="https://plants.ces.ncsu.edu/plants/carpinus-caroliniana/common-name/american-hornbeam/" TargetMode="External"/><Relationship Id="rId477" Type="http://schemas.openxmlformats.org/officeDocument/2006/relationships/hyperlink" Target="https://www.google.com/search?q=Little+Zebra+Grass+Miscanthus+sinensis+%27Little+Zebra%27&amp;tbm=isch&amp;ved=2ahUKEwjsrtaYhuDuAhUPPlMKHRGJDMUQ2-cCegQIABAA&amp;oq=Little+Zebra+Grass+Miscanthus+sinensis+%27Little+Zebra%27&amp;gs_lcp=CgNpbWcQDFCjugFYn8MBYKbVAWgAcAB4AIABSYgBmgOSAQE2mAEAoAEBqgELZ3dzLXdpei1pbWfAAQE&amp;sclient=img&amp;ei=hDMkYOzcEo_8zAKRkrKoDA" TargetMode="External"/><Relationship Id="rId600" Type="http://schemas.openxmlformats.org/officeDocument/2006/relationships/hyperlink" Target="https://www.google.com/search?q=Visions+in+Pink+Goat%27s+Beard+Astilbe+chinensis+%27Visions+in+Pink%27&amp;tbm=isch&amp;ved=2ahUKEwjFoO3u9tL_AhWCOFkFHZ2HAVcQ2-cCegQIABAA&amp;oq=Visions+in+Pink+Goat%27s+Beard+Astilbe+chinensis+%27Visions+in+Pink%27&amp;gs_lcp=CgNpbWcQDDoECCMQJ1DjFFiqQGD3TWgAcAB4AIABQogB8wOSAQE5mAEAoAEBqgELZ3dzLXdpei1pbWfAAQE&amp;sclient=img&amp;ei=ZCySZMXeCYLx5NoPnY-GuAU&amp;bih=876&amp;biw=1435&amp;hl=en" TargetMode="External"/><Relationship Id="rId684" Type="http://schemas.openxmlformats.org/officeDocument/2006/relationships/hyperlink" Target="https://www.google.com/search?q=Arnold+Promise+Witch+Hazel+Hamamelis+x+intermedia+%27Arnold+Promise%27&amp;tbm=isch&amp;ved=2ahUKEwivxpDZ3NftAhUtQEIHHbCXDf4Q2-cCegQIABAA&amp;oq=Arnold+Promise+Witch+Hazel+Hamamelis+x+intermedia+%27Arnold+Promise%27&amp;gs_lcp=CgNpbWcQDFAAWABgvTpoAHAAeACAAQCIAQCSAQCYAQCqAQtnd3Mtd2l6LWltZw&amp;sclient=img&amp;ei=ZLrcX6-EL62AieoPsK-28A8&amp;bih=854&amp;biw=1661&amp;hl=en" TargetMode="External"/><Relationship Id="rId337" Type="http://schemas.openxmlformats.org/officeDocument/2006/relationships/hyperlink" Target="https://www.google.com/search?q=Moonlit+Lace+Viburnum+x+%27sPg-3-024%27&amp;tbm=isch&amp;ved=2ahUKEwi5wsm0xo30AhVLBFMKHSzFCXEQ2-cCegQIABAA&amp;oq=Moonlit+Lace+Viburnum+x+%27sPg-3-024%27&amp;gs_lcp=CgNpbWcQDDoHCCMQ7wMQJ1ChD1isGmDiKGgAcAB4AIABUIgB0AGSAQEzmAEAoAEBqgELZ3dzLXdpei1pbWfAAQE&amp;sclient=img&amp;ei=_5mLYfnGHMuIzAKsiqeIBw&amp;bih=852&amp;biw=1634&amp;hl=en" TargetMode="External"/><Relationship Id="rId34" Type="http://schemas.openxmlformats.org/officeDocument/2006/relationships/hyperlink" Target="https://www.google.com/search?q=Dwarf+Palmetto+Palm+Sabal+minor&amp;tbm=isch&amp;ved=2ahUKEwjx042fodzpAhVc-awKHTLlBEoQ2-cCegQIABAA&amp;oq=Dwarf+Palmetto+Palm+Sabal+minor&amp;gs_lcp=CgNpbWcQDDIGCAAQCBAeOgQIIxAnOgIIADoGCAAQBRAeOggIABAIEAcQHlCMhQFY1pIBYOq9AmgAcAB4AIABhAGIAdgEkgEDMC41mAEAoAEBqgELZ3dzLXdpei1pbWc&amp;sclient=img&amp;ei=qqvSXvHWAtzyswWyypPQBA&amp;bih=831&amp;biw=1428" TargetMode="External"/><Relationship Id="rId544" Type="http://schemas.openxmlformats.org/officeDocument/2006/relationships/hyperlink" Target="https://www.google.com/search?q=Guacamole+Hosta+%27Guacamole%27&amp;tbm=isch&amp;ved=2ahUKEwij06DatNfyAhUWZq0KHcAtBfUQ2-cCegQIABAA&amp;oq=Guacamole+Hosta+%27Guacamole%27&amp;gs_lcp=CgNpbWcQDFCxF1ixF2ChI2gAcAB4AIABZYgBZZIBAzAuMZgBAKABAaoBC2d3cy13aXotaW1nwAEB&amp;sclient=img&amp;ei=zhssYaO0EJbMtQXA25SoDw&amp;bih=805&amp;biw=1563&amp;hl=en" TargetMode="External"/><Relationship Id="rId751" Type="http://schemas.openxmlformats.org/officeDocument/2006/relationships/hyperlink" Target="https://www.google.com/search?q=Wolfpack+Red+Azalea+Rhododendron+%27Wolfpack+Red%27&amp;tbm=isch&amp;ved=2ahUKEwj9o4SvnZj9AhXrGFkFHeNfDqoQ2-cCegQIABAA&amp;oq=Wolfpack+Red+Azalea+Rhododendron+%27Wolfpack+Red%27&amp;gs_lcp=CgNpbWcQAzoECCMQJ1CLD1jjMWCKNmgAcAB4AIABNYgBkwGSAQEzmAEAoAEBqgELZ3dzLXdpei1pbWfAAQE&amp;sclient=img&amp;ei=LS7tY73ZK-ux5NoP47-50Ao&amp;bih=878&amp;biw=1437&amp;hl=en" TargetMode="External"/><Relationship Id="rId849" Type="http://schemas.openxmlformats.org/officeDocument/2006/relationships/hyperlink" Target="https://www.google.com/search?q=Sharp%27s+Pygmy+Japanese+Maple+Acer+palmatum+%27Sharp%27s+Pygmy%27&amp;sca_esv=90804e148f55bbfd&amp;bih=736&amp;biw=1616&amp;hl=en&amp;udm=2&amp;sxsrf=ACQVn08VTC8WxwobRJa3p-rVS-tEzDPSIA%3A1711215436037&amp;ei=TBP_ZcvQAbet5NoPyLeCwAc&amp;ved=0ahUKEwjLpsuh9oqFAxW3FlkFHcibAHgQ4dUDCBA&amp;oq=Sharp%27s+Pygmy+Japanese+Maple+Acer+palmatum+%27Sharp%27s+Pygmy%27&amp;gs_lp=Egxnd3Mtd2l6LXNlcnAiOlNoYXJwJ3MgUHlnbXkgSmFwYW5lc2UgTWFwbGUgQWNlciBwYWxtYXR1bSAnU2hhcnAncyBQeWdteSdIqRVQAFgAcAB4AJABAJgBRaABRaoBATG4AQzIAQD4AQL4AQGYAgCgAgCYAwCSBwCgBy0&amp;sclient=gws-wiz-serp" TargetMode="External"/><Relationship Id="rId183" Type="http://schemas.openxmlformats.org/officeDocument/2006/relationships/hyperlink" Target="https://plants.ces.ncsu.edu/plants/lagerstroemia/" TargetMode="External"/><Relationship Id="rId390" Type="http://schemas.openxmlformats.org/officeDocument/2006/relationships/hyperlink" Target="https://www.google.com/search?q=Double+Pink+Knock+Out+Rose+Rosa+%27Radtkopink%27+PP18507+CPBR3757&amp;tbm=isch&amp;ved=2ahUKEwjZ4te6k6T0AhUIG6wKHTCxBqEQ2-cCegQIABAA&amp;oq=Double+Pink+Knock+Out+Rose+Rosa+%27Radtkopink%27+PP18507+CPBR3757&amp;gs_lcp=CgNpbWcQDDoHCCMQ7wMQJ1DbDFjbDGCYG2gAcAB4AIABigKIAeYCkgEFMS4wLjGYAQCgAQGqAQtnd3Mtd2l6LWltZ8ABAQ&amp;sclient=img&amp;ei=lHOXYdnIA4i2sAWw4pqICg&amp;bih=878&amp;biw=1437&amp;hl=en" TargetMode="External"/><Relationship Id="rId404" Type="http://schemas.openxmlformats.org/officeDocument/2006/relationships/hyperlink" Target="https://www.google.com/search?q=Lynwood+Gold+Forsythia+x+intermedia+%27Lynwood+Variety%27&amp;tbm=isch&amp;ved=2ahUKEwjF0aXbiof_AhUOFmIAHdrGASIQ2-cCegQIABAA&amp;oq=Lynwood+Gold+Forsythia+x+intermedia+%27Lynwood+Variety%27&amp;gs_lcp=CgNpbWcQDDoECCMQJ1DcF1iVVWCtaWgAcAB4AIABOYgB-ASSAQIxM5gBAKABAaoBC2d3cy13aXotaW1nwAEB&amp;sclient=img&amp;ei=p2hqZIXiLI6siLMP2o2HkAI&amp;bih=824&amp;biw=1210&amp;hl=en" TargetMode="External"/><Relationship Id="rId611" Type="http://schemas.openxmlformats.org/officeDocument/2006/relationships/hyperlink" Target="https://plants.ces.ncsu.edu/plants/aster/" TargetMode="External"/><Relationship Id="rId250" Type="http://schemas.openxmlformats.org/officeDocument/2006/relationships/hyperlink" Target="https://plants.ces.ncsu.edu/plants/viburnum-tinus/" TargetMode="External"/><Relationship Id="rId488" Type="http://schemas.openxmlformats.org/officeDocument/2006/relationships/hyperlink" Target="https://plants.ces.ncsu.edu/plants/pachysandra-terminalis/common-name/japanese-spurge/" TargetMode="External"/><Relationship Id="rId695" Type="http://schemas.openxmlformats.org/officeDocument/2006/relationships/hyperlink" Target="https://plants.ces.ncsu.edu/plants/nandina-domestica/" TargetMode="External"/><Relationship Id="rId709" Type="http://schemas.openxmlformats.org/officeDocument/2006/relationships/hyperlink" Target="https://www.google.com/search?q=Wax+Leaf+Privet+Ligustrum+japonicum&amp;hl=en&amp;sxsrf=ALeKk00oHhMoEs7eqC57enrIPCowoefBoA:1618452410531&amp;source=lnms&amp;tbm=isch&amp;sa=X&amp;ved=2ahUKEwjkso-Ilf_vAhVRHs0KHZNWBfAQ_AUoAnoECAEQBA&amp;biw=1492&amp;bih=861" TargetMode="External"/><Relationship Id="rId45" Type="http://schemas.openxmlformats.org/officeDocument/2006/relationships/hyperlink" Target="https://www.google.com/search?q=Hollywood+Juniper+Juniper+chinensis+%27Torulosa%E2%80%99&amp;tbm=isch&amp;ved=2ahUKEwiDnuS32OfoAhWMHKwKHU5rA4sQ2-cCegQIABAA&amp;oq=Hollywood+Juniper+Juniper+chinensis+%27Torulosa%E2%80%99&amp;gs_lcp=CgNpbWcQDFCxlANYsZQDYIucA2gAcAB4AIABdIgBdJIBAzAuMZgBAKABAaoBC2d3cy13aXotaW1n&amp;sclient=img&amp;ei=EI6VXoPWFYy5sAXO1o3YCA&amp;bih=831&amp;biw=1428" TargetMode="External"/><Relationship Id="rId110" Type="http://schemas.openxmlformats.org/officeDocument/2006/relationships/hyperlink" Target="https://www.trees2go.com/grower-four/" TargetMode="External"/><Relationship Id="rId348" Type="http://schemas.openxmlformats.org/officeDocument/2006/relationships/hyperlink" Target="https://www.google.com/search?q=Grey+Owl+Juniper+Juniperus+virginiana+%27Grey+Owl%27&amp;tbm=isch&amp;ved=2ahUKEwjB6YGgsvXoAhVPZKwKHdkLAREQ2-cCegQIABAA&amp;oq=Grey+Owl+Juniper+Juniperus+virginiana+%27Grey+Owl%27&amp;gs_lcp=CgNpbWcQDFDnwAhY69oIYOnlCGgBcAB4AIABgwGIAeQBkgEDMS4xmAEAoAEBqgELZ3dzLXdpei1pbWc&amp;sclient=img&amp;ei=Er2cXsGYEs_IsQXZl4SIAQ&amp;bih=878&amp;biw=1750&amp;hl=en" TargetMode="External"/><Relationship Id="rId555" Type="http://schemas.openxmlformats.org/officeDocument/2006/relationships/hyperlink" Target="mailto:Mike@Trees2Go.com" TargetMode="External"/><Relationship Id="rId762" Type="http://schemas.openxmlformats.org/officeDocument/2006/relationships/hyperlink" Target="https://www.trees2go.com/grower-three/" TargetMode="External"/><Relationship Id="rId194" Type="http://schemas.openxmlformats.org/officeDocument/2006/relationships/hyperlink" Target="https://plants.ces.ncsu.edu/plants/lagerstroemia/" TargetMode="External"/><Relationship Id="rId208" Type="http://schemas.openxmlformats.org/officeDocument/2006/relationships/hyperlink" Target="https://www.google.com/search?q=Royal+Star+Magnolia+stellata+%27Royal+Star%27&amp;tbm=isch&amp;ved=2ahUKEwimoJ2uy6X9AhW9CVkFHTE2BHgQ2-cCegQIABAA&amp;oq=Royal+Star+Magnolia+stellata+%27Royal+Star%27&amp;gs_lcp=CgNpbWcQDFDwHljwHmCULmgAcAB4AIABM4gBY5IBATKYAQCgAQGqAQtnd3Mtd2l6LWltZ8ABAQ&amp;sclient=img&amp;ei=PC_0Y6aSKL2T5NoPseyQwAc&amp;authuser=1&amp;bih=841&amp;biw=1772" TargetMode="External"/><Relationship Id="rId415" Type="http://schemas.openxmlformats.org/officeDocument/2006/relationships/hyperlink" Target="https://plants.ces.ncsu.edu/plants/hydrangea-macrophylla/" TargetMode="External"/><Relationship Id="rId622" Type="http://schemas.openxmlformats.org/officeDocument/2006/relationships/hyperlink" Target="https://plants.ces.ncsu.edu/plants/verbena-x-hybrida/common-name/verbena/" TargetMode="External"/><Relationship Id="rId261" Type="http://schemas.openxmlformats.org/officeDocument/2006/relationships/hyperlink" Target="https://plants.ces.ncsu.edu/plants/magnolia-figo/" TargetMode="External"/><Relationship Id="rId499" Type="http://schemas.openxmlformats.org/officeDocument/2006/relationships/hyperlink" Target="https://www.google.com/search?q=Blue+Rug+Juniper+Juniperus+horizontalis+%27Wiltonii%27&amp;tbm=isch&amp;ved=2ahUKEwjOt5S-pv7oAhXHLawKHQftDPEQ2-cCegQIABAA&amp;oq=Blue+Rug+Juniper+Juniperus+horizontalis+%27Wiltonii%27&amp;gs_lcp=CgNpbWcQDFDJzDhYycw4YIvYOGgAcAB4AIABWYgBWZIBATGYAQCgAQGqAQtnd3Mtd2l6LWltZw&amp;sclient=img&amp;ei=sWihXo6bOcfbsAWH2rOIDw&amp;bih=876&amp;biw=1435&amp;hl=en" TargetMode="External"/><Relationship Id="rId56" Type="http://schemas.openxmlformats.org/officeDocument/2006/relationships/hyperlink" Target="https://www.google.com/search?q=Burford+Holly+Ilex+cornuta+%27Burfordii%27&amp;authuser=1&amp;source=lnms&amp;tbm=isch&amp;sa=X&amp;ved=2ahUKEwiPstTdwarzAhX_RTABHYrnAiUQ_AUoA3oECAEQBQ&amp;biw=1484&amp;bih=702&amp;dpr=1" TargetMode="External"/><Relationship Id="rId359" Type="http://schemas.openxmlformats.org/officeDocument/2006/relationships/hyperlink" Target="https://www.google.com/search?q=August+Beauty+Gardenia+jasminoides+%27August+Beauty%27&amp;tbm=isch&amp;ved=2ahUKEwizy5fkx5fyAhVGhVMKHUILDYcQ2-cCegQIABAA&amp;oq=August+Beauty+Gardenia+jasminoides+%27August+Beauty%27&amp;gs_lcp=CgNpbWcQDFCRggJYkYICYKWTAmgAcAB4AIABTIgBTJIBATGYAQCgAQGqAQtnd3Mtd2l6LWltZ8ABAQ&amp;sclient=img&amp;ei=4KEKYbPbBsaKzgLClrS4CA&amp;bih=878&amp;biw=1750&amp;hl=en" TargetMode="External"/><Relationship Id="rId566" Type="http://schemas.openxmlformats.org/officeDocument/2006/relationships/hyperlink" Target="https://www.google.com/search?q=White+Gumpo+Azalea+Rhododendron+eriocarpum+%27Gumpo+White%27&amp;tbm=isch&amp;ved=2ahUKEwje0rLrzJmCAxUXGVkFHb3dBuwQ2-cCegQIABAA&amp;oq=White+Gumpo+Azalea+Rhododendron+eriocarpum+%27Gumpo+White%27&amp;gs_lcp=CgNpbWcQDDoECCMQJ1DVDFjVDGC-HGgAcAB4AIABOYgBcZIBATKYAQCgAQGqAQtnd3Mtd2l6LWltZ8ABAQ&amp;sclient=img&amp;ei=hXE9ZZ78A5ey5NoPvbub4A4&amp;authuser=1&amp;bih=845&amp;biw=1529" TargetMode="External"/><Relationship Id="rId773" Type="http://schemas.openxmlformats.org/officeDocument/2006/relationships/hyperlink" Target="https://www.google.com/search?authuser=1&amp;hl=en&amp;sxsrf=APwXEdc5ze3poDmnAgq-YDPxvClpx_74Iw:1686844441451&amp;q=Phenomenal+Lavender+Lavandula+x+intermedia+%27Niko%27+PP%2324193&amp;tbm=isch&amp;sa=X&amp;ved=2ahUKEwiR9OSd0cX_AhWgMVkFHaoyC3EQ0pQJegQIDBAB&amp;biw=1657&amp;bih=807&amp;dpr=1" TargetMode="External"/><Relationship Id="rId121" Type="http://schemas.openxmlformats.org/officeDocument/2006/relationships/hyperlink" Target="https://www.trees2go.com/wp-content/uploads/2021/08/MuskogeeNatchezMyrtles-scaled.jpg" TargetMode="External"/><Relationship Id="rId219" Type="http://schemas.openxmlformats.org/officeDocument/2006/relationships/hyperlink" Target="https://www.google.com/search?q=Moonglow+Magnolia+virginiana+%27Jim+Wilson%27&amp;tbm=isch&amp;ved=2ahUKEwijq8nC3pXyAhWLE6wKHYEKDlIQ2-cCegQIABAA&amp;oq=Moonglow+Magnolia+virginiana+%27Jim+Wilson%27&amp;gs_lcp=CgNpbWcQDFDpIFjpIGDeK2gAcAB4AIABXIgBXJIBATGYAQCgAQGqAQtnd3Mtd2l6LWltZ8ABAQ&amp;sclient=img&amp;ei=SK0JYaPnCYunsAWBlbiQBQ&amp;bih=878&amp;biw=1750&amp;hl=en" TargetMode="External"/><Relationship Id="rId426" Type="http://schemas.openxmlformats.org/officeDocument/2006/relationships/hyperlink" Target="https://plants.ces.ncsu.edu/plants/acer-palmatum-var-dissectum/" TargetMode="External"/><Relationship Id="rId633" Type="http://schemas.openxmlformats.org/officeDocument/2006/relationships/hyperlink" Target="https://plants.ces.ncsu.edu/plants/astilbe-japonica/common-name/astilbe/" TargetMode="External"/><Relationship Id="rId840" Type="http://schemas.openxmlformats.org/officeDocument/2006/relationships/hyperlink" Target="https://www.google.com/search?sca_esv=01fd5b34e9d467a5&amp;hl=en&amp;sxsrf=ACQVn09jVfYTeAz2GFXU0vE4pVzZUPqzrQ:1709989216610&amp;q=Centre+Court+Cherry+Laurel+Prunus+caroliniana+%27GRECCT%27&amp;tbm=isch&amp;source=lnms&amp;sa=X&amp;ved=2ahUKEwjskM2enueEAxUvGVkFHc9GDvYQ0pQJegQIDRAB&amp;biw=1571&amp;bih=847&amp;dpr=1" TargetMode="External"/><Relationship Id="rId67" Type="http://schemas.openxmlformats.org/officeDocument/2006/relationships/hyperlink" Target="https://plants.ces.ncsu.edu/plants/myrica-cerifera/common-name/wax-myrtle/" TargetMode="External"/><Relationship Id="rId272" Type="http://schemas.openxmlformats.org/officeDocument/2006/relationships/hyperlink" Target="https://plants.ces.ncsu.edu/plants/juniperus-chinensis-angelica-blue/common-name/angelica-blue-pfitzer-juniper/" TargetMode="External"/><Relationship Id="rId577" Type="http://schemas.openxmlformats.org/officeDocument/2006/relationships/hyperlink" Target="https://www.google.com/search?q=Evergreen+Chinese+Dogwood+Cornus+kousa+elliptica&amp;authuser=1&amp;source=lnms&amp;tbm=isch&amp;sa=X&amp;ved=2ahUKEwi5rvDT5ePxAhXZB80KHfAfDaIQ_AUoAnoECAEQBA&amp;biw=1643&amp;bih=872" TargetMode="External"/><Relationship Id="rId700" Type="http://schemas.openxmlformats.org/officeDocument/2006/relationships/hyperlink" Target="https://www.google.com/search?q=Dee+Runk+Boxwood+Buxus+sempervirens+%27Dee+Runk%27&amp;authuser=1&amp;source=lnms&amp;tbm=isch&amp;sa=X&amp;ved=2ahUKEwiKqPbur5TwAhUkB50JHQb3ApQQ_AUoAnoECAEQBA&amp;biw=1441&amp;bih=824" TargetMode="External"/><Relationship Id="rId132" Type="http://schemas.openxmlformats.org/officeDocument/2006/relationships/hyperlink" Target="https://plants.ces.ncsu.edu/plants/zelkova-serrata/" TargetMode="External"/><Relationship Id="rId784" Type="http://schemas.openxmlformats.org/officeDocument/2006/relationships/hyperlink" Target="https://plants.ces.ncsu.edu/plants/cercis-canadensis-forest-pansy/common-name/forest-pansy-redbud/" TargetMode="External"/><Relationship Id="rId437" Type="http://schemas.openxmlformats.org/officeDocument/2006/relationships/hyperlink" Target="https://plants.ces.ncsu.edu/plants/rosa/" TargetMode="External"/><Relationship Id="rId644" Type="http://schemas.openxmlformats.org/officeDocument/2006/relationships/hyperlink" Target="https://plants.ces.ncsu.edu/plants/heuchera-palace-purple/common-name/purple-palace-coral-bells/" TargetMode="External"/><Relationship Id="rId851" Type="http://schemas.openxmlformats.org/officeDocument/2006/relationships/hyperlink" Target="https://plants.ces.ncsu.edu/plants/buxus-microphylla-var-japonica/" TargetMode="External"/><Relationship Id="rId283" Type="http://schemas.openxmlformats.org/officeDocument/2006/relationships/hyperlink" Target="https://www.google.com/search?q=Goblin+Zelkova+serrata+%27Goblin%27&amp;tbm=isch&amp;ved=2ahUKEwj_z8WV46bvAhWMWKwKHUW0BM4Q2-cCegQIABAA&amp;oq=Goblin+Zelkova+serrata+%27Goblin%27&amp;gs_lcp=CgNpbWcQDFD1kAJYtroCYNXGAmgAcAB4AIABUogB6AGSAQEzmAEAoAEBqgELZ3dzLXdpei1pbWfAAQE&amp;sclient=img&amp;ei=P0hJYL-0OIyxsQXF6JLwDA&amp;bih=866&amp;biw=1709&amp;hl=en" TargetMode="External"/><Relationship Id="rId490" Type="http://schemas.openxmlformats.org/officeDocument/2006/relationships/hyperlink" Target="https://plants.ces.ncsu.edu/plants/juniperus-conferta-blue-pacific/common-name/blue-pacific-juniper/" TargetMode="External"/><Relationship Id="rId504" Type="http://schemas.openxmlformats.org/officeDocument/2006/relationships/hyperlink" Target="https://www.google.com/search?q=Blue+Zinger+Sedge+Carex+flacca+%27Blue+ZInger%27&amp;authuser=1&amp;source=lnms&amp;tbm=isch&amp;sa=X&amp;ved=2ahUKEwjPnq2ZxPjvAhUNAZ0JHeCUDIkQ_AUoAnoECAEQBA&amp;biw=1502&amp;bih=862" TargetMode="External"/><Relationship Id="rId711" Type="http://schemas.openxmlformats.org/officeDocument/2006/relationships/hyperlink" Target="https://www.google.com/search?q=Chicago+Hardy+Fig+Ficus+carica+%27Chicago+Hardy%27&amp;authuser=1&amp;hl=en&amp;source=lnms&amp;tbm=isch&amp;sa=X&amp;ved=2ahUKEwjp3smJpYb7AhU7k4kEHRnGBRcQ_AUoAXoECAEQAw&amp;biw=1564&amp;bih=821&amp;dpr=1" TargetMode="External"/><Relationship Id="rId78" Type="http://schemas.openxmlformats.org/officeDocument/2006/relationships/hyperlink" Target="https://www.google.com/search?q=Kay+Parris+Magnolia+grandiflora+%27Kay+Parris%27&amp;tbm=isch&amp;ved=2ahUKEwiYtv6M9Jn8AhX6F2IAHWARDwwQ2-cCegQIABAA&amp;oq=Kay+Parris+Magnolia+grandiflora+%27Kay+Parris%27&amp;gs_lcp=CgNpbWcQDDIGCAAQBxAeOgUIABCABFDyHljJIGD6K2gAcAB4AIABNogBkAGSAQEzmAEAoAEBqgELZ3dzLXdpei1pbWfAAQE&amp;sclient=img&amp;ei=efOqY9iVGvqviLMP4KK8YA&amp;bih=831&amp;biw=1428" TargetMode="External"/><Relationship Id="rId143" Type="http://schemas.openxmlformats.org/officeDocument/2006/relationships/hyperlink" Target="https://www.google.com/search?q=Shumard+Oak+Quercus+shumardii&amp;tbm=isch&amp;ved=2ahUKEwjdvsenv_ToAhUhjK0KHc_8AtcQ2-cCegQIABAA&amp;oq=Shumard+Oak+Quercus+shumardii&amp;gs_lcp=CgNpbWcQDDICCAAyBggAEAgQHlCLnQRYi50EYIOmBGgAcAB4AIABVogBVpIBATGYAQCgAQGqAQtnd3Mtd2l6LWltZw&amp;sclient=img&amp;ei=jEScXt3IAqGYtgXP-Yu4DQ&amp;bih=878&amp;biw=1767" TargetMode="External"/><Relationship Id="rId350" Type="http://schemas.openxmlformats.org/officeDocument/2006/relationships/hyperlink" Target="https://www.google.com/search?q=Wintergreen+Littleleaf+Boxwood+Buxus+microphylla+%27Wintergreen%27&amp;tbm=isch&amp;ved=2ahUKEwj4k7GXrvXoAhWFTqwKHZI6BhcQ2-cCegQIABAA&amp;oq=Wintergreen+Littleleaf+Boxwood+Buxus+microphylla+%27Wintergreen%27&amp;gs_lcp=CgNpbWcQDFDw6gRY8OoEYNf0BGgAcAB4AIABTYgBTZIBATGYAQCgAQGqAQtnd3Mtd2l6LWltZw&amp;sclient=img&amp;ei=zricXvj0G4WdsQWS9Zi4AQ&amp;bih=878&amp;biw=1750&amp;hl=en" TargetMode="External"/><Relationship Id="rId588" Type="http://schemas.openxmlformats.org/officeDocument/2006/relationships/hyperlink" Target="https://www.google.com/search?q=May+Night+Salvia+x+superba+%27May+Night%27&amp;tbm=isch&amp;ved=2ahUKEwjN0OLd2KbpAhVB-KwKHUs0C4wQ2-cCegQIABAA&amp;oq=May+Night+Salvia+x+superba+%27May+Night%27&amp;gs_lcp=CgNpbWcQDFCO4whYwt4KYOjoCmgBcAB4AIABZogBtAaSAQM5LjGYAQCgAQGqAQtnd3Mtd2l6LWltZw&amp;sclient=img&amp;ei=F5a2Xo3pIMHwswXL6KzgCA&amp;bih=866&amp;biw=1369&amp;hl=en" TargetMode="External"/><Relationship Id="rId795" Type="http://schemas.openxmlformats.org/officeDocument/2006/relationships/hyperlink" Target="https://www.trees2go.com/grower-six/" TargetMode="External"/><Relationship Id="rId809" Type="http://schemas.openxmlformats.org/officeDocument/2006/relationships/hyperlink" Target="https://plants.ces.ncsu.edu/plants/achillea-millefolium/" TargetMode="External"/><Relationship Id="rId9" Type="http://schemas.openxmlformats.org/officeDocument/2006/relationships/hyperlink" Target="https://www.google.com/search?q=Purple+Pixie+Loropetalum+chinense+%27Purple+Pixie%27+PP18441&amp;tbm=isch&amp;ved=2ahUKEwjmqITqzaX9AhXVAmIAHSFuCnUQ2-cCegQIABAA&amp;oq=Purple+Pixie+Loropetalum+chinense+%27Purple+Pixie%27+PP18441&amp;gs_lcp=CgNpbWcQDFAAWABgAGgAcAB4AIABAIgBAJIBAJgBAKoBC2d3cy13aXotaW1n&amp;sclient=img&amp;ei=0jH0Y-b3OdWFiLMPodypqAc&amp;authuser=1&amp;bih=796&amp;biw=1719" TargetMode="External"/><Relationship Id="rId210" Type="http://schemas.openxmlformats.org/officeDocument/2006/relationships/hyperlink" Target="https://www.google.com/search?q=Emperor+1+Japanese+Maple+Acer+palmatum+%27Emperor+I%27&amp;tbm=isch&amp;ved=2ahUKEwjmzeXCpujyAhUEC1MKHS7ADAUQ2-cCegQIABAA&amp;oq=Emperor+1+Japanese+Maple+Acer+palmatum+%27Emperor+I%27&amp;gs_lcp=CgNpbWcQDFD5rAFY94ECYKLnAmgAcAB4AIABX4gB1AKSAQE0mAEAoAEBqgELZ3dzLXdpei1pbWfAAQE&amp;sclient=img&amp;ei=ovY0Yeb0H4SWzAKugLMo&amp;bih=878&amp;biw=1750&amp;hl=en" TargetMode="External"/><Relationship Id="rId448" Type="http://schemas.openxmlformats.org/officeDocument/2006/relationships/hyperlink" Target="https://plants.ces.ncsu.edu/plants/hydrangea-serrata/common-name/mountain-hydrangea/" TargetMode="External"/><Relationship Id="rId655" Type="http://schemas.openxmlformats.org/officeDocument/2006/relationships/hyperlink" Target="https://plants.ces.ncsu.edu/plants/robinia-pseudoacacia/" TargetMode="External"/><Relationship Id="rId862" Type="http://schemas.openxmlformats.org/officeDocument/2006/relationships/hyperlink" Target="https://www.google.com/search?q=Tropicanna%C2%AE+Gold+Canna+lily+Canna+x+generalis+%27Tropicanna+Gold%27+PP%2313809&amp;sca_esv=97d3c4185a5a42ee&amp;udm=2&amp;biw=1854&amp;bih=734&amp;sxsrf=ACQVn09k8jHk_fibTH5oS2XFXyF7pOcs6Q%3A1713824061567&amp;ei=PeEmZuKNIsaq5NoP35GrwA8&amp;ved=0ahUKEwiioJaT7NaFAxVGFVkFHd_ICvgQ4dUDCBE&amp;oq=Tropicanna%C2%AE+Gold+Canna+lily+Canna+x+generalis+%27Tropicanna+Gold%27+PP%2313809&amp;gs_lp=Egxnd3Mtd2l6LXNlcnAiSVRyb3BpY2FubmHCriBHb2xkIENhbm5hIGxpbHkgQ2FubmEgeCBnZW5lcmFsaXMgJ1Ryb3BpY2FubmEgR29sZCcgUFAjMTM4MDlIAFAAWABwAHgAkAEAmAEAoAEAqgEAuAEMyAEA-AEBmAIAoAIAmAMAkgcAoAcA&amp;sclient=gws-wiz-serp" TargetMode="External"/><Relationship Id="rId294" Type="http://schemas.openxmlformats.org/officeDocument/2006/relationships/hyperlink" Target="https://plants.ces.ncsu.edu/plants/itea-virginica/common-name/virginia-sweetspire/" TargetMode="External"/><Relationship Id="rId308" Type="http://schemas.openxmlformats.org/officeDocument/2006/relationships/hyperlink" Target="https://plants.ces.ncsu.edu/plants/ilex-crenata-soft-touch/common-name/soft-touch-japanese-holly/" TargetMode="External"/><Relationship Id="rId515" Type="http://schemas.openxmlformats.org/officeDocument/2006/relationships/hyperlink" Target="https://www.google.com/search?q=Autumn+Fern+Dryopteris+erythrosora&amp;tbm=isch&amp;ved=2ahUKEwigo669jN_3AhVJGM0KHVR1BtMQ2-cCegQIABAA&amp;oq=Autumn+Fern+Dryopteris+erythrosora&amp;gs_lcp=CgNpbWcQDDIFCAAQgAQyBggAEAgQHjoECCMQJ1DuElidJGDBLmgAcAB4AIABhAGIAaoCkgEDMi4xmAEAoAEBqgELZ3dzLXdpei1pbWfAAQE&amp;sclient=img&amp;ei=tq5_YqDwK8mwtAbU6pmYDQ&amp;bih=866&amp;biw=1434&amp;hl=en" TargetMode="External"/><Relationship Id="rId722" Type="http://schemas.openxmlformats.org/officeDocument/2006/relationships/hyperlink" Target="https://plants.ces.ncsu.edu/plants/cenchrus-orientalis/" TargetMode="External"/><Relationship Id="rId89" Type="http://schemas.openxmlformats.org/officeDocument/2006/relationships/hyperlink" Target="https://www.google.com/search?q=Teddy+Bear+Magnolia+grandiflora+%27Southern+Charm%27&amp;tbm=isch&amp;ved=2ahUKEwiH2aak1dODAxXnFmIAHQ7UBwsQ2-cCegQIABAA&amp;oq=Teddy+Bear+Magnolia+grandiflora+%27Southern+Charm%27&amp;gs_lcp=CgNpbWcQDDoECCMQJzoGCAAQCBAeUIsbWJs6YOFUaABwAHgAgAFFiAGaBpIBAjE1mAEAoAEBqgELZ3dzLXdpei1pbWfAAQE&amp;sclient=img&amp;ei=3_6eZcftDeetiLMPjqifWA&amp;bih=831&amp;biw=1428" TargetMode="External"/><Relationship Id="rId154" Type="http://schemas.openxmlformats.org/officeDocument/2006/relationships/hyperlink" Target="https://www.google.com/search?q=American+Hornbeam+Carpinus+caroliniana&amp;tbm=isch&amp;ved=2ahUKEwjOl4et_froAhVRMlMKHWMKAlYQ2-cCegQIABAA&amp;oq=American+Hornbeam+Carpinus+caroliniana&amp;gs_lcp=CgNpbWcQDDICCAAyBggAEAgQHlDx6ilY8eopYPz2KWgAcAB4AIABuQGIAbkBkgEDMC4xmAEAoAEBqgELZ3dzLXdpei1pbWc&amp;sclient=img&amp;ei=6KqfXs6DPdHkzALjlIiwBQ&amp;bih=878&amp;biw=1454" TargetMode="External"/><Relationship Id="rId361" Type="http://schemas.openxmlformats.org/officeDocument/2006/relationships/hyperlink" Target="https://www.google.com/search?q=Shishigashira+Camellia+sasanqua+%27Shishigashira%27&amp;authuser=1&amp;hl=en&amp;source=lnms&amp;tbm=isch&amp;sa=X&amp;ved=2ahUKEwikqcrRspT0AhV6TDABHS2LCaQQ_AUoAnoECAEQBA&amp;cshid=1636774186181926&amp;biw=1415&amp;bih=822&amp;dpr=1" TargetMode="External"/><Relationship Id="rId599" Type="http://schemas.openxmlformats.org/officeDocument/2006/relationships/hyperlink" Target="https://www.google.com/search?q=Visions+Goat%27s+Beard+Astilbe+chinensis+%27Visions%27&amp;tbm=isch&amp;ved=2ahUKEwiQ4MO3qL3-AhWUCVkFHT0pD-IQ2-cCegQIABAA&amp;oq=Visions+Goat%27s+Beard+Astilbe+chinensis+%27Visions%27&amp;gs_lcp=CgNpbWcQDFCgEFigEGDJMGgAcAB4AIABNYgBZpIBATKYAQCgAQGqAQtnd3Mtd2l6LWltZ8ABAQ&amp;sclient=img&amp;ei=tbtDZNCxCZST5NoPvdK8kA4&amp;bih=876&amp;biw=1435&amp;hl=en" TargetMode="External"/><Relationship Id="rId459" Type="http://schemas.openxmlformats.org/officeDocument/2006/relationships/hyperlink" Target="https://plants.ces.ncsu.edu/plants/vaccinium-corymbosum/" TargetMode="External"/><Relationship Id="rId666" Type="http://schemas.openxmlformats.org/officeDocument/2006/relationships/hyperlink" Target="https://www.google.com/search?q=Border+forsythia+x+intermedia&amp;tbm=isch&amp;ved=2ahUKEwiuoOnvh4f_AhUIEFkFHQKEAAYQ2-cCegQIABAA&amp;oq=Border+forsythia+x+intermedia&amp;gs_lcp=CgNpbWcQDDoECCMQJzoFCAAQgAQ6CAgAEAgQBxAeUKUrWL01YKBFaABwAHgAgAFJiAGsA5IBATiYAQCgAQGqAQtnd3Mtd2l6LWltZ8ABAQ&amp;sclient=img&amp;ei=rWVqZO6VHYig5NoPgoiCMA&amp;bih=834&amp;biw=1627&amp;hl=en" TargetMode="External"/><Relationship Id="rId16" Type="http://schemas.openxmlformats.org/officeDocument/2006/relationships/hyperlink" Target="https://plants.ces.ncsu.edu/plants/ilex-crenata-sky-pencil/common-name/sky-pencil-holly/" TargetMode="External"/><Relationship Id="rId221" Type="http://schemas.openxmlformats.org/officeDocument/2006/relationships/hyperlink" Target="https://plants.ces.ncsu.edu/plants/heptacodium-miconioides/common-name/seven-son-flower/" TargetMode="External"/><Relationship Id="rId319" Type="http://schemas.openxmlformats.org/officeDocument/2006/relationships/hyperlink" Target="https://plants.ces.ncsu.edu/plants/ilex-crenata-soft-touch/" TargetMode="External"/><Relationship Id="rId526" Type="http://schemas.openxmlformats.org/officeDocument/2006/relationships/hyperlink" Target="https://www.trees2go.com/grower-two/" TargetMode="External"/><Relationship Id="rId733" Type="http://schemas.openxmlformats.org/officeDocument/2006/relationships/hyperlink" Target="https://plants.ces.ncsu.edu/plants/lagerstroemia-biloxi/" TargetMode="External"/><Relationship Id="rId165" Type="http://schemas.openxmlformats.org/officeDocument/2006/relationships/hyperlink" Target="https://plants.ces.ncsu.edu/plants/betula-nigra/" TargetMode="External"/><Relationship Id="rId372" Type="http://schemas.openxmlformats.org/officeDocument/2006/relationships/hyperlink" Target="https://www.google.com/search?q=Electric+Love+Weigela+x+Electric+Love&amp;authuser=1&amp;hl=en&amp;source=lnms&amp;tbm=isch&amp;sa=X&amp;ved=2ahUKEwi737bIkvLuAhXXZs0KHcHIAeIQ_AUoAXoECBIQAw&amp;biw=1335&amp;bih=832" TargetMode="External"/><Relationship Id="rId677" Type="http://schemas.openxmlformats.org/officeDocument/2006/relationships/hyperlink" Target="https://plants.ces.ncsu.edu/plants/nandina-domestica/common-name/nandina/" TargetMode="External"/><Relationship Id="rId800" Type="http://schemas.openxmlformats.org/officeDocument/2006/relationships/hyperlink" Target="https://www.trees2go.com/grower-four/" TargetMode="External"/><Relationship Id="rId232" Type="http://schemas.openxmlformats.org/officeDocument/2006/relationships/hyperlink" Target="https://plants.ces.ncsu.edu/plants/camellia-sasanqua/" TargetMode="External"/><Relationship Id="rId27" Type="http://schemas.openxmlformats.org/officeDocument/2006/relationships/hyperlink" Target="https://plants.ces.ncsu.edu/plants/thuja-plicata/" TargetMode="External"/><Relationship Id="rId537" Type="http://schemas.openxmlformats.org/officeDocument/2006/relationships/hyperlink" Target="https://plants.ces.ncsu.edu/plants/hemerocallis/" TargetMode="External"/><Relationship Id="rId744" Type="http://schemas.openxmlformats.org/officeDocument/2006/relationships/hyperlink" Target="https://www.google.com/search?q=Bloodgood+Japanese+Maple+Acer+palmatum+%27Bloodgood%27&amp;tbm=isch&amp;ved=2ahUKEwj9z_-D1fToAhUPiFMKHXQ1DIkQ2-cCegQIABAA&amp;oq=Bloodgood+Japanese+Maple+Acer+palmatum+%27Bloodgood%27&amp;gs_lcp=CgNpbWcQDFC_1wVYv9cFYKriBWgAcAB4AIABxwGIAccBkgEDMC4xmAEAoAEBqgELZ3dzLXdpei1pbWc&amp;sclient=img&amp;ei=U1ucXr3aAo-QzgL06rDICA&amp;bih=878&amp;biw=1750&amp;hl=en" TargetMode="External"/><Relationship Id="rId80" Type="http://schemas.openxmlformats.org/officeDocument/2006/relationships/hyperlink" Target="https://www.google.com/search?q=Blue+Atlas+Cedar+Cedrus+atlantica+%27Glauca%27&amp;tbm=isch&amp;ved=2ahUKEwjRhMy8nsLpAhXYcqwKHR1WBnEQ2-cCegQIABAA&amp;oq=Blue+Atlas+Cedar+Cedrus+atlantica+%27Glauca%27&amp;gs_lcp=CgNpbWcQDDIECCMQJzIECCMQJzIGCAAQBRAeMgYIABAIEB46BAgAEB5Q_R1Y_yBgmI4EaABwAHgAgAFeiAGuAZIBATKYAQCgAQGqAQtnd3Mtd2l6LWltZw&amp;sclient=img&amp;ei=GQfFXpGUF9jlsQWdrJmIBw&amp;bih=900&amp;biw=1761" TargetMode="External"/><Relationship Id="rId176" Type="http://schemas.openxmlformats.org/officeDocument/2006/relationships/hyperlink" Target="https://www.google.com/search?q=Flip+Side+Chaste+Tree+Vitex+x+%27Bailtexone%27+PP30283&amp;tbm=isch&amp;ved=2ahUKEwio99TS1Yz0AhUDMlMKHRJxA9cQ2-cCegQIABAA&amp;oq=Flip+Side+Chaste+Tree+Vitex+x+%27Bailtexone%27+PP30283&amp;gs_lcp=CgNpbWcQDFD2CVidFGDFRGgAcAB4AIABVogB7gGSAQEzmAEAoAEBqgELZ3dzLXdpei1pbWfAAQE&amp;sclient=img&amp;ei=wSOLYeiSFoPkzAKS4o24DQ&amp;authuser=1&amp;bih=870&amp;biw=1493" TargetMode="External"/><Relationship Id="rId383" Type="http://schemas.openxmlformats.org/officeDocument/2006/relationships/hyperlink" Target="https://plants.ces.ncsu.edu/plants/lantana-camara-miss-huff/common-name/miss-huff-lantana/" TargetMode="External"/><Relationship Id="rId590" Type="http://schemas.openxmlformats.org/officeDocument/2006/relationships/hyperlink" Target="https://plants.ces.ncsu.edu/plants/nandina-domestica/common-name/heavenly-bamboo/" TargetMode="External"/><Relationship Id="rId604" Type="http://schemas.openxmlformats.org/officeDocument/2006/relationships/hyperlink" Target="https://www.google.com/search?q=Powdered+Gold+Arborvitae+Thuja+plicata+%27Powdered+Gold%27&amp;authuser=1&amp;sxsrf=ALeKk00RqDc0udSuR-pMtIwj8GZC7XFVLA:1589051250058&amp;source=lnms&amp;tbm=isch&amp;sa=X&amp;ved=2ahUKEwjDiaiavafpAhVCSK0KHWq3AisQ_AUoAnoECAsQBA&amp;biw=1369&amp;bih=866" TargetMode="External"/><Relationship Id="rId811" Type="http://schemas.openxmlformats.org/officeDocument/2006/relationships/hyperlink" Target="https://www.google.com/search?sca_esv=569475139&amp;authuser=1&amp;sxsrf=AM9HkKkVx0nAC4nA0GyNS4vbSjjKtIPbnw:1696021420147&amp;q=Elderberry+Sambucus+canadensis&amp;tbm=isch&amp;source=lnms&amp;sa=X&amp;ved=2ahUKEwjTvZ2S3NCBAxURElkFHfj2Bx0Q0pQJegQIDBAB&amp;biw=1354&amp;bih=744&amp;dpr=1" TargetMode="External"/><Relationship Id="rId243" Type="http://schemas.openxmlformats.org/officeDocument/2006/relationships/hyperlink" Target="https://www.google.com/search?q=Dwarf+Burford+Holly+Ilex+cornuta+%27Burfordii+Nana%27&amp;tbm=isch&amp;ved=2ahUKEwie5Om54OfoAhVDcK0KHZPSD5EQ2-cCegQIABAA&amp;oq=Dwarf+Burford+Holly+Ilex+cornuta+%27Burfordii+Nana%27&amp;gs_lcp=CgNpbWcQDFDT9QFY0_UBYN3_AWgAcAB4AIABTYgBTZIBATGYAQCgAQGqAQtnd3Mtd2l6LWltZw&amp;sclient=img&amp;ei=eJaVXp7IB8PgtQWTpb-ICQ&amp;bih=831&amp;biw=1428" TargetMode="External"/><Relationship Id="rId450" Type="http://schemas.openxmlformats.org/officeDocument/2006/relationships/hyperlink" Target="https://plants.ces.ncsu.edu/plants/chaenomeles-speciosa/" TargetMode="External"/><Relationship Id="rId688" Type="http://schemas.openxmlformats.org/officeDocument/2006/relationships/hyperlink" Target="https://plants.ces.ncsu.edu/plants/acorus-gramineus/" TargetMode="External"/><Relationship Id="rId38" Type="http://schemas.openxmlformats.org/officeDocument/2006/relationships/hyperlink" Target="https://www.google.com/search?q=Japanese+Cleyera+Ternstroemia+gymnanthera&amp;hl=en&amp;sxsrf=ALeKk02w9TYWlp_s8zkDeUlptIyf6X5vQw:1626730913286&amp;source=lnms&amp;tbm=isch&amp;sa=X&amp;ved=2ahUKEwjFuuzxjPDxAhUbVs0KHQ06AKQQ_AUoAXoECAEQAw&amp;biw=1618&amp;bih=847" TargetMode="External"/><Relationship Id="rId103" Type="http://schemas.openxmlformats.org/officeDocument/2006/relationships/hyperlink" Target="https://www.google.com/search?q=Peve+Minaret+Dwarf+Bald+Cypress+Taxodium+distichum+%E2%80%98Peve+Minaret%E2%80%99&amp;sxsrf=ALeKk00VQHZ4XoI3NQCbDRFPLM8lxRofdg:1602114314425&amp;source=lnms&amp;tbm=isch&amp;sa=X&amp;ved=2ahUKEwjp1ub01KPsAhWxhOAKHR8bDdsQ_AUoAXoECAwQAw&amp;biw=1702&amp;bih=879" TargetMode="External"/><Relationship Id="rId310" Type="http://schemas.openxmlformats.org/officeDocument/2006/relationships/hyperlink" Target="https://plants.ces.ncsu.edu/plants/ligustrum-japonicum/" TargetMode="External"/><Relationship Id="rId548" Type="http://schemas.openxmlformats.org/officeDocument/2006/relationships/hyperlink" Target="https://www.google.com/search?q=Shenandoah+Switch+Grass+Panicum+%E2%80%99Shenandoah%E2%80%99&amp;tbm=isch&amp;ved=2ahUKEwjrwN255_voAhUJZawKHU7pA_sQ2-cCegQIABAA&amp;oq=Shenandoah+Switch+Grass+Panicum+%E2%80%99Shenandoah%E2%80%99&amp;gs_lcp=CgNpbWcQDFDAsQNYwLEDYJTKA2gAcAB4AIABW4gBW5IBATGYAQCgAQGqAQtnd3Mtd2l6LWltZw&amp;sclient=img&amp;ei=KRqgXquILYnKsQXO0o_YDw&amp;bih=878&amp;biw=1454" TargetMode="External"/><Relationship Id="rId755" Type="http://schemas.openxmlformats.org/officeDocument/2006/relationships/hyperlink" Target="https://www.google.com/search?q=Paperbush+Edgeworthia+chrysantha&amp;tbm=isch&amp;ved=2ahUKEwjk45uKjZj9AhV1BFkFHYPOCg8Q2-cCegQIABAA&amp;oq=Paperbush+Edgeworthia+chrysantha&amp;gs_lcp=CgNpbWcQAzoGCAAQCBAeOggIABAIEAcQHlDhCFjgG2DoH2gAcAB4AIABOIgBvQGSAQE0mAEAoAEBqgELZ3dzLXdpei1pbWfAAQE&amp;sclient=img&amp;ei=GR3tY6TzIPWI5NoPg52reA&amp;authuser=1&amp;bih=815&amp;biw=1522" TargetMode="External"/><Relationship Id="rId91" Type="http://schemas.openxmlformats.org/officeDocument/2006/relationships/hyperlink" Target="https://plants.ces.ncsu.edu/plants/thuja-occidentalis/" TargetMode="External"/><Relationship Id="rId187" Type="http://schemas.openxmlformats.org/officeDocument/2006/relationships/hyperlink" Target="https://plants.ces.ncsu.edu/plants/cornus-sericea/common-name/redtwig-dogwood/" TargetMode="External"/><Relationship Id="rId394" Type="http://schemas.openxmlformats.org/officeDocument/2006/relationships/hyperlink" Target="https://plants.ces.ncsu.edu/plants/weigela-florida/common-name/weigela/" TargetMode="External"/><Relationship Id="rId408" Type="http://schemas.openxmlformats.org/officeDocument/2006/relationships/hyperlink" Target="https://www.google.com/search?q=Shasta+Viburnum+plicatum+f.+tomentosum+%27Shasta%27&amp;tbm=isch&amp;ved=2ahUKEwjfp7LXoKLvAhUETa0KHTPRBKUQ2-cCegQIABAA&amp;oq=Shasta+Viburnum+plicatum+f.+tomentosum+%27Shasta%27&amp;gs_lcp=CgNpbWcQDDIECCMQJ1CgCli2EGCdGWgAcAB4AIABTogB5wKSAQE1mAEAoAEBqgELZ3dzLXdpei1pbWfAAQE&amp;sclient=img&amp;ei=qelGYJ-vNoSatQWzopOoCg&amp;authuser=1&amp;bih=736&amp;biw=1239" TargetMode="External"/><Relationship Id="rId615" Type="http://schemas.openxmlformats.org/officeDocument/2006/relationships/hyperlink" Target="https://www.google.com/search?q=Purple+Diamond%C2%AE+Loropetalum+chinense+%27Shang-hi%27+PP18331&amp;tbm=isch&amp;ved=2ahUKEwjSmPTp1I3-AhXbEVkFHbR9DMwQ2-cCegQIABAA&amp;oq=Purple+Diamond%C2%AE+Loropetalum+chinense+%27Shang-hi%27+PP18331&amp;gs_lcp=CgNpbWcQDDoECCMQJ1DfEVjyYWDldWgBcAB4AIABOogBkwuSAQIyOZgBAKABAaoBC2d3cy13aXotaW1nwAEB&amp;sclient=img&amp;ei=zr8qZNL5H9uj5NoPtPux4Aw&amp;bih=758&amp;biw=1473&amp;hl=en" TargetMode="External"/><Relationship Id="rId822" Type="http://schemas.openxmlformats.org/officeDocument/2006/relationships/hyperlink" Target="https://plants.ces.ncsu.edu/plants/nandina-domestica/common-name/heavenly-bamboo/" TargetMode="External"/><Relationship Id="rId254" Type="http://schemas.openxmlformats.org/officeDocument/2006/relationships/hyperlink" Target="https://plants.ces.ncsu.edu/plants/loropetalum-chinense-ruby/common-name/ruby-loropetalum/" TargetMode="External"/><Relationship Id="rId699" Type="http://schemas.openxmlformats.org/officeDocument/2006/relationships/hyperlink" Target="https://d.docs.live.net/Downloads/2008Bazer1.xls" TargetMode="External"/><Relationship Id="rId49" Type="http://schemas.openxmlformats.org/officeDocument/2006/relationships/hyperlink" Target="https://www.google.com/search?q=Spartan+Juniper+Juniperus+chinensis+%27Spartan%27&amp;tbm=isch&amp;hl=en&amp;ved=2ahUKEwjqjI7Y6eboAhWCcK0KHX3tD5MQBXoECAEQIg&amp;biw=1663&amp;bih=879" TargetMode="External"/><Relationship Id="rId114" Type="http://schemas.openxmlformats.org/officeDocument/2006/relationships/hyperlink" Target="https://plants.ces.ncsu.edu/plants/vitex-agnus-castus/common-name/chastetree/" TargetMode="External"/><Relationship Id="rId461" Type="http://schemas.openxmlformats.org/officeDocument/2006/relationships/hyperlink" Target="https://plants.ces.ncsu.edu/plants/vaccinium-virgatum/" TargetMode="External"/><Relationship Id="rId559" Type="http://schemas.openxmlformats.org/officeDocument/2006/relationships/hyperlink" Target="https://plants.ces.ncsu.edu/plants/hemerocallis/" TargetMode="External"/><Relationship Id="rId766" Type="http://schemas.openxmlformats.org/officeDocument/2006/relationships/hyperlink" Target="https://www.google.com/search?q=EverColor+Everillo+Sedge+Carex+oshimensis+%27Everillo%27+PP21002&amp;tbm=isch&amp;ved=2ahUKEwiywr-v2Z_0AhUO_6wKHYpRA3IQ2-cCegQIABAA&amp;oq=EverColor+Everillo+Sedge+Carex+oshimensis+%27Everillo%27+PP21002&amp;gs_lcp=CgNpbWcQDDoHCCMQ7wMQJ1DMEFjWRWCcVGgAcAB4AIABc4gBkQKSAQMyLjGYAQCgAQGqAQtnd3Mtd2l6LWltZ8ABAQ&amp;sclient=img&amp;ei=zB2VYbKsF47-swWKo42QBw&amp;bih=829&amp;biw=1454&amp;hl=en" TargetMode="External"/><Relationship Id="rId198" Type="http://schemas.openxmlformats.org/officeDocument/2006/relationships/hyperlink" Target="https://plants.ces.ncsu.edu/plants/lagerstroemia-indica/" TargetMode="External"/><Relationship Id="rId321" Type="http://schemas.openxmlformats.org/officeDocument/2006/relationships/hyperlink" Target="https://plants.ces.ncsu.edu/plants/distylium/" TargetMode="External"/><Relationship Id="rId419" Type="http://schemas.openxmlformats.org/officeDocument/2006/relationships/hyperlink" Target="https://www.google.com/search?q=Miss+Kim+Lilac+Syringa+pubescens+subsp.+patula+%27Miss+Kim%27&amp;tbm=isch&amp;ved=2ahUKEwiJ6sLu6abvAhWPAKwKHfrWABkQ2-cCegQIABAA&amp;oq=Miss+Kim+Lilac+Syringa+pubescens+subsp.+patula+%27Miss+Kim%27&amp;gs_lcp=CgNpbWcQDDIECCMQJzoCCABQsF9Yo3Rg8oUBaABwAHgAgAF1iAHrB5IBBDExLjGYAQCgAQGqAQtnd3Mtd2l6LWltZ8ABAQ&amp;sclient=img&amp;ei=RU9JYMmzCI-BsAX6rYPIAQ&amp;bih=876&amp;biw=1435&amp;hl=en" TargetMode="External"/><Relationship Id="rId626" Type="http://schemas.openxmlformats.org/officeDocument/2006/relationships/hyperlink" Target="https://www.google.com/search?q=Golden+Pacific+Juniper+Juniperus+conferta+%27Golden+Pacific%27&amp;tbm=isch&amp;ved=2ahUKEwiytenRsoH-AhVIAFkFHSgcCcYQ2-cCegQIABAA&amp;oq=Golden+Pacific+Juniper+Juniperus+conferta+%27Golden+Pacific%27&amp;gs_lcp=CgNpbWcQDFCuFViuFWCwImgAcAB4AIABS4gBf5IBATKYAQCgAQGqAQtnd3Mtd2l6LWltZ8ABAQ&amp;sclient=img&amp;ei=WFEkZLKpFciA5NoPqLiksAw&amp;authuser=1&amp;bih=841&amp;biw=1772" TargetMode="External"/><Relationship Id="rId833" Type="http://schemas.openxmlformats.org/officeDocument/2006/relationships/hyperlink" Target="https://www.google.com/search?q=Chef%27s+Choice+Rosemary+Salvia+rosmarinus+officinalis+Chef%27s+Choice%C2%AE+PP18192&amp;tbm=isch&amp;ved=2ahUKEwjLm6mjiMSEAxWsIGIAHfM-DSUQ2-cCegQIABAA&amp;oq=Chef%27s+Choice+Rosemary+Salvia+rosmarinus+officinalis+Chef%27s+Choice%C2%AE+PP18192&amp;gs_lp=EgNpbWciTENoZWYncyBDaG9pY2UgUm9zZW1hcnkgU2FsdmlhIHJvc21hcmludXMgb2ZmaWNpbmFsaXMgQ2hlZidzIENob2ljZcKuIFBQMTgxOTJIty9QrwpYziFwAHgAkAEAmAFIoAHzA6oBAjEwuAEMyAEA-AEBigILZ3dzLXdpei1pbWfCAgQQIxgniAYB&amp;sclient=img&amp;ei=uuzZZcvWBKzBiLMP8_20qAI&amp;authuser=1&amp;bih=671&amp;biw=1462&amp;hl=en" TargetMode="External"/><Relationship Id="rId265" Type="http://schemas.openxmlformats.org/officeDocument/2006/relationships/hyperlink" Target="https://plants.ces.ncsu.edu/plants/magnolia-figo/" TargetMode="External"/><Relationship Id="rId472" Type="http://schemas.openxmlformats.org/officeDocument/2006/relationships/hyperlink" Target="https://plants.ces.ncsu.edu/plants/phlox-subulata/common-name/creeping-phlox/" TargetMode="External"/><Relationship Id="rId125" Type="http://schemas.openxmlformats.org/officeDocument/2006/relationships/hyperlink" Target="https://plants.ces.ncsu.edu/plants/acer-saccharum/" TargetMode="External"/><Relationship Id="rId332" Type="http://schemas.openxmlformats.org/officeDocument/2006/relationships/hyperlink" Target="https://plants.ces.ncsu.edu/plants/ilex-crenata-helleri/common-name/helleri-holly/" TargetMode="External"/><Relationship Id="rId777" Type="http://schemas.openxmlformats.org/officeDocument/2006/relationships/hyperlink" Target="https://www.google.com/search?q=Sweet+Kate+Purple+Heart+Tradescantia+x+andersoniana+%22Sweet+Kate%22&amp;tbm=isch&amp;ved=2ahUKEwiA1ejxg7mAAxVNE2IAHczpAiMQ2-cCegQIABAA&amp;oq=Sweet+Kate+Purple+Heart+Tradescantia+x+andersoniana+%22Sweet+Kate%22&amp;gs_lcp=CgNpbWcQDDoECCMQJ1CxEFi4NmCuVWgAcAB4AIABUYgBugGSAQEzmAEAoAEBqgELZ3dzLXdpei1pbWfAAQE&amp;sclient=img&amp;ei=QbTHZMCwFc2miLMPzNOLmAI&amp;bih=855&amp;biw=1440&amp;hl=en" TargetMode="External"/><Relationship Id="rId637" Type="http://schemas.openxmlformats.org/officeDocument/2006/relationships/hyperlink" Target="https://plants.ces.ncsu.edu/plants/amelanchier-canadensis/common-name/serviceberry/" TargetMode="External"/><Relationship Id="rId844" Type="http://schemas.openxmlformats.org/officeDocument/2006/relationships/hyperlink" Target="https://www.google.com/search?sca_esv=97d3c4185a5a42ee&amp;sxsrf=ACQVn0__HZUzz3pNHAPC9470KXS_Q8grqQ:1711156063190&amp;q=Bengal+Tiger+Canna+Lily+Canna+americanallis+var.+variegata&amp;uds=AMwkrPt0IF_fy-jVkApiGaIINmEoQItbE4nB75jbGvBzqp0_wO7GNSwhh_CppRLrCpmciMR47ncHW9E6ln1XiIPzbfS6gs0gUy1NyXTQlHxC_UFIWMbYt8KMeAvFsuUqSCWF_a-v_O52gdma6gL8qPkLTxgPJpeN3K3aJS_CtMh-S8udTxZQ7weYUZpS2PL7MeaCo9Ci2p-ykklw65USQ1jiiztszH_cUChyu2lmPu-Gv5MbHgvzF5nEvzyJaArnenbN2rP5ACFdw73_FIQ2H8vmQWnL_MU07xt3lL8WnPU5zh_o-nfuTI8x-M1eG3Zmcsl42Y7YU595CbpLcV7-IwnT1_LEvEfbA4MwtKdYu9kB8QFqSwpSr7c&amp;udm=2&amp;prmd=isvnmbtz&amp;sa=X&amp;ved=2ahUKEwjTsLSKmYmFAxWZEVkFHchvALcQtKgLegQIChAB&amp;biw=1616&amp;bih=736&amp;dpr=1" TargetMode="External"/><Relationship Id="rId276" Type="http://schemas.openxmlformats.org/officeDocument/2006/relationships/hyperlink" Target="https://www.google.com/search?q=Sunshine+Privet+Ligustrum+sinense+%27Sunshine%27+PP20379&amp;tbm=isch&amp;ved=2ahUKEwjh9baA1Zz0AhXPi60KHWLDBbwQ2-cCegQIABAA&amp;oq=Sunshine+Privet+Ligustrum+sinense+%27Sunshine%27+PP20379&amp;gs_lcp=CgNpbWcQDDoHCCMQ7wMQJ1DWKVjWKWDBUWgAcAB4AIABXIgBsgGSAQEymAEAoAEBqgELZ3dzLXdpei1pbWfAAQE&amp;sclient=img&amp;ei=kIaTYeHtK8-XtgXihpfgCw&amp;bih=878&amp;biw=1750&amp;hl=en" TargetMode="External"/><Relationship Id="rId483" Type="http://schemas.openxmlformats.org/officeDocument/2006/relationships/hyperlink" Target="https://plants.ces.ncsu.edu/plants/hemerocallis/" TargetMode="External"/><Relationship Id="rId690" Type="http://schemas.openxmlformats.org/officeDocument/2006/relationships/hyperlink" Target="https://www.google.com/search?q=Weeping+Willow+Salix+babylonica&amp;tbm=isch&amp;ved=2ahUKEwj2_sCP7PXoAhXEB1MKHfcXDVAQ2-cCegQIABAA&amp;oq=Weeping+Willow+Salix+babylonica&amp;gs_lcp=CgNpbWcQDDICCAAyBAgAEBhQ0uyQAVjS7JABYM-jkQFoAHAAeACAAU2IAU2SAQExmAEAoAEBqgELZ3dzLXdpei1pbWc&amp;sclient=img&amp;ei=wPmcXvaeOcSPzAL3r7SABQ&amp;bih=878&amp;biw=1454&amp;hl=en" TargetMode="External"/><Relationship Id="rId704" Type="http://schemas.openxmlformats.org/officeDocument/2006/relationships/hyperlink" Target="https://www.google.com/search?q=Shagbark+Hickory+Carya+ovata&amp;authuser=1&amp;sxsrf=ALeKk00uiRNV2Z_Bl1a1KIauk3m3rOtWgw:1609429141183&amp;source=lnms&amp;tbm=isch&amp;sa=X&amp;ved=2ahUKEwiZ8IDixvjtAhWjxVkKHYzYAxMQ_AUoAXoECBQQAw&amp;biw=1797&amp;bih=846" TargetMode="External"/><Relationship Id="rId40" Type="http://schemas.openxmlformats.org/officeDocument/2006/relationships/hyperlink" Target="https://www.google.com/search?q=Upright+Japanese+Plum+Yew+Cephalotaxus+harringtonia+%27Fastigiata%27&amp;tbm=isch&amp;ved=2ahUKEwiF8ujE2-foAhXUE6wKHeSgCBgQ2-cCegQIABAA&amp;oq=Upright+Japanese+Plum+Yew+Cephalotaxus+harringtonia+%27Fastigiata%27&amp;gs_lcp=CgNpbWcQDFCRT1iRT2CjY2gAcAB4AIABRYgBRZIBATGYAQCgAQGqAQtnd3Mtd2l6LWltZw&amp;sclient=img&amp;ei=UZGVXsUF1KewBeTBosAB&amp;bih=831&amp;biw=1428" TargetMode="External"/><Relationship Id="rId136" Type="http://schemas.openxmlformats.org/officeDocument/2006/relationships/hyperlink" Target="https://www.google.com/search?q=Green+Gable+Black+Gum+Nyssa+sylvatica+%27Green+Gable%27&amp;tbm=isch&amp;ved=2ahUKEwiMkdXvh4vwAhUWQa0KHQLwDtIQ2-cCegQIABAA&amp;oq=Green+Gable+Black+Gum+Nyssa+sylvatica+%27Green+Gable%27&amp;gs_lcp=CgNpbWcQDFDXhQJY9JACYMGbAmgAcAB4AIABiAGIAeABkgEDMS4xmAEAoAEBqgELZ3dzLXdpei1pbWfAAQE&amp;sclient=img&amp;ei=gtx9YIzIGpaCtQWC4LuQDQ&amp;bih=824&amp;biw=1507&amp;hl=en" TargetMode="External"/><Relationship Id="rId343" Type="http://schemas.openxmlformats.org/officeDocument/2006/relationships/hyperlink" Target="https://www.google.com/search?q=Prostrate+Japanese+Plum+Yew+Cephalotaxus+harringtonia+%27Prostrata%27&amp;tbm=isch&amp;ved=2ahUKEwjp1YmHtPXoAhUIH6wKHbNuC90Q2-cCegQIABAA&amp;oq=Prostrate+Japanese+Plum+Yew+Cephalotaxus+harringtonia+%27Prostrata%27&amp;gs_lcp=CgNpbWcQDFC0tQRYtLUEYL7BBGgAcAB4AIABVYgBVZIBATGYAQCgAQGqAQtnd3Mtd2l6LWltZw&amp;sclient=img&amp;ei=9r6cXumCNYi-sAWz3a3oDQ&amp;bih=878&amp;biw=1437&amp;hl=en" TargetMode="External"/><Relationship Id="rId550" Type="http://schemas.openxmlformats.org/officeDocument/2006/relationships/hyperlink" Target="https://plants.ces.ncsu.edu/plants/athyrium-niponicum-var-pictum/common-name/japanese-painted-fern/" TargetMode="External"/><Relationship Id="rId788" Type="http://schemas.openxmlformats.org/officeDocument/2006/relationships/hyperlink" Target="https://newviewplanting.com/" TargetMode="External"/><Relationship Id="rId203" Type="http://schemas.openxmlformats.org/officeDocument/2006/relationships/hyperlink" Target="https://www.google.com/search?q=Acoma+Crape+Myrtle+Lagerstroemia+%27Acoma%27&amp;sxsrf=ALeKk02OTEtD3qXEXmMKOOJrQLibQG9Wxw:1590255921276&amp;source=lnms&amp;tbm=isch&amp;sa=X&amp;ved=2ahUKEwiMi6j6xMrpAhUC2qwKHVOkADEQ_AUoAnoECBAQBA&amp;biw=1768&amp;bih=819" TargetMode="External"/><Relationship Id="rId648" Type="http://schemas.openxmlformats.org/officeDocument/2006/relationships/hyperlink" Target="https://plants.ces.ncsu.edu/plants/yucca-gloriosa/" TargetMode="External"/><Relationship Id="rId855" Type="http://schemas.openxmlformats.org/officeDocument/2006/relationships/hyperlink" Target="https://plants.ces.ncsu.edu/plants/citrus-x-limon-meyer/common-name/meyer-lemon/" TargetMode="External"/><Relationship Id="rId287" Type="http://schemas.openxmlformats.org/officeDocument/2006/relationships/hyperlink" Target="https://www.google.com/search?q=Purple+Haze+Butterfly+Bush+Buddleia+Lo+and+Behold+%27Purple+Haze%27+PP24514&amp;tbm=isch&amp;ved=2ahUKEwilsemu1qH0AhXTQUIHHakiDhEQ2-cCegQIABAA&amp;oq=Purple+Haze+Butterfly+Bush+Buddleia+Lo+and+Behold+%27Purple+Haze%27+PP24514&amp;gs_lcp=CgNpbWcQDDoHCCMQ7wMQJ1CpHFiwiwFgwpUBaABwAHgAgAFYiAHAApIBATSYAQCgAQGqAQtnd3Mtd2l6LWltZ8ABAQ&amp;sclient=img&amp;ei=FSeWYeXSCNODieoPqcW4iAE&amp;bih=830&amp;biw=1711" TargetMode="External"/><Relationship Id="rId410" Type="http://schemas.openxmlformats.org/officeDocument/2006/relationships/hyperlink" Target="https://plants.ces.ncsu.edu/plants/hydrangea-paniculata/" TargetMode="External"/><Relationship Id="rId494" Type="http://schemas.openxmlformats.org/officeDocument/2006/relationships/hyperlink" Target="https://plants.ces.ncsu.edu/plants/ophiopogon-japonicus/common-name/mondo-grass/" TargetMode="External"/><Relationship Id="rId508" Type="http://schemas.openxmlformats.org/officeDocument/2006/relationships/hyperlink" Target="https://plants.ces.ncsu.edu/plants/dryopteris-erythrosora/" TargetMode="External"/><Relationship Id="rId715" Type="http://schemas.openxmlformats.org/officeDocument/2006/relationships/hyperlink" Target="https://www.google.com/search?q=Merlot+Redbud+Cercis+x+%27Merlot%27&amp;tbm=isch&amp;ved=2ahUKEwjGl7uatqzrAhULU1MKHS6SChoQ2-cCegQIABAA&amp;oq=Merlot+Redbud+Cercis+x+%27Merlot%27&amp;gs_lcp=CgNpbWcQDDIECCMQJzIECCMQJ1CWDliWDmCBGWgAcAB4AIABSYgBSZIBATGYAQCgAQGqAQtnd3Mtd2l6LWltZ8ABAQ&amp;sclient=img&amp;ei=784_X4bkAYumzQKupKrQAQ&amp;authuser=1&amp;bih=877&amp;biw=1617&amp;hl=en" TargetMode="External"/><Relationship Id="rId147" Type="http://schemas.openxmlformats.org/officeDocument/2006/relationships/hyperlink" Target="https://www.google.com/search?q=Regal+Prince%C2%AE+Oak+Quercus+x+warei+%27Long%27+pp%2312673&amp;tbm=isch&amp;ved=2ahUKEwjuypHA_6qEAxX5F2IAHeAIB-IQ2-cCegQIABAA&amp;oq=Regal+Prince%C2%AE+Oak+Quercus+x+warei+%27Long%27+pp%2312673&amp;gs_lp=EgNpbWciMlJlZ2FsIFByaW5jZcKuIE9hayBRdWVyY3VzIHggd2FyZWkgJ0xvbmcnIHBwIzEyNjczSN4pUPwVWPwVcAB4AJABAJgBRKABcKoBATK4AQzIAQD4AQGKAgtnd3Mtd2l6LWltZ8ICBBAjGCeIBgE&amp;sclient=img&amp;ei=FcjMZa7sB_mviLMP4JGckA4&amp;authuser=1&amp;bih=728&amp;biw=1500&amp;prmd=ishvnmbtz" TargetMode="External"/><Relationship Id="rId354" Type="http://schemas.openxmlformats.org/officeDocument/2006/relationships/hyperlink" Target="https://www.google.com/search?q=Helleri+Holly+Ilex+crenata+%27Helleri%27&amp;tbm=isch&amp;ved=2ahUKEwjU1JuLpPXoAhUP-KwKHfKDBiIQ2-cCegQIABAA&amp;oq=Helleri+Holly+Ilex+crenata+%27Helleri%27&amp;gs_lcp=CgNpbWcQDFD9iARY_YgEYIadBGgAcAB4AIABUogBUpIBATGYAQCgAQGqAQtnd3Mtd2l6LWltZw&amp;sclient=img&amp;ei=OK6cXtTYI4_wswXyh5qQAg&amp;bih=878&amp;biw=1750&amp;hl=en" TargetMode="External"/><Relationship Id="rId799" Type="http://schemas.openxmlformats.org/officeDocument/2006/relationships/hyperlink" Target="https://www.trees2go.com/grower-one/" TargetMode="External"/><Relationship Id="rId51" Type="http://schemas.openxmlformats.org/officeDocument/2006/relationships/hyperlink" Target="https://plants.ces.ncsu.edu/plants/ilex-cornuta-needlepoint/common-name/needlepoint-holly/" TargetMode="External"/><Relationship Id="rId561" Type="http://schemas.openxmlformats.org/officeDocument/2006/relationships/hyperlink" Target="https://nc811.org/safe-digging-process/" TargetMode="External"/><Relationship Id="rId659" Type="http://schemas.openxmlformats.org/officeDocument/2006/relationships/hyperlink" Target="https://www.google.com/search?q=Bushel+and+Berry+Pink+Icing+Blueberry+Vaccinium+corymbosum+%27Zf06-079%27+PP23336&amp;tbm=isch&amp;ved=2ahUKEwjaoIqXlKT0AhUFc60KHT1DBpgQ2-cCegQIABAA&amp;oq=Bushel+and+Berry+Pink+Icing+Blueberry+Vaccinium+corymbosum+%27Zf06-079%27+PP23336&amp;gs_lcp=CgNpbWcQDDIHCCMQ7wMQJ1DzBliWGmCCKGgAcAB4AIABXYgBkAKSAQEzmAEAoAEBqgELZ3dzLXdpei1pbWfAAQE&amp;sclient=img&amp;ei=VXSXYZqiMoXmtQW9hpnACQ&amp;bih=876&amp;biw=1435&amp;hl=en" TargetMode="External"/><Relationship Id="rId866" Type="http://schemas.openxmlformats.org/officeDocument/2006/relationships/printerSettings" Target="../printerSettings/printerSettings2.bin"/><Relationship Id="rId214" Type="http://schemas.openxmlformats.org/officeDocument/2006/relationships/hyperlink" Target="https://www.google.com/search?q=Krauter+Vesuvius+Purple+Leaf+Plum+Prunus+cerasifera+%27Krauter+Vesuvius%E2%80%99&amp;tbm=isch&amp;ved=2ahUKEwi5iNCClf_xAhWuQEIHHb3AAIYQ2-cCegQIABAA&amp;oq=Krauter+Vesuvius+Purple+Leaf+Plum+Prunus+cerasifera+%27Krauter+Vesuvius%E2%80%99&amp;gs_lcp=CgNpbWcQDFCZ7gVY3-4FYOyABmgAcAB4AIABTogBjwGSAQEymAEAoAEBqgELZ3dzLXdpei1pbWfAAQE&amp;sclient=img&amp;ei=bNf9YLmiAa6BieoPvYGDsAg&amp;bih=878&amp;biw=1750&amp;hl=en" TargetMode="External"/><Relationship Id="rId298" Type="http://schemas.openxmlformats.org/officeDocument/2006/relationships/hyperlink" Target="https://plants.ces.ncsu.edu/plants/loropetalum-chinense-f-rubrum/" TargetMode="External"/><Relationship Id="rId421" Type="http://schemas.openxmlformats.org/officeDocument/2006/relationships/hyperlink" Target="https://www.google.com/search?q=Black+Knight+Butterfly+Bush+Buddleia+davidii+%27Black+Knight%27&amp;hl=en&amp;sxsrf=ALeKk01GIjLYabJ8fFyaW99tz5xyAEItcA:1590845898558&amp;source=lnms&amp;tbm=isch&amp;sa=X&amp;ved=2ahUKEwi13bPl2tvpAhUknOAKHXKhCfgQ_AUoAnoECA4QBA&amp;biw=1807&amp;bih=815" TargetMode="External"/><Relationship Id="rId519" Type="http://schemas.openxmlformats.org/officeDocument/2006/relationships/hyperlink" Target="https://www.google.com/search?q=Snow-N-Summer%E2%84%A2+Asiatic+Jasmine+Trachelospermum+asiaticum+%27Snow+N+Summer%27&amp;authuser=1&amp;hl=en&amp;source=lnms&amp;tbm=isch&amp;sa=X&amp;ved=2ahUKEwjC9dS-1bD6AhXclYkEHdtEAR4Q_AUoAXoECAEQAw&amp;biw=1448&amp;bih=840&amp;dpr=1" TargetMode="External"/><Relationship Id="rId158" Type="http://schemas.openxmlformats.org/officeDocument/2006/relationships/hyperlink" Target="https://plants.ces.ncsu.edu/plants/quercus-lyrata/common-name/overcup-oak/" TargetMode="External"/><Relationship Id="rId726" Type="http://schemas.openxmlformats.org/officeDocument/2006/relationships/hyperlink" Target="https://plants.ces.ncsu.edu/plants/hydrangea-macrophylla/" TargetMode="External"/><Relationship Id="rId62" Type="http://schemas.openxmlformats.org/officeDocument/2006/relationships/hyperlink" Target="https://plants.ces.ncsu.edu/plants/ilex-x-attenuata-fosteri/common-name/foster-holly/" TargetMode="External"/><Relationship Id="rId365" Type="http://schemas.openxmlformats.org/officeDocument/2006/relationships/hyperlink" Target="https://plants.ces.ncsu.edu/plants/hydrangea-macrophylla/" TargetMode="External"/><Relationship Id="rId572" Type="http://schemas.openxmlformats.org/officeDocument/2006/relationships/hyperlink" Target="https://plants.ces.ncsu.edu/plants/lagerstroemia-indica-whit-iv/common-name/red-rocket-crape-myrtle/" TargetMode="External"/><Relationship Id="rId225" Type="http://schemas.openxmlformats.org/officeDocument/2006/relationships/hyperlink" Target="https://plants.ces.ncsu.edu/plants/hibiscus-moscheutos/common-name/hardy-hibiscus/" TargetMode="External"/><Relationship Id="rId432" Type="http://schemas.openxmlformats.org/officeDocument/2006/relationships/hyperlink" Target="https://www.google.com/search?q=Crimson+Queen+Laceleaf+Japanese+Maple+Acer+palmatum+dissectum+%27Crimson+Queen%27&amp;tbm=isch&amp;ved=2ahUKEwir3o7t6MTyAhWMna0KHZLyD_8Q2-cCegQIABAA&amp;oq=Crimson+Queen+Laceleaf+Japanese+Maple+Acer+palmatum+dissectum+%27Crimson+Queen%27&amp;gs_lcp=CgNpbWcQDFAAWABgooEBaABwAHgAgAEAiAEAkgEAmAEAqgELZ3dzLXdpei1pbWc&amp;sclient=img&amp;ei=WVwiYevNGoy7tgWS5b_4Dw&amp;bih=878&amp;biw=1454&amp;hl=en" TargetMode="External"/><Relationship Id="rId737" Type="http://schemas.openxmlformats.org/officeDocument/2006/relationships/hyperlink" Target="https://www.google.com/search?q=Swamp+White+Oak+Quercus+bicolor&amp;tbm=isch&amp;ved=2ahUKEwipqdTJv_ToAhUL-awKHTP2B7wQ2-cCegQIABAA&amp;oq=Swamp+White+Oak+Quercus+bicolor&amp;gs_lcp=CgNpbWcQDDICCABQ-8cEWPvHBGC50ARoAHAAeACAAXKIAXKSAQMwLjGYAQCgAQGqAQtnd3Mtd2l6LWltZw&amp;sclient=img&amp;ei=00ScXunzIYvyswWz7J_gCw&amp;bih=878&amp;biw=1767" TargetMode="External"/><Relationship Id="rId73" Type="http://schemas.openxmlformats.org/officeDocument/2006/relationships/hyperlink" Target="https://www.google.com/search?q=Oakland%C2%AE+Holly+Ilex+x+%27Magland%27+PP14417&amp;tbm=isch&amp;ved=2ahUKEwjZibKRtoz0AhUKClMKHQziA9QQ2-cCegQIABAA&amp;oq=Oakland%C2%AE+Holly+Ilex+x+%27Magland%27+PP14417&amp;gs_lcp=CgNpbWcQDDoHCCMQ7wMQJ1DtE1jtE2CEJmgAcAB4AIABZYgBtwGSAQMxLjGYAQCgAQGqAQtnd3Mtd2l6LWltZ8ABAQ&amp;sclient=img&amp;ei=tgKLYdnWO4qUzAKMxI-gDQ&amp;bih=831&amp;biw=1428" TargetMode="External"/><Relationship Id="rId169" Type="http://schemas.openxmlformats.org/officeDocument/2006/relationships/hyperlink" Target="https://plants.ces.ncsu.edu/plants/pistacia-chinensis/common-name/chinese-pistachio/" TargetMode="External"/><Relationship Id="rId376" Type="http://schemas.openxmlformats.org/officeDocument/2006/relationships/hyperlink" Target="https://www.google.com/search?q=Little+Lime+Hydrangea+paniculata+%27Jane%27+PP22330&amp;tbm=isch&amp;ved=2ahUKEwjbuKzoqZD0AhUhnq0KHe7aD7IQ2-cCegQIABAA&amp;oq=Little+Lime+Hydrangea+paniculata+%27Jane%27+PP22330&amp;gs_lcp=CgNpbWcQDDoHCCMQ7wMQJzoGCAAQCBAeUJIMWJIMYLAVaABwAHgAgAGbAYgB6AGSAQMxLjGYAQCgAQGqAQtnd3Mtd2l6LWltZ8ABAQ&amp;sclient=img&amp;ei=qg6NYdu7JqG8tgXutb-QCw&amp;bih=937&amp;biw=1920&amp;hl=en" TargetMode="External"/><Relationship Id="rId583" Type="http://schemas.openxmlformats.org/officeDocument/2006/relationships/hyperlink" Target="https://plants.ces.ncsu.edu/plants/illicium-scorpio/common-name/scorpio-anise-shrub/" TargetMode="External"/><Relationship Id="rId790" Type="http://schemas.openxmlformats.org/officeDocument/2006/relationships/hyperlink" Target="https://www.google.com/search?q=Pee+Wee+Oakleaf+Hydrangea+quercifolia+%27Pee+Wee%27&amp;tbm=isch&amp;ved=2ahUKEwjg4M_R1eaAAxWIF2IAHbA9D3EQ2-cCegQIABAA&amp;oq=Pee+Wee+Oakleaf+Hydrangea+quercifolia+%27Pee+Wee%27&amp;gs_lcp=CgNpbWcQDDoECCMQJ1CENViENWCcSGgAcAB4AIABOogBc5IBATKYAQCgAQGqAQtnd3Mtd2l6LWltZ8ABAQ&amp;sclient=img&amp;ei=xaHfZKDqLoiviLMPsPu8iAc&amp;authuser=1&amp;bih=874&amp;biw=1363&amp;hl=en" TargetMode="External"/><Relationship Id="rId804" Type="http://schemas.openxmlformats.org/officeDocument/2006/relationships/hyperlink" Target="https://www.google.com/search?q=Radicans+Cryptomeria+Cryptomeria+japonica+%27Radicans%27&amp;tbm=isch&amp;ved=2ahUKEwj8_PysgdDoAhUL06wKHfLWCN8Q2-cCegQIABAA&amp;oq=Radicans+Cryptomeria+Cryptomeria+japonica+%27Radicans%27&amp;gs_lcp=CgNpbWcQDFDuieEWWO6J4RZg6JPhFmgAcAB4AIABTYgBTZIBATGYAQCgAQGqAQtnd3Mtd2l6LWltZw&amp;sclient=img&amp;ei=vSOJXryqMoumswXyraP4DQ&amp;bih=900&amp;biw=1761" TargetMode="External"/><Relationship Id="rId4" Type="http://schemas.openxmlformats.org/officeDocument/2006/relationships/hyperlink" Target="https://www.trees2go.com/sources/" TargetMode="External"/><Relationship Id="rId236" Type="http://schemas.openxmlformats.org/officeDocument/2006/relationships/hyperlink" Target="https://plants.ces.ncsu.edu/plants/aucuba-japonica/" TargetMode="External"/><Relationship Id="rId443" Type="http://schemas.openxmlformats.org/officeDocument/2006/relationships/hyperlink" Target="https://www.google.com/search?q=Golden+Falls+Weeping+Redbud+Cercis+canadensis+%E2%80%98NC2015-12%E2%80%99+PP31658&amp;tbm=isch&amp;ved=2ahUKEwjJna6-zYX8AhWaJN4AHZxyCzAQ2-cCegQIABAA&amp;oq=Golden+Falls+Weeping+Redbud+Cercis+canadensis+%E2%80%98NC2015-12%E2%80%99+PP31658&amp;gs_lcp=CgNpbWcQDFDNDFjCjgJgxcECaABwAHgAgAGqAYgBkwaSAQM2LjKYAQCgAQGqAQtnd3Mtd2l6LWltZ8ABAQ&amp;sclient=img&amp;ei=oU6gY4nJDZrJ-LYPnOWtgAM&amp;bih=878&amp;biw=1454&amp;hl=en" TargetMode="External"/><Relationship Id="rId650" Type="http://schemas.openxmlformats.org/officeDocument/2006/relationships/hyperlink" Target="https://www.google.com/search?q=Southern+Gentleman+Winterberry+Holly+Ilex+verticillata+%27Southern+Gentleman%27&amp;tbm=isch&amp;ved=2ahUKEwini9PYhJrzAhWRDN8KHcdABQIQ2-cCegQIABAA&amp;oq=Southern+Gentleman+Winterberry+Holly+Ilex+verticillata+%27Southern+Gentleman%27&amp;gs_lcp=CgNpbWcQDFCWaFiWaGDudGgAcAB4AIABQIgBQJIBATGYAQCgAQGqAQtnd3Mtd2l6LWltZ8ABAQ&amp;sclient=img&amp;ei=DApPYafVHJGZ_AbHgZUQ&amp;bih=876&amp;biw=1435&amp;hl=en" TargetMode="External"/><Relationship Id="rId303" Type="http://schemas.openxmlformats.org/officeDocument/2006/relationships/hyperlink" Target="https://plants.ces.ncsu.edu/plants/ilex-cornuta-carissa/common-name/carissa-holly/" TargetMode="External"/><Relationship Id="rId748" Type="http://schemas.openxmlformats.org/officeDocument/2006/relationships/hyperlink" Target="https://plants.ces.ncsu.edu/plants/chionanthus-retusus/" TargetMode="External"/><Relationship Id="rId84" Type="http://schemas.openxmlformats.org/officeDocument/2006/relationships/hyperlink" Target="https://plants.ces.ncsu.edu/plants/ilex-x-nellie-r-stevens/common-name/nellie-r-stevens-holly/" TargetMode="External"/><Relationship Id="rId387" Type="http://schemas.openxmlformats.org/officeDocument/2006/relationships/hyperlink" Target="https://www.google.com/search?q=Miss+Huff+Lantana+camara+%27Miss+Huff%27&amp;tbm=isch&amp;ved=2ahUKEwi9vIivyrbyAhVCjeAKHRfsDhIQ2-cCegQIABAA&amp;oq=Miss+Huff+Lantana+camara+%27Miss+Huff%27&amp;gs_lcp=CgNpbWcQDFDuHljuHmClKmgAcAB4AIABP4gBP5IBATGYAQCgAQGqAQtnd3Mtd2l6LWltZ8ABAQ&amp;sclient=img&amp;ei=VeUaYf29N8KaggeX2LuQAQ&amp;bih=878&amp;biw=1454&amp;hl=en" TargetMode="External"/><Relationship Id="rId510" Type="http://schemas.openxmlformats.org/officeDocument/2006/relationships/hyperlink" Target="https://plants.ces.ncsu.edu/plants/liriope-muscari/" TargetMode="External"/><Relationship Id="rId594" Type="http://schemas.openxmlformats.org/officeDocument/2006/relationships/hyperlink" Target="https://plants.ces.ncsu.edu/plants/malus/" TargetMode="External"/><Relationship Id="rId608" Type="http://schemas.openxmlformats.org/officeDocument/2006/relationships/hyperlink" Target="https://plants.ces.ncsu.edu/plants/cornus-florida/" TargetMode="External"/><Relationship Id="rId815" Type="http://schemas.openxmlformats.org/officeDocument/2006/relationships/hyperlink" Target="https://www.google.com/search?q=Tangerine+Beauty+Cross-Vine+Bignonia+capreolata+%27Tangerine+Beauty%27&amp;tbm=isch&amp;ved=2ahUKEwimx5WumK34AhUPB50JHTiJBw4Q2-cCegQIABAA&amp;oq=Tangerine+Beauty+Cross-Vine+Bignonia+capreolata+%27Tangerine+Beauty%27&amp;gs_lcp=CgNpbWcQDFDJCViJGWCMKmgAcAB4AIABU4gBvwKSAQE0mAEAoAEBqgELZ3dzLXdpei1pbWfAAQE&amp;sclient=img&amp;ei=J6CoYuaXKY-O9PwPuJKecA&amp;authuser=1&amp;bih=796&amp;biw=1719" TargetMode="External"/><Relationship Id="rId247" Type="http://schemas.openxmlformats.org/officeDocument/2006/relationships/hyperlink" Target="https://plants.ces.ncsu.edu/plants/ilex-crenata-compacta/common-name/compact-japanese-holly/" TargetMode="External"/><Relationship Id="rId107" Type="http://schemas.openxmlformats.org/officeDocument/2006/relationships/hyperlink" Target="https://www.google.com/search?q=Autumn+Brilliance+Serviceberry+Amelanchier+grandiflora+%27Autumn+Brilliance%E2%80%99&amp;tbm=isch&amp;ved=2ahUKEwjEt5y_0fToAhWQQa0KHV9RA9MQ2-cCegQIABAA&amp;oq=Autumn+Brilliance+Serviceberry+Amelanchier+grandiflora+%27Autumn+Brilliance%E2%80%99&amp;gs_lcp=CgNpbWcQDFC5EFijKGC3RGgBcAB4AIABbogB1QeSAQQxMi4xmAEAoAEBqgELZ3dzLXdpei1pbWc&amp;sclient=img&amp;ei=nVecXoT1HpCDtQXfoo2YDQ&amp;bih=878&amp;biw=1750&amp;hl=en" TargetMode="External"/><Relationship Id="rId454" Type="http://schemas.openxmlformats.org/officeDocument/2006/relationships/hyperlink" Target="https://www.google.com/search?q=Arp+Rosemary+Salvia+rosmarinus+officinalis+%27Arp%27&amp;tbm=isch&amp;ved=2ahUKEwjf6bW-iMSEAxXSEmIAHdcXAsQQ2-cCegQIABAA&amp;oq=Arp+Rosemary+Salvia+rosmarinus+officinalis+%27Arp%27&amp;gs_lp=EgNpbWciMEFycCBSb3NlbWFyeSBTYWx2aWEgcm9zbWFyaW51cyBvZmZpY2luYWxpcyAnQXJwJ0iRNVDvCVifIXAAeACQAQCYAT6gAfgDqgECMTC4AQzIAQD4AQGKAgtnd3Mtd2l6LWltZ8ICBBAjGCeIBgE&amp;sclient=img&amp;ei=8uzZZd-oN9KliLMP16-IoAw&amp;bih=876&amp;biw=1435&amp;hl=en" TargetMode="External"/><Relationship Id="rId661" Type="http://schemas.openxmlformats.org/officeDocument/2006/relationships/hyperlink" Target="https://plants.ces.ncsu.edu/plants/cornus-sericea/common-name/redtwig-dogwood/" TargetMode="External"/><Relationship Id="rId759" Type="http://schemas.openxmlformats.org/officeDocument/2006/relationships/hyperlink" Target="https://www.trees2go.com/grower-six/" TargetMode="External"/><Relationship Id="rId11" Type="http://schemas.openxmlformats.org/officeDocument/2006/relationships/hyperlink" Target="https://www.trees2go.com/about/" TargetMode="External"/><Relationship Id="rId314" Type="http://schemas.openxmlformats.org/officeDocument/2006/relationships/hyperlink" Target="https://plants.ces.ncsu.edu/plants/gardenia-jasminoides-radicans/common-name/trailing-gardenia/" TargetMode="External"/><Relationship Id="rId398" Type="http://schemas.openxmlformats.org/officeDocument/2006/relationships/hyperlink" Target="https://www.google.com/search?q=Henry%27s+Garnet+Virginia+Sweetspire+Itea+virginica+%27Henry%27s+Garnet%27&amp;tbm=isch&amp;ved=2ahUKEwjOgZL83fvoAhUE96wKHRlgAtAQ2-cCegQIABAA&amp;oq=Henry%27s+Garnet+Virginia+Sweetspire+Itea+virginica+%27Henry%27s+Garnet%27&amp;gs_lcp=CgNpbWcQDFDA_AdYwPwHYIKICGgAcAB4AIABTIgBTJIBATGYAQCgAQGqAQtnd3Mtd2l6LWltZw&amp;sclient=img&amp;ei=OBCgXs6FKITuswWZwImADQ" TargetMode="External"/><Relationship Id="rId521" Type="http://schemas.openxmlformats.org/officeDocument/2006/relationships/hyperlink" Target="https://plants.ces.ncsu.edu/plants/trachelospermum-jasminoides/common-name/confederate-jasmine/" TargetMode="External"/><Relationship Id="rId619" Type="http://schemas.openxmlformats.org/officeDocument/2006/relationships/hyperlink" Target="https://plants.ces.ncsu.edu/plants/aster/" TargetMode="External"/><Relationship Id="rId95" Type="http://schemas.openxmlformats.org/officeDocument/2006/relationships/hyperlink" Target="https://plants.ces.ncsu.edu/plants/cedrus-deodara/common-name/deodar-cedar/" TargetMode="External"/><Relationship Id="rId160" Type="http://schemas.openxmlformats.org/officeDocument/2006/relationships/hyperlink" Target="https://plants.ces.ncsu.edu/plants/fagus-grandifolia/common-name/american-beech/" TargetMode="External"/><Relationship Id="rId826" Type="http://schemas.openxmlformats.org/officeDocument/2006/relationships/hyperlink" Target="https://www.trees2go.com/grower-four/" TargetMode="External"/><Relationship Id="rId258" Type="http://schemas.openxmlformats.org/officeDocument/2006/relationships/hyperlink" Target="https://plants.ces.ncsu.edu/plants/elaeagnus-x-ebbingei/common-name/ebbings-silverberry/" TargetMode="External"/><Relationship Id="rId465" Type="http://schemas.openxmlformats.org/officeDocument/2006/relationships/hyperlink" Target="https://www.google.com/search?q=Premier+Blueberry+Vaccinium+corymbosum+%27Premier%27&amp;tbm=isch&amp;ved=2ahUKEwiD5Z_Xrf7oAhUUz6wKHR7cCZoQ2-cCegQIABAA&amp;oq=Premier+Blueberry+Vaccinium+corymbosum+%27Premier%27&amp;gs_lcp=CgNpbWcQDFAAWABgz80DaABwAHgAgAEAiAEAkgEAmAEAqgELZ3dzLXdpei1pbWc&amp;sclient=img&amp;ei=PXChXsPSJJSeswWeuKfQCQ&amp;bih=876&amp;biw=1435&amp;hl=en" TargetMode="External"/><Relationship Id="rId672" Type="http://schemas.openxmlformats.org/officeDocument/2006/relationships/hyperlink" Target="https://www.google.com/search?q=Alice+Oakleaf+Hydrangea+quercifolia+%27Alice%27&amp;tbm=isch&amp;ved=2ahUKEwi4wNXh_N_yAhXLi60KHW23DYQQ2-cCegQIABAA&amp;oq=Alice+Oakleaf+Hydrangea+quercifolia+%27Alice%27&amp;gs_lcp=CgNpbWcQDFDCGFjCGGD7JmgAcAB4AIABTogBTpIBATGYAQCgAQGqAQtnd3Mtd2l6LWltZ8ABAQ&amp;sclient=img&amp;ei=G5kwYfjGBMuXtgXt7ragCA&amp;bih=866&amp;biw=1434&amp;hl=en" TargetMode="External"/><Relationship Id="rId22" Type="http://schemas.openxmlformats.org/officeDocument/2006/relationships/hyperlink" Target="https://plants.ces.ncsu.edu/plants/ilex-hybrids/" TargetMode="External"/><Relationship Id="rId118" Type="http://schemas.openxmlformats.org/officeDocument/2006/relationships/hyperlink" Target="https://www.google.com/search?q=Autumn+Gold+Ginkgo+biloba+%27Autumn+Gold%27&amp;tbm=isch&amp;ved=2ahUKEwix653IuO_yAhWRfqwKHZhrCwUQ2-cCegQIABAA&amp;oq=Autumn+Gold+Ginkgo+biloba+%27Autumn+Gold%27&amp;gs_lcp=CgNpbWcQDFD6yAFY-sgBYIv_AWgAcAB4AIABVYgBVZIBATGYAQCgAQGqAQtnd3Mtd2l6LWltZ8ABAQ&amp;sclient=img&amp;ei=E7U4YfGVOZH9sQWY160o&amp;authuser=1&amp;bih=768&amp;biw=1526&amp;hl=en" TargetMode="External"/><Relationship Id="rId325" Type="http://schemas.openxmlformats.org/officeDocument/2006/relationships/hyperlink" Target="https://plants.ces.ncsu.edu/plants/buxus-microphylla-var-japonica/" TargetMode="External"/><Relationship Id="rId532" Type="http://schemas.openxmlformats.org/officeDocument/2006/relationships/hyperlink" Target="https://plants.ces.ncsu.edu/plants/salvia-microphylla/" TargetMode="External"/><Relationship Id="rId171" Type="http://schemas.openxmlformats.org/officeDocument/2006/relationships/hyperlink" Target="https://plants.ces.ncsu.edu/plants/acer-rubrum/" TargetMode="External"/><Relationship Id="rId837" Type="http://schemas.openxmlformats.org/officeDocument/2006/relationships/hyperlink" Target="https://plants.ces.ncsu.edu/plants/acer-palmatum/" TargetMode="External"/><Relationship Id="rId269" Type="http://schemas.openxmlformats.org/officeDocument/2006/relationships/hyperlink" Target="https://www.google.com/search?q=aucuba+japonica&amp;tbm=isch&amp;ved=2ahUKEwjrv_XrysPoAhXLK6wKHQBnCIIQ2-cCegQIABAA&amp;oq=Aucuba+japonica&amp;gs_lcp=CgNpbWcQARgAMgIIADIECAAQQzIECAAQQzICCAAyAggAMgIIADICCAAyAggAMgIIADICCABQ6ooBWOqKAWC1nAFoAHAAeACAAXOIAXOSAQMwLjGYAQCgAQGqAQtnd3Mtd2l6LWltZw&amp;sclient=img&amp;ei=-Z-CXqtfy9ewBYDOoZAI&amp;bih=831&amp;biw=1428" TargetMode="External"/><Relationship Id="rId476" Type="http://schemas.openxmlformats.org/officeDocument/2006/relationships/hyperlink" Target="https://www.google.com/search?q=Morning+Light+Maiden+Grass+Miscanthus+sinensis+%27Morning+Light%E2%80%99&amp;tbm=isch&amp;ved=2ahUKEwjCz_yg5fvoAhVL0VMKHUZ6DU8Q2-cCegQIABAA&amp;oq=Morning+Light+Maiden+Grass+Miscanthus+sinensis+%27Morning+Light%E2%80%99&amp;gs_lcp=CgNpbWcQDFCa5gNYmuYDYI3vA2gAcAB4AIABRIgBRJIBATGYAQCgAQGqAQtnd3Mtd2l6LWltZw&amp;sclient=img&amp;ei=3BegXsLxOcuizwLG9LX4BA&amp;bih=878&amp;biw=1454" TargetMode="External"/><Relationship Id="rId683" Type="http://schemas.openxmlformats.org/officeDocument/2006/relationships/hyperlink" Target="https://plants.ces.ncsu.edu/plants/hamamelis-x-intermedia/common-name/hybrid-witchhazel/" TargetMode="External"/><Relationship Id="rId33" Type="http://schemas.openxmlformats.org/officeDocument/2006/relationships/hyperlink" Target="https://www.google.com/search?q=Emerald+Colonnade+Holly+Ilex+x+%27Emerald+Colonnade%27&amp;tbm=isch&amp;ved=2ahUKEwjx2enm7f7pAhXC_awKHW_MCSoQ2-cCegQIABAA&amp;oq=Emerald+Colonnade+Holly+Ilex+x+%27Emerald+Colonnade%27&amp;gs_lcp=CgNpbWcQDFDQXljgZmDXbWgAcAB4AIABX4gBvQGSAQEymAEAoAEBqgELZ3dzLXdpei1pbWc&amp;sclient=img&amp;ei=WM_kXvHNJ8L7swXvmKfQAg&amp;bih=831&amp;biw=1428" TargetMode="External"/><Relationship Id="rId129" Type="http://schemas.openxmlformats.org/officeDocument/2006/relationships/hyperlink" Target="https://www.google.com/search?q=Sioux+Crape+Myrtle+Lagerstroemia+x+%27Sioux%27&amp;tbm=isch&amp;ved=2ahUKEwjj3NbO1_ToAhVCEVMKHc2eCCoQ2-cCegQIABAA&amp;oq=Sioux+Crape+Myrtle+Lagerstroemia+x+%27Sioux%27&amp;gs_lcp=CgNpbWcQDFCPugVY7N0FYN7rBWgAcAB4AIABZIgBsAGSAQMxLjGYAQCgAQGqAQtnd3Mtd2l6LWltZw&amp;sclient=img&amp;ei=CF6cXuO4IMKizALNvaLQAg&amp;bih=878&amp;biw=1750&amp;hl=en" TargetMode="External"/><Relationship Id="rId336" Type="http://schemas.openxmlformats.org/officeDocument/2006/relationships/hyperlink" Target="https://www.google.com/search?q=Kaleidoscope+Abelia+x+grandiflora+%27Kaleidoscope%27+PP16988&amp;tbm=isch&amp;ved=2ahUKEwj90Z3i2pH0AhVHbK0KHcdhCDsQ2-cCegQIABAA&amp;oq=Kaleidoscope+Abelia+x+grandiflora+%27Kaleidoscope%27+PP16988&amp;gs_lcp=CgNpbWcQDDoHCCMQ7wMQJ1D6Dlj6DmDnGGgAcAB4AIABVogBpwGSAQEymAEAoAEBqgELZ3dzLXdpei1pbWfAAQE&amp;sclient=img&amp;ei=NsiNYf3eNcfYtQXHw6HYAw&amp;bih=815&amp;biw=1807&amp;hl=en" TargetMode="External"/><Relationship Id="rId543" Type="http://schemas.openxmlformats.org/officeDocument/2006/relationships/hyperlink" Target="https://www.google.com/search?q=Variegated+Japanese+Iris+ensata+%27Variegata%27&amp;tbm=isch&amp;ved=2ahUKEwjMtNOkttnyAhUROa0KHaEYAUgQ2-cCegQIABAA&amp;oq=Variegated+Japanese+Iris+ensata+%27Variegata%27&amp;gs_lcp=CgNpbWcQDFC8PVi8PWDPS2gAcAB4AIABTogBTpIBATGYAQCgAQGqAQtnd3Mtd2l6LWltZ8ABAQ&amp;sclient=img&amp;ei=5iktYcypDJHytAWhsYTABA&amp;bih=866&amp;biw=1741" TargetMode="External"/><Relationship Id="rId182" Type="http://schemas.openxmlformats.org/officeDocument/2006/relationships/hyperlink" Target="https://plants.ces.ncsu.edu/plants/cornus-kousa/common-name/kousa-dogwood/" TargetMode="External"/><Relationship Id="rId403" Type="http://schemas.openxmlformats.org/officeDocument/2006/relationships/hyperlink" Target="https://plants.ces.ncsu.edu/plants/calycanthus-aphrodite-pp-24014/common-name/aphrodite-sweetshrub/" TargetMode="External"/><Relationship Id="rId750" Type="http://schemas.openxmlformats.org/officeDocument/2006/relationships/hyperlink" Target="https://plants.ces.ncsu.edu/plants/rhododendron/" TargetMode="External"/><Relationship Id="rId848" Type="http://schemas.openxmlformats.org/officeDocument/2006/relationships/hyperlink" Target="https://plants.ces.ncsu.edu/plants/acer-palmatum/" TargetMode="External"/><Relationship Id="rId487" Type="http://schemas.openxmlformats.org/officeDocument/2006/relationships/hyperlink" Target="https://plants.ces.ncsu.edu/plants/cyrtomium-falcatum/common-name/holly-fern/" TargetMode="External"/><Relationship Id="rId610" Type="http://schemas.openxmlformats.org/officeDocument/2006/relationships/hyperlink" Target="https://plants.ces.ncsu.edu/plants/panicum-virgatum-heavy-metal/common-name/heavy-metal-blue-switch-grass/" TargetMode="External"/><Relationship Id="rId694" Type="http://schemas.openxmlformats.org/officeDocument/2006/relationships/hyperlink" Target="https://www.google.com/search?q=Saybrook+Gold+Juniper+Juniperus+chinensis+%27Saybrook+Gold%27&amp;bih=834&amp;biw=1627&amp;hl=en&amp;sxsrf=ALeKk03ALrm377JNITi2jvsUwQdwxxyNGg:1600564503713&amp;source=lnms&amp;tbm=isch&amp;sa=X&amp;ved=2ahUKEwjb5Lu1x_brAhVKHqwKHfjLDqgQ_AUoAXoECA0QAw" TargetMode="External"/><Relationship Id="rId708" Type="http://schemas.openxmlformats.org/officeDocument/2006/relationships/hyperlink" Target="https://www.google.com/search?q=Mexican+Feather+Grass+nassella+tenuissima&amp;hl=en&amp;sxsrf=ALeKk006cdOwHEBRHOAaIH05_lblf44EMg:1600566035969&amp;source=lnms&amp;tbm=isch&amp;sa=X&amp;ved=2ahUKEwjerI2QzfbrAhUMQ60KHV0jAxwQ_AUoAnoECBoQBA&amp;biw=1627&amp;bih=834" TargetMode="External"/><Relationship Id="rId347" Type="http://schemas.openxmlformats.org/officeDocument/2006/relationships/hyperlink" Target="https://www.google.com/search?q=Radiance+Abelia+x+grandiflora+%27Radiance%27+PP21929&amp;tbm=isch&amp;ved=2ahUKEwjtoJHc0Jz0AhUHUKwKHRk5ANQQ2-cCegQIABAA&amp;oq=Radiance+Abelia+x+grandiflora+%27Radiance%27+PP21929&amp;gs_lcp=CgNpbWcQDDoGCAAQCBAeUJAPWJAPYJUaaABwAHgAgAFziAHXAZIBAzAuMpgBAKABAaoBC2d3cy13aXotaW1nwAEB&amp;sclient=img&amp;ei=EoKTYe3PNIegsQWZ8oCgDQ&amp;bih=878&amp;biw=1750&amp;hl=en" TargetMode="External"/><Relationship Id="rId44" Type="http://schemas.openxmlformats.org/officeDocument/2006/relationships/hyperlink" Target="https://www.google.com/search?q=Emerald+Arborvitae+Thuja+occidentalis+%E2%80%99Smaragd%E2%80%99&amp;tbm=isch&amp;ved=2ahUKEwjNmd6Y2efoAhUS06wKHXSIDMIQ2-cCegQIABAA&amp;oq=Emerald+Arborvitae+Thuja+occidentalis+%E2%80%99Smaragd%E2%80%99&amp;gs_lcp=CgNpbWcQDFCjS1ijS2CsVGgAcAB4AIABaogBapIBAzAuMZgBAKABAaoBC2d3cy13aXotaW1n&amp;sclient=img&amp;ei=246VXo3AKZKmswX0kLKQDA&amp;bih=831&amp;biw=1428" TargetMode="External"/><Relationship Id="rId554" Type="http://schemas.openxmlformats.org/officeDocument/2006/relationships/hyperlink" Target="https://www.google.com/search?q=blue+mouse+ears+hosta&amp;authuser=1&amp;source=lnms&amp;tbm=isch&amp;sa=X&amp;ved=2ahUKEwiIzq3F7OzyAhWUup4KHeHpAIsQ_AUoAXoECAEQAw&amp;biw=1675&amp;bih=903" TargetMode="External"/><Relationship Id="rId761" Type="http://schemas.openxmlformats.org/officeDocument/2006/relationships/hyperlink" Target="https://www.trees2go.com/sources/" TargetMode="External"/><Relationship Id="rId859" Type="http://schemas.openxmlformats.org/officeDocument/2006/relationships/hyperlink" Target="https://images.search.yahoo.com/search/images;_ylt=AwrNY6prmxZm4QQAMstXNyoA;_ylu=Y29sbwNiZjEEcG9zAzEEdnRpZAMEc2VjA3BpdnM-?p=Chinese+Snowball+Viburnum+macrocephalum&amp;fr2=piv-web&amp;type=E210US105G91647&amp;fr=mcafee" TargetMode="External"/><Relationship Id="rId193" Type="http://schemas.openxmlformats.org/officeDocument/2006/relationships/hyperlink" Target="https://plants.ces.ncsu.edu/plants/acer-palmatum/" TargetMode="External"/><Relationship Id="rId207" Type="http://schemas.openxmlformats.org/officeDocument/2006/relationships/hyperlink" Target="https://www.google.com/search?q=Pink+Velour+Crape+Myrtle+Lagerstroemia+indica+%27Whit+III%27&amp;tbm=isch&amp;ved=2ahUKEwiH8Iee3PToAhUI0awKHWN0Cb4Q2-cCegQIABAA&amp;oq=Pink+Velour+Crape+Myrtle+Lagerstroemia+indica+%27Whit+III%27&amp;gs_lcp=CgNpbWcQDFDwxAVY8MQFYOnOBWgAcAB4AIABUYgBUZIBATGYAQCgAQGqAQtnd3Mtd2l6LWltZw&amp;sclient=img&amp;ei=4GKcXoeALoiiswXj6KXwCw&amp;bih=878&amp;biw=1750&amp;hl=en" TargetMode="External"/><Relationship Id="rId414" Type="http://schemas.openxmlformats.org/officeDocument/2006/relationships/hyperlink" Target="https://www.google.com/search?q=Endless+Summer+Hydrangea+macrophylla+%27Bailmer%27+PP15298%2C+CPBR2305&amp;tbm=isch&amp;ved=2ahUKEwjNh-3wk6T0AhULOa0KHSQcBKkQ2-cCegQIABAA&amp;oq=Endless+Summer+Hydrangea+macrophylla+%27Bailmer%27+PP15298%2C+CPBR2305&amp;gs_lcp=CgNpbWcQDDoHCCMQ7wMQJ1DDDljDDmD_G2gAcAB4AIABXogBtgGSAQEymAEAoAEBqgELZ3dzLXdpei1pbWfAAQE&amp;sclient=img&amp;ei=BXSXYY3xJ4vytAWkuJDICg&amp;bih=878&amp;biw=1437&amp;hl=en" TargetMode="External"/><Relationship Id="rId498" Type="http://schemas.openxmlformats.org/officeDocument/2006/relationships/hyperlink" Target="https://www.google.com/search?authuser=1&amp;hl=en&amp;sxsrf=APwXEddi-44HeqIzLkUKCzfruX7qZgj0AA:1686675272036&amp;q=Mondo+Grass+Ophiopogon+japonicus&amp;tbm=isch&amp;sa=X&amp;ved=2ahUKEwj8ncOD28D_AhU2EVkFHU9EATkQ0pQJegQIDBAB&amp;biw=1456&amp;bih=863&amp;dpr=1" TargetMode="External"/><Relationship Id="rId621" Type="http://schemas.openxmlformats.org/officeDocument/2006/relationships/hyperlink" Target="https://www.google.com/search?q=Homestead+Purple+Verbena+%27Homestead+Purple%27&amp;hl=en&amp;sxsrf=ALeKk03wJtOvfJAlXLixQZxptCVlJXfMEA:1589024762803&amp;source=lnms&amp;tbm=isch&amp;sa=X&amp;ved=2ahUKEwiGtJrE2qbpAhUNeawKHdBrBJcQ_AUoAnoECBQQBA&amp;biw=1369&amp;bih=866" TargetMode="External"/><Relationship Id="rId260" Type="http://schemas.openxmlformats.org/officeDocument/2006/relationships/hyperlink" Target="https://www.google.com/search?q=Skip+Laurel+Prunus+laurocerasus+%27West+Coast+Schipkaensis%27&amp;tbm=isch&amp;ved=2ahUKEwjqxNr6_b3wAhWQh1MKHQd2CLUQ2-cCegQIABAA&amp;oq=Skip+Laurel+Prunus+laurocerasus+%27West+Coast+Schipkaensis%27&amp;gs_lcp=CgNpbWcQDFC-wQFYvsEBYPLVAWgAcAB4AIABggGIAYIBkgEDMC4xmAEAoAEBqgELZ3dzLXdpei1pbWfAAQE&amp;sclient=img&amp;ei=N4-YYKrNNpCPzgKH7KGoCw&amp;bih=890&amp;biw=1640&amp;hl=en" TargetMode="External"/><Relationship Id="rId719" Type="http://schemas.openxmlformats.org/officeDocument/2006/relationships/hyperlink" Target="https://www.google.com/search?q=Baby+Cakes+Blackberry+Rubus+%27APF-236T%27+PP27032&amp;tbm=isch&amp;ved=2ahUKEwjZ6caL0KX9AhXdIGIAHU4LAYcQ2-cCegQIABAA&amp;oq=Baby+Cakes+Blackberry+Rubus+%27APF-236T%27+PP27032&amp;gs_lcp=CgNpbWcQDDoECCMQJ1CXE1iXE2DNImgAcAB4AIABM4gBZZIBATKYAQCgAQGqAQtnd3Mtd2l6LWltZ8ABAQ&amp;sclient=img&amp;ei=MjT0Y9mIB93BiLMPzpaEuAg&amp;authuser=1&amp;bih=733&amp;biw=1490" TargetMode="External"/><Relationship Id="rId55" Type="http://schemas.openxmlformats.org/officeDocument/2006/relationships/hyperlink" Target="https://plants.ces.ncsu.edu/plants/chamaecyparis-obtusa-crippsii/common-name/golden-hinoke-cypress/" TargetMode="External"/><Relationship Id="rId120" Type="http://schemas.openxmlformats.org/officeDocument/2006/relationships/hyperlink" Target="https://plants.ces.ncsu.edu/plants/styrax-japonicus/common-name/japanese-snowbell/" TargetMode="External"/><Relationship Id="rId358" Type="http://schemas.openxmlformats.org/officeDocument/2006/relationships/hyperlink" Target="https://plants.ces.ncsu.edu/plants/gardenia-jasminoides/" TargetMode="External"/><Relationship Id="rId565" Type="http://schemas.openxmlformats.org/officeDocument/2006/relationships/hyperlink" Target="https://www.trees2go.com/faq/" TargetMode="External"/><Relationship Id="rId772" Type="http://schemas.openxmlformats.org/officeDocument/2006/relationships/hyperlink" Target="https://plants.ces.ncsu.edu/plants/lavandula-x-intermedia/" TargetMode="External"/><Relationship Id="rId218" Type="http://schemas.openxmlformats.org/officeDocument/2006/relationships/hyperlink" Target="https://www.google.com/search?q=Natchez+Crape+Myrtle+Lagerstroemia+indica+x+fauriei+%27Natchez%27&amp;tbm=isch&amp;ved=2ahUKEwis6u7kzvToAhXGNVMKHR7mB6AQ2-cCegQIABAA&amp;oq=Natchez+Crape+Myrtle+Lagerstroemia+indica+x+fauriei+%27Natchez%27&amp;gs_lcp=CgNpbWcQDFDN8w1Yz5gOYOWhDmgBcAB4AIABaogBiQaSAQM5LjGYAQCgAQGqAQtnd3Mtd2l6LWltZw&amp;sclient=img&amp;ei=x1ScXuzqCMbrzAKezJ-ACg&amp;bih=878&amp;biw=1750&amp;hl=en" TargetMode="External"/><Relationship Id="rId425" Type="http://schemas.openxmlformats.org/officeDocument/2006/relationships/hyperlink" Target="https://www.google.com/search?q=Chocolate+Fountain+Mimosa+Albizia+julibrissin+%27Chocolate+Fountain%27&amp;hl=en&amp;sxsrf=ALiCzsY0PO1jYz5OQsO4EdprdUfYqHZkxw:1666346717636&amp;source=lnms&amp;tbm=isch&amp;sa=X&amp;ved=2ahUKEwiUnLWhifH6AhWhj2oFHQVOA6UQ_AUoAXoECAEQAw&amp;biw=1564&amp;bih=871&amp;dpr=1" TargetMode="External"/><Relationship Id="rId632" Type="http://schemas.openxmlformats.org/officeDocument/2006/relationships/hyperlink" Target="https://www.google.com/search?q=Chapel+Hill+Yellow+Lantana+camara+%27Chapel+Hill+Yellow%27&amp;tbm=isch&amp;ved=2ahUKEwj88sL1wr7yAhXMPt8KHe5yCugQ2-cCegQIABAA&amp;oq=Chapel+Hill+Yellow+Lantana+camara+%27Chapel+Hill+Yellow%27&amp;gs_lcp=CgNpbWcQDFCUKliUKmDpOmgAcAB4AIABT4gBT5IBATGYAQCgAQGqAQtnd3Mtd2l6LWltZ8ABAQ&amp;sclient=img&amp;ei=RA8fYfzABcz9_Abu5anADg&amp;authuser=1&amp;bih=866&amp;biw=1434" TargetMode="External"/><Relationship Id="rId271" Type="http://schemas.openxmlformats.org/officeDocument/2006/relationships/hyperlink" Target="https://plants.ces.ncsu.edu/plants/ligustrum-sinense/" TargetMode="External"/><Relationship Id="rId66" Type="http://schemas.openxmlformats.org/officeDocument/2006/relationships/hyperlink" Target="https://plants.ces.ncsu.edu/plants/juniperus-virginiana-var-silicicola/" TargetMode="External"/><Relationship Id="rId131" Type="http://schemas.openxmlformats.org/officeDocument/2006/relationships/hyperlink" Target="https://www.google.com/search?q=Tonto+Crape+Myrtle+Lagerstroemia+indica+%27Tonto%27&amp;tbm=isch&amp;ved=2ahUKEwjZ-fm82_ToAhXBE6wKHd9VALEQ2-cCegQIABAA&amp;oq=Tonto+Crape+Myrtle+Lagerstroemia+indica+%27Tonto%27&amp;gs_lcp=CgNpbWcQDFCK8wVYpY4GYOOXBmgAcAB4AIABUIgBlQGSAQEymAEAoAEBqgELZ3dzLXdpei1pbWc&amp;sclient=img&amp;ei=FWKcXpmbBsGnsAXfq4GICw&amp;bih=878&amp;biw=1750&amp;hl=en" TargetMode="External"/><Relationship Id="rId369" Type="http://schemas.openxmlformats.org/officeDocument/2006/relationships/hyperlink" Target="https://plants.ces.ncsu.edu/plants/rosa/" TargetMode="External"/><Relationship Id="rId576" Type="http://schemas.openxmlformats.org/officeDocument/2006/relationships/hyperlink" Target="https://www.google.com/search?q=Apricot+Drift+Rose+Rosa+%27Meimirrot%27+PP23354&amp;tbm=isch&amp;ved=2ahUKEwiz-Jv67pD0AhUIS1MKHUp_BYkQ2-cCegQIABAA&amp;oq=Apricot+Drift+Rose+Rosa+%27Meimirrot%27+PP23354&amp;gs_lcp=CgNpbWcQDFDjDljjDmD0F2gAcAB4AIABUogBngGSAQEymAEAoAEBqgELZ3dzLXdpei1pbWfAAQE&amp;sclient=img&amp;ei=KleNYbO7CYiWzQLK_pXICA&amp;authuser=1&amp;bih=820&amp;biw=1437&amp;hl=en" TargetMode="External"/><Relationship Id="rId783" Type="http://schemas.openxmlformats.org/officeDocument/2006/relationships/hyperlink" Target="https://www.trees2go.com/grower-six/" TargetMode="External"/><Relationship Id="rId229" Type="http://schemas.openxmlformats.org/officeDocument/2006/relationships/hyperlink" Target="https://www.google.com/search?q=Emerald+Heights+Distylium+%27PIIDIST-I%27+PP24410&amp;tbm=isch&amp;ved=2ahUKEwiC2ZeXk6T0AhVGG6wKHXceBiYQ2-cCegQIABAA&amp;oq=Emerald+Heights+Distylium+%27PIIDIST-I%27+PP24410&amp;gs_lcp=CgNpbWcQDFCnCljMGGCaNGgAcAB4AIABZ4gBoQKSAQMyLjGYAQCgAQGqAQtnd3Mtd2l6LWltZ8ABAQ&amp;sclient=img&amp;ei=SXOXYcKQJca2sAX3vJiwAg&amp;bih=743&amp;biw=1501&amp;hl=en" TargetMode="External"/><Relationship Id="rId436" Type="http://schemas.openxmlformats.org/officeDocument/2006/relationships/hyperlink" Target="https://plants.ces.ncsu.edu/plants/rosa/" TargetMode="External"/><Relationship Id="rId643" Type="http://schemas.openxmlformats.org/officeDocument/2006/relationships/hyperlink" Target="https://www.google.com/search?q=Palace+Purple+Coral+Bells+Heuchera+micrantha+%27Palace+Purple%27&amp;tbm=isch&amp;ved=2ahUKEwjBnaXyi4fpAhWCnlMKHeyrDLEQ2-cCegQIABAA&amp;oq=Palace+Purple+Coral+Bells+Heuchera+micrantha+%27Palace+Purple%27&amp;gs_lcp=CgNpbWcQDFCs5AxYrOQMYK_tDGgAcAB4AIABSIgBSJIBATGYAQCgAQGqAQtnd3Mtd2l6LWltZw&amp;sclient=img&amp;ei=xQSmXoGnCYK9zgLs17KICw&amp;bih=866&amp;biw=1434&amp;hl=en" TargetMode="External"/><Relationship Id="rId850" Type="http://schemas.openxmlformats.org/officeDocument/2006/relationships/hyperlink" Target="https://www.google.com/search?q=Baby+Gem+Boxwood+Buxus+microphylla+japonica+%27Gregem%27+PP21159&amp;tbm=isch&amp;ved=2ahUKEwic053Lm4_0AhWEtVMKHcP3DOYQ2-cCegQIABAA&amp;oq=Baby+Gem+Boxwood+Buxus+microphylla+japonica+%27Gregem%27+PP21159&amp;gs_lcp=CgNpbWcQDDoHCCMQ7wMQJ1DxKljaywFg-dUBaABwAHgAgAF5iAG9ApIBAzEuMpgBAKABAaoBC2d3cy13aXotaW1nwAEB&amp;sclient=img&amp;ei=h3mMYdzzLITrzgLD77OwDg&amp;bih=878&amp;biw=1750&amp;hl=en" TargetMode="External"/><Relationship Id="rId77" Type="http://schemas.openxmlformats.org/officeDocument/2006/relationships/hyperlink" Target="https://plants.ces.ncsu.edu/plants/magnolia-grandiflora-kay-parris/common-name/kay-parris-magnolia/" TargetMode="External"/><Relationship Id="rId282" Type="http://schemas.openxmlformats.org/officeDocument/2006/relationships/hyperlink" Target="https://plants.ces.ncsu.edu/plants/zelkova-serrata/" TargetMode="External"/><Relationship Id="rId503" Type="http://schemas.openxmlformats.org/officeDocument/2006/relationships/hyperlink" Target="https://www.google.com/search?q=Evergold+Sedge+Carex+oshimensis+%27Evergold%27&amp;tbm=isch&amp;ved=2ahUKEwi4_IPh2Z_0AhXScqwKHcfaCc0Q2-cCegQIABAA&amp;oq=Evergold+Sedge+Carex+oshimensis+%27Evergold%27&amp;gs_lcp=CgNpbWcQDDIHCCMQ7wMQJ1AAWABgsakCaABwAHgAgAFiiAGtAZIBATKYAQCqAQtnd3Mtd2l6LWltZ8ABAQ&amp;sclient=img&amp;ei=NB6VYbiSENLlsQXHtafoDA&amp;bih=828&amp;biw=1707&amp;hl=en" TargetMode="External"/><Relationship Id="rId587" Type="http://schemas.openxmlformats.org/officeDocument/2006/relationships/hyperlink" Target="https://plants.ces.ncsu.edu/plants/salvia/" TargetMode="External"/><Relationship Id="rId710" Type="http://schemas.openxmlformats.org/officeDocument/2006/relationships/hyperlink" Target="https://plants.ces.ncsu.edu/plants/ligustrum-japonicum/common-name/wax-leaf/" TargetMode="External"/><Relationship Id="rId808" Type="http://schemas.openxmlformats.org/officeDocument/2006/relationships/hyperlink" Target="https://plants.ces.ncsu.edu/plants/sarcococca-confusa/common-name/sweet-box/" TargetMode="External"/><Relationship Id="rId8" Type="http://schemas.openxmlformats.org/officeDocument/2006/relationships/hyperlink" Target="https://www.newviewplanting.com/" TargetMode="External"/><Relationship Id="rId142" Type="http://schemas.openxmlformats.org/officeDocument/2006/relationships/hyperlink" Target="https://www.google.com/search?q=Pin+Oak+Quercus+palustris&amp;hl=en&amp;sxsrf=AOaemvKRGN4husE_sO0XP5sWageG7Hy1mw:1630843840969&amp;source=lnms&amp;tbm=isch&amp;sa=X&amp;ved=2ahUKEwiqrsze5ufyAhW9RzABHcjjC8AQ_AUoAXoECAEQAw&amp;biw=1534&amp;bih=776" TargetMode="External"/><Relationship Id="rId447" Type="http://schemas.openxmlformats.org/officeDocument/2006/relationships/hyperlink" Target="https://www.google.com/search?q=Scarlet+Curls+Willow+Salix+x+%27Scarlet+Curls%27&amp;sxsrf=ALeKk01icsb7ExW8hCBoAQdEHuwLOS08LA:1587548106469&amp;source=lnms&amp;tbm=isch&amp;sa=X&amp;ved=2ahUKEwj_88vH3fvoAhWCK80KHSWUAqsQ_AUoAXoECAwQAw" TargetMode="External"/><Relationship Id="rId794" Type="http://schemas.openxmlformats.org/officeDocument/2006/relationships/hyperlink" Target="https://www.trees2go.com/source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www.trees2go.com/about/" TargetMode="External"/><Relationship Id="rId1" Type="http://schemas.openxmlformats.org/officeDocument/2006/relationships/hyperlink" Target="https://www.trees2go.com/faq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79998168889431442"/>
  </sheetPr>
  <dimension ref="A1:CN1854"/>
  <sheetViews>
    <sheetView showGridLines="0" tabSelected="1" zoomScaleNormal="100" workbookViewId="0">
      <pane ySplit="5" topLeftCell="A6" activePane="bottomLeft" state="frozen"/>
      <selection pane="bottomLeft"/>
    </sheetView>
  </sheetViews>
  <sheetFormatPr defaultColWidth="9.140625" defaultRowHeight="15"/>
  <cols>
    <col min="1" max="1" width="4.28515625" style="48" customWidth="1"/>
    <col min="2" max="2" width="5.42578125" style="143" customWidth="1"/>
    <col min="3" max="3" width="17.5703125" style="110" customWidth="1"/>
    <col min="4" max="4" width="6.85546875" style="110" customWidth="1"/>
    <col min="5" max="5" width="9.7109375" style="48" customWidth="1"/>
    <col min="6" max="6" width="4.28515625" style="359" customWidth="1"/>
    <col min="7" max="7" width="4.140625" style="360" customWidth="1"/>
    <col min="8" max="8" width="7.5703125" style="769" customWidth="1"/>
    <col min="9" max="9" width="11.28515625" style="48" customWidth="1"/>
    <col min="10" max="10" width="10.28515625" style="48" customWidth="1"/>
    <col min="11" max="11" width="9.28515625" style="242" customWidth="1"/>
    <col min="12" max="12" width="4.7109375" style="242" customWidth="1"/>
    <col min="13" max="13" width="1.140625" style="107" customWidth="1"/>
    <col min="14" max="14" width="9" style="107" customWidth="1"/>
    <col min="15" max="15" width="6.28515625" style="143" customWidth="1"/>
    <col min="16" max="16" width="3.42578125" style="144" customWidth="1"/>
    <col min="17" max="17" width="7.140625" style="144" customWidth="1"/>
    <col min="18" max="18" width="1" style="143" customWidth="1"/>
    <col min="19" max="19" width="0.28515625" style="204" customWidth="1"/>
    <col min="20" max="20" width="0.5703125" style="544" customWidth="1"/>
    <col min="21" max="22" width="0.5703125" style="48" customWidth="1"/>
    <col min="23" max="24" width="0.28515625" style="48" customWidth="1"/>
    <col min="25" max="25" width="0.5703125" style="48" customWidth="1"/>
    <col min="26" max="26" width="1" style="48" customWidth="1"/>
    <col min="27" max="27" width="11.85546875" style="110" customWidth="1"/>
    <col min="28" max="28" width="5.7109375" style="110" customWidth="1"/>
    <col min="29" max="29" width="5.42578125" style="48" customWidth="1"/>
    <col min="30" max="30" width="4.28515625" style="110" customWidth="1"/>
    <col min="31" max="31" width="11.85546875" style="110" customWidth="1"/>
    <col min="32" max="32" width="0.85546875" style="85" customWidth="1"/>
    <col min="33" max="33" width="8.7109375" style="85" customWidth="1"/>
    <col min="34" max="34" width="2" style="85" customWidth="1"/>
    <col min="35" max="35" width="12.42578125" style="48" customWidth="1"/>
    <col min="36" max="36" width="2" style="48" customWidth="1"/>
    <col min="37" max="37" width="14" style="48" customWidth="1"/>
    <col min="38" max="38" width="7.28515625" style="48" customWidth="1"/>
    <col min="39" max="39" width="13" style="48" customWidth="1"/>
    <col min="40" max="40" width="2" style="48" customWidth="1"/>
    <col min="41" max="41" width="1.85546875" style="48" customWidth="1"/>
    <col min="42" max="42" width="2.5703125" style="48" customWidth="1"/>
    <col min="43" max="43" width="6.140625" style="48" customWidth="1"/>
    <col min="44" max="44" width="15.85546875" style="48" customWidth="1"/>
    <col min="45" max="45" width="14" style="48" customWidth="1"/>
    <col min="46" max="47" width="1.42578125" style="48" customWidth="1"/>
    <col min="48" max="48" width="15.85546875" style="48" customWidth="1"/>
    <col min="49" max="49" width="14.85546875" style="48" customWidth="1"/>
    <col min="50" max="50" width="6.7109375" style="48" customWidth="1"/>
    <col min="51" max="51" width="12.42578125" style="48" customWidth="1"/>
    <col min="52" max="52" width="19.42578125" style="48" customWidth="1"/>
    <col min="53" max="53" width="16.5703125" style="48" customWidth="1"/>
    <col min="54" max="54" width="21.42578125" style="48" customWidth="1"/>
    <col min="55" max="55" width="5.7109375" style="48" customWidth="1"/>
    <col min="56" max="56" width="4.85546875" style="48" customWidth="1"/>
    <col min="57" max="57" width="10.42578125" style="48" customWidth="1"/>
    <col min="58" max="58" width="6.140625" style="48" customWidth="1"/>
    <col min="59" max="16384" width="9.140625" style="48"/>
  </cols>
  <sheetData>
    <row r="1" spans="1:58" ht="12" customHeight="1">
      <c r="A1" s="596" t="s">
        <v>1692</v>
      </c>
      <c r="B1" s="595"/>
      <c r="C1" s="594" t="str">
        <f>IF(M1787=0,"free local delivery         ",IF(A1=0,"free delivery to edge of area        ","free delivery inside area        "))</f>
        <v xml:space="preserve">free local delivery         </v>
      </c>
      <c r="D1" s="52"/>
      <c r="E1" s="859" t="s">
        <v>1682</v>
      </c>
      <c r="F1" s="859"/>
      <c r="G1" s="974" t="s">
        <v>1</v>
      </c>
      <c r="H1" s="974"/>
      <c r="I1" s="1002" t="str">
        <f>IF(A1="MS",(IF(G1781&gt;0,"","click 'Enable Editing' at top")),IF(A1="GS","to SAVE, pull down 'File ' &amp; 'Make a copy'",IF($M$1787&gt;0,CONCATENATE("                           includes $",$M$1787," mileage fee"),IF($E$1="Quote"," Check ↖your ↙data, then confirm by email ",IF($E$1="Order","   Please re-check order carefully",IF($E$1="Delivered","      Accrued Discount ↘ will apply next order.",IF($E$1="Completed","      Accrued Discount ↘ will apply next order.A3",IF($G$1781&gt;0,"to CREATE an ORDER, get a copy to fill, below","to CREATE an ORDER, get a copy to fill, below"))))))))</f>
        <v>click 'Enable Editing' at top</v>
      </c>
      <c r="J1" s="1002"/>
      <c r="K1" s="1002"/>
      <c r="L1" s="1002"/>
      <c r="M1" s="876" t="str">
        <f>IF(COUNTIF(A6:A1854," EVERGREEN TREES ⇩")&gt;0,"Evergreen Trees","")</f>
        <v>Evergreen Trees</v>
      </c>
      <c r="N1" s="876"/>
      <c r="O1" s="876"/>
      <c r="P1" s="995" t="str">
        <f>IF(COUNTIF(A6:A1854," Edibles (bloom color)")&gt;0,"Edibles","")</f>
        <v>Edibles</v>
      </c>
      <c r="Q1" s="995"/>
      <c r="R1" s="995"/>
      <c r="S1" s="995"/>
      <c r="T1" s="995"/>
      <c r="U1" s="995"/>
      <c r="V1" s="995"/>
      <c r="W1" s="995"/>
      <c r="X1" s="995"/>
      <c r="Y1" s="789"/>
      <c r="Z1" s="986" t="s">
        <v>1303</v>
      </c>
      <c r="AA1" s="987"/>
      <c r="AB1" s="987"/>
      <c r="AC1" s="987"/>
      <c r="AD1" s="987"/>
      <c r="AE1" s="987"/>
      <c r="AF1" s="53"/>
      <c r="AG1" s="53"/>
      <c r="AH1" s="55"/>
      <c r="AI1" s="56" t="str">
        <f>IF($AD$8="yes","T2G+NVP ",IF($AD$8="","T2G+NVP ","T2G DELIVERY "))</f>
        <v xml:space="preserve">T2G+NVP </v>
      </c>
      <c r="AJ1" s="55"/>
      <c r="AK1" s="999" t="s">
        <v>1402</v>
      </c>
      <c r="AL1" s="999"/>
      <c r="AM1" s="999"/>
      <c r="AN1" s="999"/>
      <c r="AO1" s="999"/>
      <c r="AP1" s="999"/>
      <c r="AQ1" s="999"/>
      <c r="AR1" s="999"/>
      <c r="AS1" s="309"/>
      <c r="AT1" s="597"/>
      <c r="AU1" s="568"/>
      <c r="AV1" s="994" t="s">
        <v>1403</v>
      </c>
      <c r="AW1" s="994"/>
      <c r="AX1" s="994"/>
      <c r="AY1" s="994"/>
      <c r="AZ1" s="994"/>
      <c r="BA1" s="462"/>
      <c r="BB1" s="353" t="s">
        <v>1424</v>
      </c>
      <c r="BC1" s="845" t="s">
        <v>2</v>
      </c>
      <c r="BD1" s="845"/>
      <c r="BE1" s="845"/>
      <c r="BF1" s="47"/>
    </row>
    <row r="2" spans="1:58" ht="12" customHeight="1">
      <c r="A2" s="59"/>
      <c r="B2" s="236"/>
      <c r="C2" s="52"/>
      <c r="D2" s="52"/>
      <c r="E2" s="51"/>
      <c r="F2" s="706" t="str">
        <f>IF($A$8="show",CONCATENATE("Types: ",COUNTIF(G10:G320,"&gt;0"),"ET ",COUNTIF(G321:G697,"&gt;0"),"DT ",COUNTIF(G698:G1099,"&gt;0"),"ES ",COUNTIF(G1100:G1328,"&gt;0"),"DS ",COUNTIF(G1329:G1384,"&gt;0"), "WP ",COUNTIF(G1385:G1471,"&gt;0"),"E ",COUNTIF(G1472:G1612,"&gt;0"),"EG ",COUNTIF(G1613:G1757,"&gt;0"),"DG "),"")</f>
        <v/>
      </c>
      <c r="G2" s="354" t="s">
        <v>3</v>
      </c>
      <c r="H2" s="957" t="str">
        <f>IF(H1781&gt;0,"T2G Discount+Warranty Delete:",IF(G1781&gt;0,"Trees2Go Discount:","Trees2Go Discount:"))</f>
        <v>Trees2Go Discount:</v>
      </c>
      <c r="I2" s="957"/>
      <c r="J2" s="957"/>
      <c r="K2" s="969">
        <f>IF($H$1781&gt;0,CONCATENATE((+'Discount Lookup'!B3)*100,"+",($H$1781*100)+($H$1782*100),"=",(+'Discount Lookup'!B3)*100+($H$1781*100)+($H$1782*100),"%"),(+'Discount Lookup'!B3)+H1782)</f>
        <v>0</v>
      </c>
      <c r="L2" s="969"/>
      <c r="M2" s="880" t="str">
        <f>IF(COUNTIF(A6:A1854," DECIDUOUS TREES (bloom color, if showy or significant)")&gt;0,"Deciduous Trees","")</f>
        <v>Deciduous Trees</v>
      </c>
      <c r="N2" s="880"/>
      <c r="O2" s="880"/>
      <c r="P2" s="876" t="str">
        <f>IF(COUNTIF(A6:A1854," EVERGREEN GROUNDCOVER + Grasses, Vines, etc. (bloom)")&gt;0,"Groundcover","")</f>
        <v>Groundcover</v>
      </c>
      <c r="Q2" s="876"/>
      <c r="R2" s="876"/>
      <c r="S2" s="876"/>
      <c r="T2" s="876"/>
      <c r="U2" s="876"/>
      <c r="V2" s="876"/>
      <c r="W2" s="876"/>
      <c r="X2" s="876"/>
      <c r="Y2" s="49"/>
      <c r="Z2" s="797"/>
      <c r="AA2" s="575">
        <f>IF(AA1781="",(+'Discount Lookup'!N3),IF(AA1781="Planting",(+'Discount Lookup'!N3),IF($AA$1781&gt;0,CONCATENATE((+'Discount Lookup'!N3)*100,"+",$AA$1781*100,"=",(+'Discount Lookup'!N3)*100+$AA$1781*100,"%"),(+'Discount Lookup'!N3))))</f>
        <v>0</v>
      </c>
      <c r="AB2" s="989" t="str">
        <f>IF($AB$1781="Extra Discount for Warranty Delete","Discount+Warranty Delete","NVP Discount")</f>
        <v>NVP Discount</v>
      </c>
      <c r="AC2" s="989"/>
      <c r="AD2" s="989"/>
      <c r="AE2" s="989"/>
      <c r="AF2" s="53"/>
      <c r="AG2" s="53"/>
      <c r="AH2" s="55"/>
      <c r="AI2" s="56" t="s">
        <v>4</v>
      </c>
      <c r="AJ2" s="55"/>
      <c r="AK2" s="1016" t="s">
        <v>5</v>
      </c>
      <c r="AL2" s="1016"/>
      <c r="AM2" s="1016"/>
      <c r="AN2" s="1016"/>
      <c r="AO2" s="1016"/>
      <c r="AP2" s="1016"/>
      <c r="AQ2" s="1016"/>
      <c r="AR2" s="1016"/>
      <c r="AS2" s="310" t="s">
        <v>6</v>
      </c>
      <c r="AT2" s="443"/>
      <c r="AU2" s="598"/>
      <c r="AV2" s="335" t="s">
        <v>1650</v>
      </c>
      <c r="AW2" s="54"/>
      <c r="AX2" s="54"/>
      <c r="AY2" s="54"/>
      <c r="AZ2" s="54"/>
      <c r="BA2" s="54"/>
      <c r="BB2" s="54"/>
      <c r="BC2" s="54"/>
      <c r="BD2" s="1010" t="s">
        <v>7</v>
      </c>
      <c r="BE2" s="1011"/>
      <c r="BF2" s="47"/>
    </row>
    <row r="3" spans="1:58" ht="12" customHeight="1">
      <c r="A3" s="639" t="s">
        <v>1340</v>
      </c>
      <c r="B3" s="638"/>
      <c r="C3" s="57"/>
      <c r="D3" s="58"/>
      <c r="E3" s="51"/>
      <c r="F3" s="706" t="str">
        <f>IF($A$8="show",CONCATENATE("Quantity: ",SUM(G10:G320),"ET ",SUM(G321:G697),"DT ",SUM(G698:G1099),"ES ",SUM(G1100:G1328),"DS ",SUM(G1329:G1384), "WP ",SUM(G1385:G1471),"E ",SUM(G1472:G1612),"EG ",SUM(G1613:G1757),"DG "),"")</f>
        <v/>
      </c>
      <c r="G3" s="354" t="s">
        <v>8</v>
      </c>
      <c r="H3" s="771" t="s">
        <v>9</v>
      </c>
      <c r="I3" s="59"/>
      <c r="J3" s="60" t="str">
        <f>IF(H1781&gt;0,"T2G Total, 2 discounts:","T2G Delivery Total:")</f>
        <v>T2G Delivery Total:</v>
      </c>
      <c r="K3" s="860">
        <f>IF(E1="Delivered","(see below)",IF(E1="Completed","(see below)",K1788))</f>
        <v>0</v>
      </c>
      <c r="L3" s="860"/>
      <c r="M3" s="876" t="str">
        <f>IF(COUNTIF(A6:A1854," EVERGREEN SHRUBS (bloom color)")&gt;0,"Evergreen Shrubs","")</f>
        <v>Evergreen Shrubs</v>
      </c>
      <c r="N3" s="876"/>
      <c r="O3" s="876"/>
      <c r="P3" s="880" t="str">
        <f>IF(COUNTIF(A6:A1854," DECIDUOUS GROUNDCOVER + Grasses, Vines, etc. (bloom)")&gt;0,"Groundcover","")</f>
        <v>Groundcover</v>
      </c>
      <c r="Q3" s="880"/>
      <c r="R3" s="880"/>
      <c r="S3" s="880"/>
      <c r="T3" s="880"/>
      <c r="U3" s="880"/>
      <c r="V3" s="880"/>
      <c r="W3" s="880"/>
      <c r="X3" s="880"/>
      <c r="Y3" s="49"/>
      <c r="Z3" s="132"/>
      <c r="AA3" s="576">
        <f>IF(X1796=0,0,IF($AD$8="",SUM(AH11:AH1777)-SUM(AH11:AH1777)*AC1786+AF1789+AF1788,IF($AD$8="yes",SUM(AH11:AH1777)-SUM(AH11:AH1777)*AC1786+AF1789+AF1788,0)))</f>
        <v>0</v>
      </c>
      <c r="AB3" s="989" t="str">
        <f>IF($AB$1781="Extra Discount for Warranty Delete","NVP Total with 2 Discounts","New View Planting Total")</f>
        <v>New View Planting Total</v>
      </c>
      <c r="AC3" s="989"/>
      <c r="AD3" s="989"/>
      <c r="AE3" s="989"/>
      <c r="AF3" s="53"/>
      <c r="AG3" s="53"/>
      <c r="AH3" s="61"/>
      <c r="AI3" s="565">
        <f>T2G_Total+AA3</f>
        <v>0</v>
      </c>
      <c r="AJ3" s="62"/>
      <c r="AK3" s="1014" t="s">
        <v>1404</v>
      </c>
      <c r="AL3" s="1014"/>
      <c r="AM3" s="1014"/>
      <c r="AN3" s="1014"/>
      <c r="AO3" s="1014"/>
      <c r="AP3" s="1014"/>
      <c r="AQ3" s="1014"/>
      <c r="AR3" s="1014"/>
      <c r="AS3" s="1014"/>
      <c r="AT3" s="445"/>
      <c r="AU3" s="446"/>
      <c r="AV3" s="1006" t="s">
        <v>1408</v>
      </c>
      <c r="AW3" s="1007"/>
      <c r="AX3" s="1007"/>
      <c r="AY3" s="1007"/>
      <c r="AZ3" s="1007"/>
      <c r="BA3" s="1007"/>
      <c r="BB3" s="1007"/>
      <c r="BC3" s="1007"/>
      <c r="BD3" s="1007"/>
      <c r="BE3" s="461" t="s">
        <v>10</v>
      </c>
      <c r="BF3" s="47"/>
    </row>
    <row r="4" spans="1:58" ht="12" customHeight="1">
      <c r="A4" s="996" t="s">
        <v>11</v>
      </c>
      <c r="B4" s="996"/>
      <c r="C4" s="559" t="s">
        <v>12</v>
      </c>
      <c r="D4" s="862" t="str">
        <f>IF(SUM($H$1804:$H$1854)&gt;0,CONCATENATE(#REF!," plants"),IF(SUM($H$1804:$H$1854)&lt;0,CONCATENATE(#REF!," plants"),IF(E1="Quote","",IF(E1="Order","",IF(E1="Delivered","Thank You!",IF(E1="Completed","Thank You!",IF($G$1781&gt;0,"","")))))))</f>
        <v/>
      </c>
      <c r="E4" s="862"/>
      <c r="F4" s="862"/>
      <c r="G4" s="354" t="s">
        <v>13</v>
      </c>
      <c r="H4" s="771" t="s">
        <v>14</v>
      </c>
      <c r="I4" s="875" t="str">
        <f>IF($E$1="Quote","",IF($E$1="Order","",IF($E$1="Delivered","Please pay via this receipt.",IF($E$1="Completed","Paid in full - thank you!",IF($G$1781&gt;0,"","")))))</f>
        <v/>
      </c>
      <c r="J4" s="875"/>
      <c r="K4" s="861" t="str">
        <f>CONCATENATE(G1781,IF(G1781=1," Plant"," Plants"))</f>
        <v>0 Plants</v>
      </c>
      <c r="L4" s="861"/>
      <c r="M4" s="880" t="str">
        <f>IF(COUNTIF(A6:A1854," DECIDUOUS SHRUBS (bloom color)")&gt;0,"Deciduous Shrubs","")</f>
        <v>Deciduous Shrubs</v>
      </c>
      <c r="N4" s="880"/>
      <c r="O4" s="880"/>
      <c r="P4" s="1003" t="str">
        <f>IF(COUNTIF(A6:A1854,"Price Table")&gt;0,"Price Table","")</f>
        <v>Price Table</v>
      </c>
      <c r="Q4" s="1004"/>
      <c r="R4" s="1004"/>
      <c r="S4" s="1004"/>
      <c r="T4" s="1004"/>
      <c r="U4" s="1004"/>
      <c r="V4" s="1004"/>
      <c r="W4" s="1004"/>
      <c r="X4" s="1004"/>
      <c r="Y4" s="49"/>
      <c r="Z4" s="797"/>
      <c r="AA4" s="577" t="str">
        <f>IF($AD$8="",CONCATENATE(X1796,IF(X1796=1," Plant"," Plants")),IF($AD$8="yes",CONCATENATE(X1796,IF(X1796=1," Plant"," Plants")),"0 Plants"))</f>
        <v>0 Plants</v>
      </c>
      <c r="AB4" s="989" t="str">
        <f>IF($AD$8="yes","to be installed by NVP","Quoted with Planting Option")</f>
        <v>Quoted with Planting Option</v>
      </c>
      <c r="AC4" s="989"/>
      <c r="AD4" s="989"/>
      <c r="AE4" s="989"/>
      <c r="AF4" s="53"/>
      <c r="AG4" s="53"/>
      <c r="AH4" s="61"/>
      <c r="AI4" s="63" t="str">
        <f>IF(K2=0,"with tax &amp; discount",IF(AA2="0%","with tax &amp; discount",IF(AA2=0,"with tax &amp; discount","with tax &amp; discounts")))</f>
        <v>with tax &amp; discount</v>
      </c>
      <c r="AJ4" s="62"/>
      <c r="AK4" s="983" t="s">
        <v>1405</v>
      </c>
      <c r="AL4" s="983"/>
      <c r="AM4" s="983"/>
      <c r="AN4" s="983"/>
      <c r="AO4" s="983"/>
      <c r="AP4" s="983"/>
      <c r="AQ4" s="983"/>
      <c r="AR4" s="983"/>
      <c r="AS4" s="983"/>
      <c r="AT4" s="445"/>
      <c r="AU4" s="444"/>
      <c r="AV4" s="335" t="s">
        <v>1507</v>
      </c>
      <c r="AW4" s="311"/>
      <c r="AX4" s="311"/>
      <c r="AY4" s="311"/>
      <c r="AZ4" s="311"/>
      <c r="BA4" s="311"/>
      <c r="BB4" s="311"/>
      <c r="BC4" s="311"/>
      <c r="BD4" s="311"/>
      <c r="BE4" s="311"/>
      <c r="BF4" s="47"/>
    </row>
    <row r="5" spans="1:58" ht="12" customHeight="1">
      <c r="A5" s="997" t="s">
        <v>15</v>
      </c>
      <c r="B5" s="997"/>
      <c r="C5" s="558" t="s">
        <v>16</v>
      </c>
      <c r="D5" s="781" t="s">
        <v>17</v>
      </c>
      <c r="E5" s="562" t="s">
        <v>1683</v>
      </c>
      <c r="F5" s="707"/>
      <c r="G5" s="354" t="s">
        <v>18</v>
      </c>
      <c r="H5" s="772" t="s">
        <v>1245</v>
      </c>
      <c r="I5" s="561" t="s">
        <v>19</v>
      </c>
      <c r="J5" s="562" t="s">
        <v>20</v>
      </c>
      <c r="K5" s="563" t="s">
        <v>21</v>
      </c>
      <c r="L5" s="672"/>
      <c r="M5" s="998" t="str">
        <f>IF(COUNTIF(A6:A1854," WEEPING PLANTS (bloom color)")&gt;0,"Weeping Plants","")</f>
        <v>Weeping Plants</v>
      </c>
      <c r="N5" s="998"/>
      <c r="O5" s="998"/>
      <c r="P5" s="977" t="s">
        <v>1616</v>
      </c>
      <c r="Q5" s="977"/>
      <c r="R5" s="977"/>
      <c r="S5" s="977"/>
      <c r="T5" s="977"/>
      <c r="U5" s="977"/>
      <c r="V5" s="977"/>
      <c r="W5" s="977"/>
      <c r="X5" s="977"/>
      <c r="Y5" s="790"/>
      <c r="Z5" s="798"/>
      <c r="AA5" s="980" t="str">
        <f>IF($AD$8="yes","part NVP, part by you? type",IF($AD$8="","plant some yourself ?  type","delivery-only"))</f>
        <v>plant some yourself ?  type</v>
      </c>
      <c r="AB5" s="980"/>
      <c r="AC5" s="980"/>
      <c r="AD5" s="581" t="str">
        <f>IF($AD$8="yes","'me'",IF($AD$8="","'me'","No"))</f>
        <v>'me'</v>
      </c>
      <c r="AE5" s="579" t="str">
        <f>IF($AD$8="yes","right over top of 'NVP'",IF($AD$8="","in purple area, by plants","planting requested"))</f>
        <v>in purple area, by plants</v>
      </c>
      <c r="AF5" s="580"/>
      <c r="AG5" s="580"/>
      <c r="AH5" s="64"/>
      <c r="AI5" s="56" t="s">
        <v>22</v>
      </c>
      <c r="AJ5" s="65"/>
      <c r="AK5" s="1012" t="s">
        <v>1331</v>
      </c>
      <c r="AL5" s="1012"/>
      <c r="AM5" s="1012"/>
      <c r="AN5" s="1012"/>
      <c r="AO5" s="1012"/>
      <c r="AP5" s="1015" t="s">
        <v>1332</v>
      </c>
      <c r="AQ5" s="1015"/>
      <c r="AR5" s="1015"/>
      <c r="AS5" s="1015"/>
      <c r="AT5" s="662"/>
      <c r="AU5" s="444"/>
      <c r="AV5" s="335" t="s">
        <v>1508</v>
      </c>
      <c r="AW5" s="311"/>
      <c r="AX5" s="311"/>
      <c r="AY5" s="311"/>
      <c r="AZ5" s="311"/>
      <c r="BA5" s="311"/>
      <c r="BB5" s="311"/>
      <c r="BC5" s="311"/>
      <c r="BD5" s="311"/>
      <c r="BE5" s="311"/>
      <c r="BF5" s="47"/>
    </row>
    <row r="6" spans="1:58" s="68" customFormat="1" ht="21" customHeight="1" thickBot="1">
      <c r="A6" s="850" t="s">
        <v>1584</v>
      </c>
      <c r="B6" s="850"/>
      <c r="C6" s="564" t="s">
        <v>23</v>
      </c>
      <c r="D6" s="66" t="s">
        <v>24</v>
      </c>
      <c r="E6" s="66"/>
      <c r="F6" s="355"/>
      <c r="G6" s="355"/>
      <c r="H6" s="742"/>
      <c r="I6" s="66"/>
      <c r="J6" s="66"/>
      <c r="K6" s="605"/>
      <c r="L6" s="673"/>
      <c r="M6" s="865" t="s">
        <v>25</v>
      </c>
      <c r="N6" s="866"/>
      <c r="O6" s="866"/>
      <c r="P6" s="866"/>
      <c r="Q6" s="866"/>
      <c r="R6" s="866"/>
      <c r="S6" s="866"/>
      <c r="T6" s="866"/>
      <c r="U6" s="866"/>
      <c r="V6" s="866"/>
      <c r="W6" s="866"/>
      <c r="X6" s="866"/>
      <c r="Y6" s="796"/>
      <c r="Z6" s="971" t="s">
        <v>1298</v>
      </c>
      <c r="AA6" s="971"/>
      <c r="AB6" s="971"/>
      <c r="AC6" s="971"/>
      <c r="AD6" s="971"/>
      <c r="AE6" s="971"/>
      <c r="AF6" s="971"/>
      <c r="AG6" s="971"/>
      <c r="AH6" s="67"/>
      <c r="AI6" s="460"/>
      <c r="AJ6" s="48"/>
      <c r="AK6" s="1044" t="str">
        <f>IF(E1="Price it","↙ go to bottom left for Service Area, Cancel Fee, Guarantee, and Warranty","")</f>
        <v>↙ go to bottom left for Service Area, Cancel Fee, Guarantee, and Warranty</v>
      </c>
      <c r="AL6" s="1044"/>
      <c r="AM6" s="1044"/>
      <c r="AN6" s="1044"/>
      <c r="AO6" s="1044"/>
      <c r="AP6" s="1044"/>
      <c r="AQ6" s="1044"/>
      <c r="AR6" s="1044"/>
      <c r="AS6" s="1044"/>
      <c r="AT6" s="1044"/>
      <c r="AU6" s="685"/>
      <c r="AV6" s="685"/>
      <c r="AW6" s="685"/>
      <c r="AX6" s="685"/>
      <c r="AY6" s="685"/>
      <c r="AZ6" s="685"/>
      <c r="BA6" s="685"/>
      <c r="BB6" s="685"/>
      <c r="BC6" s="685"/>
      <c r="BD6" s="685"/>
      <c r="BE6" s="685"/>
      <c r="BF6" s="132"/>
    </row>
    <row r="7" spans="1:58" ht="15" customHeight="1" thickTop="1" thickBot="1">
      <c r="A7" s="59"/>
      <c r="B7" s="236"/>
      <c r="C7" s="853" t="s">
        <v>26</v>
      </c>
      <c r="D7" s="854"/>
      <c r="E7" s="855"/>
      <c r="F7" s="368"/>
      <c r="G7" s="877" t="s">
        <v>27</v>
      </c>
      <c r="H7" s="878"/>
      <c r="I7" s="879"/>
      <c r="J7" s="341" t="str">
        <f>IF(E1="Quote","919-266-7939",IF(E1="Order","919-266-7939",IF(E1="Delivered","919-266-7939",IF(E1="Completed","919-266-7939",IF(SUM(G11:G1777)&gt;0,"919-266-7939","")))))</f>
        <v/>
      </c>
      <c r="K7" s="679" t="s">
        <v>1579</v>
      </c>
      <c r="L7" s="680"/>
      <c r="M7" s="681" t="str">
        <f>IF($L$7="n","no utilities locate needed this time",IF($L$7="no","no utilities locate needed this time",IF($L$7="","⇦Need free public utilities locate?",IF(AD8="yes","NVP will contact 811 upon order",IF(AD8="me","client contacts 811 a week ahead⇒","Planter ( NVP? ) call a week ahead")))))</f>
        <v>⇦Need free public utilities locate?</v>
      </c>
      <c r="N7" s="682"/>
      <c r="O7" s="682"/>
      <c r="P7" s="682"/>
      <c r="Q7" s="676"/>
      <c r="R7" s="1001" t="str">
        <f>IF($L$7="n","",IF($L$7="no","","811"))</f>
        <v>811</v>
      </c>
      <c r="S7" s="1001"/>
      <c r="T7" s="1001"/>
      <c r="U7" s="1001"/>
      <c r="V7" s="1001"/>
      <c r="W7" s="1001"/>
      <c r="X7" s="1001"/>
      <c r="Y7" s="1001"/>
      <c r="Z7" s="1001"/>
      <c r="AA7" s="663" t="s">
        <v>28</v>
      </c>
      <c r="AB7" s="1000" t="str">
        <f>IF(E1791&gt;0,(IF(AD8="me","(clear out box ⇩ to see optional fees) "," * any accrued NVP discount not applied *")),IF($AD$8="yes","NVP wil be copied in upon final T2G Order",IF($AD$8="me","(clear out box ⇩ to see optional fees) ",IF(G1781&gt;0,"  type 'yes' to  ⇩  request NVP (all or part)","appear as each T2G plant gets quantity"))))</f>
        <v>appear as each T2G plant gets quantity</v>
      </c>
      <c r="AC7" s="1000"/>
      <c r="AD7" s="1000"/>
      <c r="AE7" s="1000"/>
      <c r="AF7" s="1000"/>
      <c r="AG7" s="1000"/>
      <c r="AH7" s="69"/>
      <c r="AI7" s="70"/>
      <c r="AK7" s="985" t="s">
        <v>32</v>
      </c>
      <c r="AL7" s="985"/>
      <c r="AM7" s="984" t="s">
        <v>33</v>
      </c>
      <c r="AN7" s="984"/>
      <c r="AO7" s="49"/>
      <c r="AP7" s="683" t="s">
        <v>1414</v>
      </c>
      <c r="AQ7" s="74"/>
      <c r="AR7" s="74"/>
      <c r="AS7" s="74"/>
      <c r="AT7" s="74"/>
      <c r="AU7" s="132"/>
      <c r="AV7" s="132"/>
      <c r="AW7" s="132"/>
      <c r="AX7" s="132"/>
      <c r="AY7" s="132"/>
      <c r="AZ7" s="132"/>
      <c r="BA7" s="132"/>
      <c r="BB7" s="132"/>
      <c r="BC7" s="132"/>
      <c r="BD7" s="686"/>
      <c r="BE7" s="686"/>
      <c r="BF7" s="132"/>
    </row>
    <row r="8" spans="1:58" ht="15" customHeight="1" thickTop="1">
      <c r="A8" s="691"/>
      <c r="B8" s="236"/>
      <c r="C8" s="436"/>
      <c r="D8" s="436"/>
      <c r="E8" s="436"/>
      <c r="F8" s="368"/>
      <c r="G8" s="436"/>
      <c r="H8" s="560" t="s">
        <v>1588</v>
      </c>
      <c r="I8" s="826" t="s">
        <v>29</v>
      </c>
      <c r="J8" s="992" t="str">
        <f>IF(E1="Quote"," TRY Images↓ &amp; Facts↓",IF(E1="Order","",IF(E1="Delivered","Mike@Trees2Go.com",IF(E1="Completed","Mike@Trees2Go.com",IF(SUM(G11:G1777)&gt;0," TRY Images ↓ &amp; Facts ↓"," TRY Images ↓ &amp; Facts ↓")))))</f>
        <v xml:space="preserve"> TRY Images ↓ &amp; Facts ↓</v>
      </c>
      <c r="K8" s="992"/>
      <c r="L8" s="993"/>
      <c r="M8" s="990" t="s">
        <v>30</v>
      </c>
      <c r="N8" s="991"/>
      <c r="O8" s="975" t="s">
        <v>1365</v>
      </c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6"/>
      <c r="AA8" s="71"/>
      <c r="AB8" s="72"/>
      <c r="AC8" s="578" t="str">
        <f>IF(AD8="yes","NVP intall is a ",IF(AD8="me","no NVP, all by",IF(SUM(G11:G1777)&gt;0,"want New View Planting?","type 'yes' for NVP⇒")))</f>
        <v>type 'yes' for NVP⇒</v>
      </c>
      <c r="AD8" s="440"/>
      <c r="AE8" s="981" t="s">
        <v>1256</v>
      </c>
      <c r="AF8" s="982"/>
      <c r="AG8" s="982"/>
      <c r="AH8" s="982"/>
      <c r="AI8" s="982"/>
      <c r="AJ8" s="982"/>
      <c r="AK8" s="982"/>
      <c r="AL8" s="982"/>
      <c r="AM8" s="982"/>
      <c r="AN8" s="73"/>
      <c r="AO8" s="49"/>
      <c r="AP8" s="683" t="s">
        <v>1423</v>
      </c>
      <c r="AQ8" s="74"/>
      <c r="AR8" s="74"/>
      <c r="AS8" s="74"/>
      <c r="AT8" s="74"/>
      <c r="AU8" s="132"/>
      <c r="AV8" s="132"/>
      <c r="AW8" s="132"/>
      <c r="AX8" s="132"/>
      <c r="AY8" s="132"/>
      <c r="AZ8" s="132"/>
      <c r="BA8" s="132"/>
      <c r="BB8" s="132"/>
      <c r="BC8" s="132"/>
      <c r="BD8" s="686"/>
      <c r="BE8" s="686"/>
      <c r="BF8" s="132"/>
    </row>
    <row r="9" spans="1:58" ht="14.1" customHeight="1">
      <c r="A9" s="802" t="str">
        <f>IF($A$8="show",COUNTIF($G$10:$G$320,"&gt;0"),IF($E$1="Quote","",IF($E$1="Order","",IF($E$1="Delivered","",IF($E$1="Completed","",IF(SUM($G$10:$G$320)=0,"",COUNTIF($G$11:$G$1777,"&gt;0")))))))</f>
        <v/>
      </c>
      <c r="B9" s="801" t="str">
        <f>IF($E$1="Quote","BEST on LARGER MONITORS",IF($E$1="Order","",IF($E$1="Delivered","",IF($E$1="Completed","",IF($A$8="show",CONCATENATE("ET picked, ",SUM($G$10:$G320)," ET plants total"),IF(SUM($G$10:$G320)=0,"BEST on LARGER MONITORS",IF($E$1="Quote","",IF(SUM($G$10:$G320)&gt;0,CONCATENATE("ET picked, ",SUM($G$10:$G320)," ET plants total"),""))))))))</f>
        <v>BEST on LARGER MONITORS</v>
      </c>
      <c r="C9" s="380"/>
      <c r="D9" s="76"/>
      <c r="E9" s="640" t="str">
        <f>IF($AD$8="me","Delivery-only.",IF($AD$8="yes","Install requested.","Need planting?"))</f>
        <v>Need planting?</v>
      </c>
      <c r="F9" s="708"/>
      <c r="G9" s="377" t="str">
        <f>IF($AD$8="me","Skip",IF($AD$8="yes","Bring in","Consider"))</f>
        <v>Consider</v>
      </c>
      <c r="H9" s="786" t="s">
        <v>1597</v>
      </c>
      <c r="I9" s="432"/>
      <c r="J9" s="433"/>
      <c r="K9" s="606"/>
      <c r="L9" s="628"/>
      <c r="M9" s="434"/>
      <c r="N9" s="434"/>
      <c r="O9" s="435"/>
      <c r="P9" s="435"/>
      <c r="Q9" s="435"/>
      <c r="R9" s="435"/>
      <c r="S9" s="787"/>
      <c r="T9" s="539"/>
      <c r="U9" s="435"/>
      <c r="V9" s="435"/>
      <c r="W9" s="435"/>
      <c r="X9" s="435"/>
      <c r="Y9" s="435"/>
      <c r="Z9" s="1005" t="str">
        <f>IF($AD$8="me","No planting",IF($AD$8="yes","NVP Planting Fee",IF($AD$8="","optional NVP Planting","")))</f>
        <v>optional NVP Planting</v>
      </c>
      <c r="AA9" s="1005"/>
      <c r="AB9" s="1005"/>
      <c r="AC9" s="1005"/>
      <c r="AD9" s="988" t="s">
        <v>31</v>
      </c>
      <c r="AE9" s="988"/>
      <c r="AF9" s="988"/>
      <c r="AG9" s="988"/>
      <c r="AH9" s="91"/>
      <c r="AI9" s="56" t="str">
        <f>IF($AD$8="yes","T2G+NVP ",IF($AD$8="","T2G+NVP ","Tress2Go"))</f>
        <v xml:space="preserve">T2G+NVP </v>
      </c>
      <c r="AK9" s="985" t="s">
        <v>41</v>
      </c>
      <c r="AL9" s="985"/>
      <c r="AM9" s="985"/>
      <c r="AN9" s="985"/>
      <c r="AO9" s="985"/>
      <c r="AP9" s="683" t="s">
        <v>1599</v>
      </c>
      <c r="AQ9" s="74"/>
      <c r="AR9" s="74"/>
      <c r="AS9" s="74"/>
      <c r="AT9" s="74"/>
      <c r="AU9" s="132"/>
      <c r="AV9" s="132"/>
      <c r="AW9" s="132"/>
      <c r="AX9" s="132"/>
      <c r="AY9" s="132"/>
      <c r="AZ9" s="132"/>
      <c r="BA9" s="132"/>
      <c r="BB9" s="132"/>
      <c r="BC9" s="132"/>
      <c r="BD9" s="686"/>
      <c r="BE9" s="686"/>
      <c r="BF9" s="132"/>
    </row>
    <row r="10" spans="1:58" ht="14.1" customHeight="1">
      <c r="A10" s="870" t="s">
        <v>1678</v>
      </c>
      <c r="B10" s="871"/>
      <c r="C10" s="871"/>
      <c r="D10" s="818" t="s">
        <v>34</v>
      </c>
      <c r="E10" s="851" t="s">
        <v>1629</v>
      </c>
      <c r="F10" s="851"/>
      <c r="G10" s="819" t="s">
        <v>35</v>
      </c>
      <c r="H10" s="820" t="s">
        <v>1302</v>
      </c>
      <c r="I10" s="821" t="s">
        <v>36</v>
      </c>
      <c r="J10" s="821" t="s">
        <v>37</v>
      </c>
      <c r="K10" s="973" t="s">
        <v>38</v>
      </c>
      <c r="L10" s="973"/>
      <c r="M10" s="1017" t="s">
        <v>39</v>
      </c>
      <c r="N10" s="1017"/>
      <c r="O10" s="1017" t="s">
        <v>40</v>
      </c>
      <c r="P10" s="1017"/>
      <c r="Q10" s="81"/>
      <c r="R10" s="48"/>
      <c r="S10" s="82"/>
      <c r="T10" s="540"/>
      <c r="U10" s="83"/>
      <c r="V10" s="299" t="s">
        <v>1353</v>
      </c>
      <c r="W10" s="84"/>
      <c r="X10" s="84"/>
      <c r="Y10" s="84"/>
      <c r="Z10" s="849" t="str">
        <f>IF($AD$8="me","erase 'me' to see fees ⇗",IF($AD$8="yes","with NVP Discount",IF($AD$8="","with NVP Discount","")))</f>
        <v>with NVP Discount</v>
      </c>
      <c r="AA10" s="849"/>
      <c r="AB10" s="849"/>
      <c r="AC10" s="849"/>
      <c r="AD10" s="970" t="s">
        <v>1246</v>
      </c>
      <c r="AE10" s="970"/>
      <c r="AF10" s="970"/>
      <c r="AG10" s="970"/>
      <c r="AI10" s="56" t="s">
        <v>22</v>
      </c>
      <c r="AJ10" s="537"/>
      <c r="AK10" s="1009" t="str">
        <f>IF(E1="Price it","⇩ NVP Price Table ","↙ NVP Price Table ")</f>
        <v xml:space="preserve">⇩ NVP Price Table </v>
      </c>
      <c r="AL10" s="1009"/>
      <c r="AM10" s="1008" t="str">
        <f>IF(E1="Price it","⇩ NVP Notes ","↙ NVP Notes ")</f>
        <v xml:space="preserve">⇩ NVP Notes </v>
      </c>
      <c r="AN10" s="1008"/>
      <c r="AO10" s="687"/>
      <c r="AP10" s="683" t="s">
        <v>1415</v>
      </c>
      <c r="AQ10" s="74"/>
      <c r="AR10" s="74"/>
      <c r="AS10" s="74"/>
      <c r="AT10" s="74"/>
    </row>
    <row r="11" spans="1:58" ht="12.95" customHeight="1">
      <c r="A11" s="852" t="s">
        <v>42</v>
      </c>
      <c r="B11" s="844"/>
      <c r="C11" s="844"/>
      <c r="D11" s="844"/>
      <c r="E11" s="844"/>
      <c r="F11" s="844"/>
      <c r="G11" s="844"/>
      <c r="H11" s="770" t="s">
        <v>43</v>
      </c>
      <c r="I11" s="348" t="s">
        <v>44</v>
      </c>
      <c r="J11" s="98"/>
      <c r="K11" s="600" t="s">
        <v>45</v>
      </c>
      <c r="L11" s="601" t="s">
        <v>46</v>
      </c>
      <c r="M11" s="86"/>
      <c r="N11" s="87" t="s">
        <v>47</v>
      </c>
      <c r="O11" s="87"/>
      <c r="P11" s="88"/>
      <c r="Q11" s="89" t="s">
        <v>48</v>
      </c>
      <c r="R11" s="835" t="s">
        <v>49</v>
      </c>
      <c r="S11" s="835"/>
      <c r="T11" s="835"/>
      <c r="U11" s="842"/>
      <c r="V11" s="90"/>
      <c r="W11" s="100"/>
      <c r="X11" s="100"/>
      <c r="Y11" s="201"/>
      <c r="Z11" s="838" t="str">
        <f t="shared" ref="Z11" si="0">IF(G11=0,"",IF(AD11="me","",IF(AD11="free","warranty",IF($AD$8="yes","planting:","to plant:"))))</f>
        <v/>
      </c>
      <c r="AA11" s="838"/>
      <c r="AB11" s="830" t="str">
        <f>IF(G11=0,"",IF(AD11="free","re-planting",IF(AD11="me","not NVP, by",IF($AD$8="yes",(VLOOKUP(A11,'Discount Lookup'!J:K,2)*G11*(1-$AC$1786)*(1+$AC$1788)),IF(AD11="NVP",(VLOOKUP(A11,'Discount Lookup'!J:K,2)*G11*(1-$AC$1786)*(1+$AC$1788)),IF(AD11="free","re-planting",IF(G11=0,"",IF($AD$8="",IF(AD11="me","not NVP, by",IF(AD11="",IF(G11&gt;0,(VLOOKUP(A11,'Discount Lookup'!J:K,2)*G11*(1-$AC$1786)*(1+$AC$1788)),""),"")),"not NVP, by"))))))))</f>
        <v/>
      </c>
      <c r="AC11" s="830"/>
      <c r="AD11" s="375" t="str">
        <f>IF(G11=0,"",IF($AD$8="me","me",IF(H11="warranty","free",IF($AD$8="yes","NVP",""))))</f>
        <v/>
      </c>
      <c r="AE11" s="1013" t="s">
        <v>1484</v>
      </c>
      <c r="AF11" s="1013"/>
      <c r="AG11" s="1013"/>
      <c r="AH11" s="91">
        <f>IF(AD11="free",0,IF(AD11="me",0,IF(G11&gt;0,(VLOOKUP(A11,'Discount Lookup'!J:K,2)*G11),0)))</f>
        <v>0</v>
      </c>
      <c r="AI11" s="92" t="str">
        <f>IF(AD11="free",(K11*(1-$H$1784)),IF(G11=0,"",IF($AD$8="",IF(G11=0,"",IF(AD11="me",(K11*(1-$H$1784)),(K11*(1-$H$1784))+AB11)),IF(K11="Images","",IF(K11=0,"",(K11*(1-$H$1784)))))))</f>
        <v/>
      </c>
      <c r="AJ11" s="828" t="str">
        <f>IF(G11=0,"",IF(AD11="me","  delivery-only",IF($AD$8="me","  delivery-only",CONCATENATE(" $",ROUND(AI11/G11,2)," each"))))</f>
        <v/>
      </c>
      <c r="AK11" s="828"/>
      <c r="AL11" s="313" t="str">
        <f t="shared" ref="AL11:AL74" si="1">IF(AD11="free","      ~ discounts included, no tax or planting fee applies ~",IF(G11=0,"",IF($AD$8="me",CONCATENATE(" $",ROUND(AI11/G11,2)," per plant, with tax &amp; discount"),IF(AD11="me",CONCATENATE(" $",ROUND(AI11/G11,2)," per plant, with tax &amp; discount"),CONCATENATE("= $",ROUND((K11*(1-$H$1784))/G11,2)," per plant + $",AB11/G11,(" per planting      ~ includes tax &amp; discounts ~"))))))</f>
        <v/>
      </c>
      <c r="AM11" s="312"/>
      <c r="AN11" s="101"/>
      <c r="AO11" s="101"/>
      <c r="AP11" s="101"/>
      <c r="AQ11" s="101"/>
      <c r="AR11" s="101"/>
      <c r="AS11" s="101"/>
      <c r="AT11" s="101"/>
    </row>
    <row r="12" spans="1:58" ht="12.95" customHeight="1">
      <c r="A12" s="420">
        <v>1</v>
      </c>
      <c r="B12" s="93" t="s">
        <v>50</v>
      </c>
      <c r="C12" s="94" t="s">
        <v>170</v>
      </c>
      <c r="D12" s="95" t="s">
        <v>52</v>
      </c>
      <c r="E12" s="96">
        <v>6.95</v>
      </c>
      <c r="F12" s="705" t="s">
        <v>1306</v>
      </c>
      <c r="G12" s="357">
        <v>0</v>
      </c>
      <c r="H12" s="704" t="str">
        <f t="shared" ref="H12:H14" si="2">IF(G12=0,"",IF(F12="Qty=",IF(G12=1,"plant","plants"),IF(F12&gt;0.0001,"warranty","Error")))</f>
        <v/>
      </c>
      <c r="I12" s="98">
        <f t="shared" ref="I12" si="3">IF(F12="Qty=",(E12*G12),((E12*(1-F12))*G12))</f>
        <v>0</v>
      </c>
      <c r="J12" s="98">
        <f>IF(H12="warranty",0,(I12*($J$1782)))</f>
        <v>0</v>
      </c>
      <c r="K12" s="831">
        <f>I12+J12</f>
        <v>0</v>
      </c>
      <c r="L12" s="831"/>
      <c r="M12" s="832" t="str">
        <f>IF($H$1784=0,"",IF(G12=0,"",IF(F12="Qty=",CONCATENATE("$",ROUND(K12*(1-$H$1784),2)," with ",($H$1784*100),"% discount"),CONCATENATE("$",ROUND(K12*(1-$H$1784),2)," with ",(($H$1784*100+F12*100)-($H$1784*100*F12)),IF(F12&gt;0,"% discounts",IF($H$1781&gt;0,"% discounts","% discount"))))))</f>
        <v/>
      </c>
      <c r="N12" s="832"/>
      <c r="O12" s="832"/>
      <c r="P12" s="832"/>
      <c r="Q12" s="832"/>
      <c r="R12" s="832"/>
      <c r="S12" s="303">
        <f t="shared" ref="S12:S13" si="4">E12*G12</f>
        <v>0</v>
      </c>
      <c r="T12" s="541">
        <f>VLOOKUP(A12,'Discount Lookup'!D:E,2,FALSE)*G12</f>
        <v>0</v>
      </c>
      <c r="U12" s="83">
        <f>VLOOKUP(A12,'Discount Lookup'!G:H,2,FALSE)*G12</f>
        <v>0</v>
      </c>
      <c r="V12" s="100">
        <f>E12*($J$1782)*G12</f>
        <v>0</v>
      </c>
      <c r="W12" s="100">
        <f t="shared" ref="W12:W14" si="5">I12</f>
        <v>0</v>
      </c>
      <c r="X12" s="100" t="b">
        <f>IF(G12&gt;0,IF(AD12="me","",G12))</f>
        <v>0</v>
      </c>
      <c r="Y12" s="201"/>
      <c r="Z12" s="829" t="str">
        <f>IF(G12=0,"",IF(AD12="me","",IF($AD$8="me","",IF(AD12="free","warranty",IF($AD$8="yes","NVP planting:","to NVP install:")))))</f>
        <v/>
      </c>
      <c r="AA12" s="829"/>
      <c r="AB12" s="830" t="str">
        <f>IF(G12=0,"",IF(AD12="free","re-planting",IF(AD12="me","not NVP, by",IF($AD$8="yes",(VLOOKUP(A12,'Discount Lookup'!J:K,2)*G12*(1-$AC$1786)*(1+$AC$1788)),IF(AD12="NVP",(VLOOKUP(A12,'Discount Lookup'!J:K,2)*G12*(1-$AC$1786)*(1+$AC$1788)),IF(AD12="free","re-planting",IF(G12=0,"",IF($AD$8="",IF(AD12="me","not NVP, by",IF(AD12="",IF(G12&gt;0,(VLOOKUP(A12,'Discount Lookup'!J:K,2)*G12*(1-$AC$1786)*(1+$AC$1788)),""),"")),"not NVP, by"))))))))</f>
        <v/>
      </c>
      <c r="AC12" s="830"/>
      <c r="AD12" s="375" t="str">
        <f>IF(G12=0,"",IF($AD$8="me","me",IF(H12="warranty","free",IF($AD$8="yes","NVP",""))))</f>
        <v/>
      </c>
      <c r="AE12" s="833" t="str">
        <f t="shared" ref="AE12:AE13" si="6">IF(G12&gt;0,(CONCATENATE((G12)," quantity, ",(A12)," ",B12)),"")</f>
        <v/>
      </c>
      <c r="AF12" s="833"/>
      <c r="AG12" s="833"/>
      <c r="AH12" s="91">
        <f>IF(AD12="free",0,IF(AD12="me",0,IF(G12&gt;0,(VLOOKUP(A12,'Discount Lookup'!J:K,2)*G12),0)))</f>
        <v>0</v>
      </c>
      <c r="AI12" s="92" t="str">
        <f t="shared" ref="AI12:AI47" si="7">IF(G12=0,"",IF(AD12="free",(K12*(1-$H$1784)),IF($AD$8="me",(K12*(1-$H$1784)),IF(AD12="me",(K12*(1-$H$1784)),(K12*(1-$H$1784))+AB12))))</f>
        <v/>
      </c>
      <c r="AJ12" s="828" t="str">
        <f>IF(G12=0,"",IF(AD12="me","  delivery-only",IF($AD$8="me","  delivery-only",CONCATENATE(" $",ROUND(AI12/G12,2)," each"))))</f>
        <v/>
      </c>
      <c r="AK12" s="828"/>
      <c r="AL12" s="313" t="str">
        <f t="shared" si="1"/>
        <v/>
      </c>
      <c r="AM12" s="312"/>
      <c r="AN12" s="101"/>
      <c r="AO12" s="101"/>
      <c r="AP12" s="101"/>
      <c r="AQ12" s="101"/>
      <c r="AR12" s="101"/>
      <c r="AS12" s="101"/>
      <c r="AT12" s="101"/>
    </row>
    <row r="13" spans="1:58" ht="12.95" customHeight="1">
      <c r="A13" s="420">
        <v>3</v>
      </c>
      <c r="B13" s="93" t="s">
        <v>50</v>
      </c>
      <c r="C13" s="94" t="s">
        <v>70</v>
      </c>
      <c r="D13" s="95" t="s">
        <v>52</v>
      </c>
      <c r="E13" s="96">
        <v>24.95</v>
      </c>
      <c r="F13" s="705" t="s">
        <v>1306</v>
      </c>
      <c r="G13" s="357">
        <v>0</v>
      </c>
      <c r="H13" s="704" t="str">
        <f t="shared" si="2"/>
        <v/>
      </c>
      <c r="I13" s="98">
        <f t="shared" ref="I13" si="8">IF(F13="Qty=",(E13*G13),((E13*(1-F13))*G13))</f>
        <v>0</v>
      </c>
      <c r="J13" s="98">
        <f>IF(H13="warranty",0,(I13*($J$1782)))</f>
        <v>0</v>
      </c>
      <c r="K13" s="831">
        <f>I13+J13</f>
        <v>0</v>
      </c>
      <c r="L13" s="831"/>
      <c r="M13" s="832" t="str">
        <f>IF($H$1784=0,"",IF(G13=0,"",IF(F13="Qty=",CONCATENATE("$",ROUND(K13*(1-$H$1784),2)," with ",($H$1784*100),"% discount"),CONCATENATE("$",ROUND(K13*(1-$H$1784),2)," with ",(($H$1784*100+F13*100)-($H$1784*100*F13)),IF(F13&gt;0,"% discounts",IF($H$1781&gt;0,"% discounts","% discount"))))))</f>
        <v/>
      </c>
      <c r="N13" s="832"/>
      <c r="O13" s="832"/>
      <c r="P13" s="832"/>
      <c r="Q13" s="832"/>
      <c r="R13" s="832"/>
      <c r="S13" s="303">
        <f t="shared" si="4"/>
        <v>0</v>
      </c>
      <c r="T13" s="541">
        <f>VLOOKUP(A13,'Discount Lookup'!D:E,2,FALSE)*G13</f>
        <v>0</v>
      </c>
      <c r="U13" s="83">
        <f>VLOOKUP(A13,'Discount Lookup'!G:H,2,FALSE)*G13</f>
        <v>0</v>
      </c>
      <c r="V13" s="100">
        <f>E13*($J$1782)*G13</f>
        <v>0</v>
      </c>
      <c r="W13" s="100">
        <f t="shared" si="5"/>
        <v>0</v>
      </c>
      <c r="X13" s="100" t="b">
        <f>IF(G13&gt;0,IF(AD13="me","",G13))</f>
        <v>0</v>
      </c>
      <c r="Y13" s="201"/>
      <c r="Z13" s="829" t="str">
        <f t="shared" ref="Z13:Z53" si="9">IF(G13=0,"",IF(AD13="me","",IF($AD$8="me","",IF(AD13="free","warranty",IF($AD$8="yes","NVP planting:","to NVP install:")))))</f>
        <v/>
      </c>
      <c r="AA13" s="829"/>
      <c r="AB13" s="830" t="str">
        <f>IF(G13=0,"",IF(AD13="free","re-planting",IF(AD13="me","not NVP, by",IF($AD$8="yes",(VLOOKUP(A13,'Discount Lookup'!J:K,2)*G13*(1-$AC$1786)*(1+$AC$1788)),IF(AD13="NVP",(VLOOKUP(A13,'Discount Lookup'!J:K,2)*G13*(1-$AC$1786)*(1+$AC$1788)),IF(AD13="free","re-planting",IF(G13=0,"",IF($AD$8="",IF(AD13="me","not NVP, by",IF(AD13="",IF(G13&gt;0,(VLOOKUP(A13,'Discount Lookup'!J:K,2)*G13*(1-$AC$1786)*(1+$AC$1788)),""),"")),"not NVP, by"))))))))</f>
        <v/>
      </c>
      <c r="AC13" s="830"/>
      <c r="AD13" s="375" t="str">
        <f t="shared" ref="AD13:AD54" si="10">IF(G13=0,"",IF($AD$8="me","me",IF(H13="warranty","free",IF($AD$8="yes","NVP",""))))</f>
        <v/>
      </c>
      <c r="AE13" s="833" t="str">
        <f t="shared" si="6"/>
        <v/>
      </c>
      <c r="AF13" s="833"/>
      <c r="AG13" s="833"/>
      <c r="AH13" s="91">
        <f>IF(AD13="free",0,IF(AD13="me",0,IF(G13&gt;0,(VLOOKUP(A13,'Discount Lookup'!J:K,2)*G13),0)))</f>
        <v>0</v>
      </c>
      <c r="AI13" s="92" t="str">
        <f t="shared" si="7"/>
        <v/>
      </c>
      <c r="AJ13" s="828" t="str">
        <f t="shared" ref="AJ13:AJ50" si="11">IF(G13=0,"",IF(AD13="me","  delivery-only",IF($AD$8="me","  delivery-only",CONCATENATE(" $",ROUND(AI13/G13,2)," each"))))</f>
        <v/>
      </c>
      <c r="AK13" s="828"/>
      <c r="AL13" s="313" t="str">
        <f t="shared" si="1"/>
        <v/>
      </c>
      <c r="AM13" s="312"/>
      <c r="AN13" s="101"/>
      <c r="AO13" s="101"/>
      <c r="AP13" s="101"/>
      <c r="AQ13" s="101"/>
      <c r="AR13" s="101"/>
      <c r="AS13" s="101"/>
      <c r="AT13" s="101"/>
    </row>
    <row r="14" spans="1:58" ht="12.95" customHeight="1">
      <c r="A14" s="420">
        <v>7</v>
      </c>
      <c r="B14" s="93" t="s">
        <v>50</v>
      </c>
      <c r="C14" s="94" t="s">
        <v>137</v>
      </c>
      <c r="D14" s="95" t="s">
        <v>63</v>
      </c>
      <c r="E14" s="96">
        <v>56.95</v>
      </c>
      <c r="F14" s="705" t="s">
        <v>1306</v>
      </c>
      <c r="G14" s="357">
        <v>0</v>
      </c>
      <c r="H14" s="704" t="str">
        <f t="shared" si="2"/>
        <v/>
      </c>
      <c r="I14" s="98">
        <f t="shared" ref="I14" si="12">IF(F14="Qty=",(E14*G14),((E14*(1-F14))*G14))</f>
        <v>0</v>
      </c>
      <c r="J14" s="98">
        <f>IF(H14="warranty",0,(I14*($J$1782)))</f>
        <v>0</v>
      </c>
      <c r="K14" s="831">
        <f>I14+J14</f>
        <v>0</v>
      </c>
      <c r="L14" s="831"/>
      <c r="M14" s="832" t="str">
        <f>IF($H$1784=0,"",IF(G14=0,"",IF(F14="Qty=",CONCATENATE("$",ROUND(K14*(1-$H$1784),2)," with ",($H$1784*100),"% discount"),CONCATENATE("$",ROUND(K14*(1-$H$1784),2)," with ",(($H$1784*100+F14*100)-($H$1784*100*F14)),IF(F14&gt;0,"% discounts",IF($H$1781&gt;0,"% discounts","% discount"))))))</f>
        <v/>
      </c>
      <c r="N14" s="832"/>
      <c r="O14" s="832"/>
      <c r="P14" s="832"/>
      <c r="Q14" s="832"/>
      <c r="R14" s="832"/>
      <c r="S14" s="303">
        <f>E14*G14</f>
        <v>0</v>
      </c>
      <c r="T14" s="541">
        <f>VLOOKUP(A14,'Discount Lookup'!D:E,2,FALSE)*G14</f>
        <v>0</v>
      </c>
      <c r="U14" s="83">
        <f>VLOOKUP(A14,'Discount Lookup'!G:H,2,FALSE)*G14</f>
        <v>0</v>
      </c>
      <c r="V14" s="100">
        <f>E14*($J$1782)*G14</f>
        <v>0</v>
      </c>
      <c r="W14" s="100">
        <f t="shared" si="5"/>
        <v>0</v>
      </c>
      <c r="X14" s="100" t="b">
        <f>IF(G14&gt;0,IF(AD14="me","",G14))</f>
        <v>0</v>
      </c>
      <c r="Y14" s="201"/>
      <c r="Z14" s="829" t="str">
        <f t="shared" ref="Z14" si="13">IF(G14=0,"",IF(AD14="me","",IF($AD$8="me","",IF(AD14="free","warranty",IF($AD$8="yes","NVP planting:","to NVP install:")))))</f>
        <v/>
      </c>
      <c r="AA14" s="829"/>
      <c r="AB14" s="830" t="str">
        <f>IF(G14=0,"",IF(AD14="free","re-planting",IF(AD14="me","not NVP, by",IF($AD$8="yes",(VLOOKUP(A14,'Discount Lookup'!J:K,2)*G14*(1-$AC$1786)*(1+$AC$1788)),IF(AD14="NVP",(VLOOKUP(A14,'Discount Lookup'!J:K,2)*G14*(1-$AC$1786)*(1+$AC$1788)),IF(AD14="free","re-planting",IF(G14=0,"",IF($AD$8="",IF(AD14="me","not NVP, by",IF(AD14="",IF(G14&gt;0,(VLOOKUP(A14,'Discount Lookup'!J:K,2)*G14*(1-$AC$1786)*(1+$AC$1788)),""),"")),"not NVP, by"))))))))</f>
        <v/>
      </c>
      <c r="AC14" s="830"/>
      <c r="AD14" s="375" t="str">
        <f t="shared" ref="AD14" si="14">IF(G14=0,"",IF($AD$8="me","me",IF(H14="warranty","free",IF($AD$8="yes","NVP",""))))</f>
        <v/>
      </c>
      <c r="AE14" s="833" t="str">
        <f>IF(G14&gt;0,(CONCATENATE((G14)," quantity, ",(A14)," ",B14)),"")</f>
        <v/>
      </c>
      <c r="AF14" s="833"/>
      <c r="AG14" s="833"/>
      <c r="AH14" s="91">
        <f>IF(AD14="free",0,IF(AD14="me",0,IF(G14&gt;0,(VLOOKUP(A14,'Discount Lookup'!J:K,2)*G14),0)))</f>
        <v>0</v>
      </c>
      <c r="AI14" s="92" t="str">
        <f t="shared" si="7"/>
        <v/>
      </c>
      <c r="AJ14" s="828" t="str">
        <f t="shared" ref="AJ14" si="15">IF(G14=0,"",IF(AD14="me","  delivery-only",IF($AD$8="me","  delivery-only",CONCATENATE(" $",ROUND(AI14/G14,2)," each"))))</f>
        <v/>
      </c>
      <c r="AK14" s="828"/>
      <c r="AL14" s="313" t="str">
        <f t="shared" si="1"/>
        <v/>
      </c>
      <c r="AM14" s="312"/>
      <c r="AN14" s="101"/>
      <c r="AO14" s="101"/>
      <c r="AP14" s="101"/>
      <c r="AQ14" s="101"/>
      <c r="AR14" s="101"/>
      <c r="AS14" s="101"/>
      <c r="AT14" s="101"/>
    </row>
    <row r="15" spans="1:58" ht="12.75" customHeight="1">
      <c r="A15" s="463"/>
      <c r="B15" s="103" t="s">
        <v>55</v>
      </c>
      <c r="C15" s="396"/>
      <c r="D15" s="104"/>
      <c r="E15" s="105"/>
      <c r="F15" s="709"/>
      <c r="G15" s="358"/>
      <c r="H15" s="743"/>
      <c r="I15" s="106"/>
      <c r="J15" s="102"/>
      <c r="K15" s="607"/>
      <c r="L15" s="607"/>
      <c r="M15" s="343"/>
      <c r="N15" s="429" t="s">
        <v>56</v>
      </c>
      <c r="O15" s="867" t="s">
        <v>57</v>
      </c>
      <c r="P15" s="868"/>
      <c r="Q15" s="868"/>
      <c r="R15" s="868"/>
      <c r="S15" s="868"/>
      <c r="T15" s="868"/>
      <c r="U15" s="869"/>
      <c r="V15" s="100" t="b">
        <f>IF(G15&gt;0,IF(AD15="me","",G15))</f>
        <v>0</v>
      </c>
      <c r="W15" s="100"/>
      <c r="X15" s="100"/>
      <c r="Y15" s="201"/>
      <c r="Z15" s="829" t="str">
        <f t="shared" si="9"/>
        <v/>
      </c>
      <c r="AA15" s="829"/>
      <c r="AB15" s="830" t="str">
        <f>IF(G15=0,"",IF(AD15="free","re-planting",IF(AD15="me","not NVP, by",IF($AD$8="yes",(VLOOKUP(A15,'Discount Lookup'!J:K,2)*G15*(1-$AC$1786)*(1+$AC$1788)),IF(AD15="NVP",(VLOOKUP(A15,'Discount Lookup'!J:K,2)*G15*(1-$AC$1786)*(1+$AC$1788)),IF(AD15="free","re-planting",IF(G15=0,"",IF($AD$8="",IF(AD15="me","not NVP, by",IF(AD15="",IF(G15&gt;0,(VLOOKUP(A15,'Discount Lookup'!J:K,2)*G15*(1-$AC$1786)*(1+$AC$1788)),""),"")),"not NVP, by"))))))))</f>
        <v/>
      </c>
      <c r="AC15" s="830"/>
      <c r="AD15" s="375" t="str">
        <f t="shared" si="10"/>
        <v/>
      </c>
      <c r="AE15" s="833" t="str">
        <f>IF(G15&gt;0,(CONCATENATE((G15)," quantity, ",(A15)," ",B15)),"")</f>
        <v/>
      </c>
      <c r="AF15" s="833"/>
      <c r="AG15" s="833"/>
      <c r="AH15" s="91">
        <f>IF(AD15="free",0,IF(AD15="me",0,IF(G15&gt;0,(VLOOKUP(A15,'Discount Lookup'!J:K,2)*G15),0)))</f>
        <v>0</v>
      </c>
      <c r="AI15" s="92" t="str">
        <f t="shared" si="7"/>
        <v/>
      </c>
      <c r="AJ15" s="828" t="str">
        <f t="shared" si="11"/>
        <v/>
      </c>
      <c r="AK15" s="828"/>
      <c r="AL15" s="313" t="str">
        <f t="shared" si="1"/>
        <v/>
      </c>
      <c r="AM15" s="312"/>
      <c r="AN15" s="101"/>
      <c r="AO15" s="101"/>
      <c r="AP15" s="101"/>
      <c r="AQ15" s="101"/>
      <c r="AR15" s="101"/>
      <c r="AS15" s="101"/>
      <c r="AT15" s="101"/>
    </row>
    <row r="16" spans="1:58" ht="12.95" customHeight="1">
      <c r="A16" s="852" t="s">
        <v>58</v>
      </c>
      <c r="B16" s="844"/>
      <c r="C16" s="844"/>
      <c r="D16" s="844"/>
      <c r="E16" s="844"/>
      <c r="F16" s="844"/>
      <c r="G16" s="844"/>
      <c r="H16" s="770" t="s">
        <v>59</v>
      </c>
      <c r="I16" s="348" t="s">
        <v>44</v>
      </c>
      <c r="J16" s="602"/>
      <c r="K16" s="600" t="s">
        <v>45</v>
      </c>
      <c r="L16" s="601" t="s">
        <v>46</v>
      </c>
      <c r="M16" s="86"/>
      <c r="N16" s="87" t="s">
        <v>47</v>
      </c>
      <c r="O16" s="87"/>
      <c r="P16" s="88"/>
      <c r="Q16" s="347" t="s">
        <v>60</v>
      </c>
      <c r="R16" s="978" t="s">
        <v>49</v>
      </c>
      <c r="S16" s="978"/>
      <c r="T16" s="978"/>
      <c r="U16" s="979"/>
      <c r="V16" s="90"/>
      <c r="W16" s="100"/>
      <c r="X16" s="100"/>
      <c r="Y16" s="201"/>
      <c r="Z16" s="829" t="str">
        <f t="shared" si="9"/>
        <v/>
      </c>
      <c r="AA16" s="829"/>
      <c r="AB16" s="830" t="str">
        <f>IF(G16=0,"",IF(AD16="free","re-planting",IF(AD16="me","not NVP, by",IF($AD$8="yes",(VLOOKUP(A16,'Discount Lookup'!J:K,2)*G16*(1-$AC$1786)*(1+$AC$1788)),IF(AD16="NVP",(VLOOKUP(A16,'Discount Lookup'!J:K,2)*G16*(1-$AC$1786)*(1+$AC$1788)),IF(AD16="free","re-planting",IF(G16=0,"",IF($AD$8="",IF(AD16="me","not NVP, by",IF(AD16="",IF(G16&gt;0,(VLOOKUP(A16,'Discount Lookup'!J:K,2)*G16*(1-$AC$1786)*(1+$AC$1788)),""),"")),"not NVP, by"))))))))</f>
        <v/>
      </c>
      <c r="AC16" s="830"/>
      <c r="AD16" s="375" t="str">
        <f t="shared" si="10"/>
        <v/>
      </c>
      <c r="AE16" s="833"/>
      <c r="AF16" s="833"/>
      <c r="AG16" s="833"/>
      <c r="AH16" s="91">
        <f>IF(AD16="free",0,IF(AD16="me",0,IF(G16&gt;0,(VLOOKUP(A16,'Discount Lookup'!J:K,2)*G16),0)))</f>
        <v>0</v>
      </c>
      <c r="AI16" s="92" t="str">
        <f t="shared" si="7"/>
        <v/>
      </c>
      <c r="AJ16" s="828" t="str">
        <f t="shared" si="11"/>
        <v/>
      </c>
      <c r="AK16" s="828"/>
      <c r="AL16" s="313" t="str">
        <f t="shared" si="1"/>
        <v/>
      </c>
      <c r="AM16" s="312"/>
      <c r="AN16" s="101"/>
      <c r="AO16" s="101"/>
      <c r="AP16" s="101"/>
      <c r="AQ16" s="101"/>
      <c r="AR16" s="101"/>
      <c r="AS16" s="101"/>
      <c r="AT16" s="101"/>
    </row>
    <row r="17" spans="1:46" ht="12.75" customHeight="1">
      <c r="A17" s="420">
        <v>7</v>
      </c>
      <c r="B17" s="93" t="s">
        <v>50</v>
      </c>
      <c r="C17" s="94" t="s">
        <v>199</v>
      </c>
      <c r="D17" s="95" t="s">
        <v>54</v>
      </c>
      <c r="E17" s="96">
        <v>72.95</v>
      </c>
      <c r="F17" s="705" t="s">
        <v>1306</v>
      </c>
      <c r="G17" s="357">
        <v>0</v>
      </c>
      <c r="H17" s="704" t="str">
        <f t="shared" ref="H17" si="16">IF(G17=0,"",IF(F17="Qty=",IF(G17=1,"plant","plants"),IF(F17&gt;0.0001,"warranty","Error")))</f>
        <v/>
      </c>
      <c r="I17" s="98">
        <f t="shared" ref="I17" si="17">IF(F17="Qty=",(E17*G17),((E17*(1-F17))*G17))</f>
        <v>0</v>
      </c>
      <c r="J17" s="98">
        <f>IF(H17="warranty",0,(I17*($J$1782)))</f>
        <v>0</v>
      </c>
      <c r="K17" s="831">
        <f t="shared" ref="K17" si="18">I17+J17</f>
        <v>0</v>
      </c>
      <c r="L17" s="831"/>
      <c r="M17" s="832" t="str">
        <f>IF($H$1784=0,"",IF(G17=0,"",IF(F17="Qty=",CONCATENATE("$",ROUND(K17*(1-$H$1784),2)," with ",($H$1784*100),"% discount"),CONCATENATE("$",ROUND(K17*(1-$H$1784),2)," with ",(($H$1784*100+F17*100)-($H$1784*100*F17)),IF(F17&gt;0,"% discounts",IF($H$1781&gt;0,"% discounts","% discount"))))))</f>
        <v/>
      </c>
      <c r="N17" s="832"/>
      <c r="O17" s="832"/>
      <c r="P17" s="832"/>
      <c r="Q17" s="832"/>
      <c r="R17" s="832"/>
      <c r="S17" s="303">
        <f t="shared" ref="S17" si="19">E17*G17</f>
        <v>0</v>
      </c>
      <c r="T17" s="541">
        <f>VLOOKUP(A17,'Discount Lookup'!D:E,2,FALSE)*G17</f>
        <v>0</v>
      </c>
      <c r="U17" s="83">
        <f>VLOOKUP(A17,'Discount Lookup'!G:H,2,FALSE)*G17</f>
        <v>0</v>
      </c>
      <c r="V17" s="100">
        <f>E17*($J$1782)*G17</f>
        <v>0</v>
      </c>
      <c r="W17" s="100">
        <f t="shared" ref="W17" si="20">I17</f>
        <v>0</v>
      </c>
      <c r="X17" s="100" t="b">
        <f>IF(G17&gt;0,IF(AD17="me","",G17))</f>
        <v>0</v>
      </c>
      <c r="Y17" s="793"/>
      <c r="Z17" s="829" t="str">
        <f t="shared" si="9"/>
        <v/>
      </c>
      <c r="AA17" s="829"/>
      <c r="AB17" s="830" t="str">
        <f>IF(G17=0,"",IF(AD17="free","re-planting",IF(AD17="me","not NVP, by",IF($AD$8="yes",(VLOOKUP(A17,'Discount Lookup'!J:K,2)*G17*(1-$AC$1786)*(1+$AC$1788)),IF(AD17="NVP",(VLOOKUP(A17,'Discount Lookup'!J:K,2)*G17*(1-$AC$1786)*(1+$AC$1788)),IF(AD17="free","re-planting",IF(G17=0,"",IF($AD$8="",IF(AD17="me","not NVP, by",IF(AD17="",IF(G17&gt;0,(VLOOKUP(A17,'Discount Lookup'!J:K,2)*G17*(1-$AC$1786)*(1+$AC$1788)),""),"")),"not NVP, by"))))))))</f>
        <v/>
      </c>
      <c r="AC17" s="830"/>
      <c r="AD17" s="375" t="str">
        <f t="shared" si="10"/>
        <v/>
      </c>
      <c r="AE17" s="833" t="str">
        <f t="shared" ref="AE17:AE64" si="21">IF(G17&gt;0,(CONCATENATE((G17)," quantity, ",(A17)," ",B17)),"")</f>
        <v/>
      </c>
      <c r="AF17" s="833"/>
      <c r="AG17" s="833"/>
      <c r="AH17" s="91">
        <f>IF(AD17="free",0,IF(AD17="me",0,IF(G17&gt;0,(VLOOKUP(A17,'Discount Lookup'!J:K,2)*G17),0)))</f>
        <v>0</v>
      </c>
      <c r="AI17" s="92" t="str">
        <f t="shared" si="7"/>
        <v/>
      </c>
      <c r="AJ17" s="828" t="str">
        <f t="shared" si="11"/>
        <v/>
      </c>
      <c r="AK17" s="828"/>
      <c r="AL17" s="313" t="str">
        <f t="shared" si="1"/>
        <v/>
      </c>
      <c r="AM17" s="312"/>
      <c r="AN17" s="101"/>
      <c r="AO17" s="101"/>
      <c r="AP17" s="101"/>
      <c r="AQ17" s="101"/>
      <c r="AR17" s="101"/>
      <c r="AS17" s="101"/>
      <c r="AT17" s="101"/>
    </row>
    <row r="18" spans="1:46" ht="12.95" customHeight="1">
      <c r="A18" s="463"/>
      <c r="B18" s="103" t="s">
        <v>65</v>
      </c>
      <c r="D18" s="104"/>
      <c r="E18" s="105"/>
      <c r="F18" s="709"/>
      <c r="G18" s="358"/>
      <c r="H18" s="743"/>
      <c r="I18" s="106"/>
      <c r="J18" s="102"/>
      <c r="K18" s="607"/>
      <c r="L18" s="607"/>
      <c r="M18" s="430"/>
      <c r="N18" s="431" t="s">
        <v>66</v>
      </c>
      <c r="O18" s="48"/>
      <c r="P18" s="111"/>
      <c r="Q18" s="111"/>
      <c r="R18" s="48"/>
      <c r="S18" s="82"/>
      <c r="T18" s="540"/>
      <c r="U18" s="83"/>
      <c r="V18" s="100"/>
      <c r="W18" s="100"/>
      <c r="X18" s="100"/>
      <c r="Y18" s="201"/>
      <c r="Z18" s="829" t="str">
        <f t="shared" si="9"/>
        <v/>
      </c>
      <c r="AA18" s="829"/>
      <c r="AB18" s="830" t="str">
        <f>IF(G18=0,"",IF(AD18="free","re-planting",IF(AD18="me","not NVP, by",IF($AD$8="yes",(VLOOKUP(A18,'Discount Lookup'!J:K,2)*G18*(1-$AC$1786)*(1+$AC$1788)),IF(AD18="NVP",(VLOOKUP(A18,'Discount Lookup'!J:K,2)*G18*(1-$AC$1786)*(1+$AC$1788)),IF(AD18="free","re-planting",IF(G18=0,"",IF($AD$8="",IF(AD18="me","not NVP, by",IF(AD18="",IF(G18&gt;0,(VLOOKUP(A18,'Discount Lookup'!J:K,2)*G18*(1-$AC$1786)*(1+$AC$1788)),""),"")),"not NVP, by"))))))))</f>
        <v/>
      </c>
      <c r="AC18" s="830"/>
      <c r="AD18" s="375" t="str">
        <f t="shared" si="10"/>
        <v/>
      </c>
      <c r="AE18" s="833" t="str">
        <f t="shared" si="21"/>
        <v/>
      </c>
      <c r="AF18" s="833"/>
      <c r="AG18" s="833"/>
      <c r="AH18" s="91">
        <f>IF(AD18="free",0,IF(AD18="me",0,IF(G18&gt;0,(VLOOKUP(A18,'Discount Lookup'!J:K,2)*G18),0)))</f>
        <v>0</v>
      </c>
      <c r="AI18" s="92" t="str">
        <f t="shared" si="7"/>
        <v/>
      </c>
      <c r="AJ18" s="828" t="str">
        <f t="shared" si="11"/>
        <v/>
      </c>
      <c r="AK18" s="828"/>
      <c r="AL18" s="313" t="str">
        <f t="shared" si="1"/>
        <v/>
      </c>
      <c r="AM18" s="312"/>
      <c r="AN18" s="101"/>
      <c r="AO18" s="101"/>
      <c r="AP18" s="101"/>
      <c r="AQ18" s="101"/>
      <c r="AR18" s="101"/>
      <c r="AS18" s="101"/>
      <c r="AT18" s="101"/>
    </row>
    <row r="19" spans="1:46" ht="12.95" customHeight="1">
      <c r="A19" s="863" t="s">
        <v>67</v>
      </c>
      <c r="B19" s="864"/>
      <c r="C19" s="864"/>
      <c r="D19" s="864"/>
      <c r="E19" s="864"/>
      <c r="F19" s="864"/>
      <c r="G19" s="864"/>
      <c r="H19" s="773" t="s">
        <v>68</v>
      </c>
      <c r="I19" s="348" t="s">
        <v>44</v>
      </c>
      <c r="J19" s="602"/>
      <c r="K19" s="603" t="s">
        <v>45</v>
      </c>
      <c r="L19" s="601" t="s">
        <v>46</v>
      </c>
      <c r="M19" s="86"/>
      <c r="N19" s="87" t="s">
        <v>69</v>
      </c>
      <c r="O19" s="87"/>
      <c r="P19" s="87"/>
      <c r="Q19" s="87"/>
      <c r="R19" s="86"/>
      <c r="S19" s="109"/>
      <c r="T19" s="542"/>
      <c r="U19" s="112"/>
      <c r="V19" s="100" t="b">
        <f>IF(G19&gt;0,IF(AD19="me","",G19))</f>
        <v>0</v>
      </c>
      <c r="W19" s="100"/>
      <c r="X19" s="100"/>
      <c r="Y19" s="201"/>
      <c r="Z19" s="829" t="str">
        <f t="shared" si="9"/>
        <v/>
      </c>
      <c r="AA19" s="829"/>
      <c r="AB19" s="830" t="str">
        <f>IF(G19=0,"",IF(AD19="free","re-planting",IF(AD19="me","not NVP, by",IF($AD$8="yes",(VLOOKUP(A19,'Discount Lookup'!J:K,2)*G19*(1-$AC$1786)*(1+$AC$1788)),IF(AD19="NVP",(VLOOKUP(A19,'Discount Lookup'!J:K,2)*G19*(1-$AC$1786)*(1+$AC$1788)),IF(AD19="free","re-planting",IF(G19=0,"",IF($AD$8="",IF(AD19="me","not NVP, by",IF(AD19="",IF(G19&gt;0,(VLOOKUP(A19,'Discount Lookup'!J:K,2)*G19*(1-$AC$1786)*(1+$AC$1788)),""),"")),"not NVP, by"))))))))</f>
        <v/>
      </c>
      <c r="AC19" s="830"/>
      <c r="AD19" s="375" t="str">
        <f t="shared" si="10"/>
        <v/>
      </c>
      <c r="AE19" s="833" t="str">
        <f t="shared" si="21"/>
        <v/>
      </c>
      <c r="AF19" s="833"/>
      <c r="AG19" s="833"/>
      <c r="AH19" s="91">
        <f>IF(AD19="free",0,IF(AD19="me",0,IF(G19&gt;0,(VLOOKUP(A19,'Discount Lookup'!J:K,2)*G19),0)))</f>
        <v>0</v>
      </c>
      <c r="AI19" s="92" t="str">
        <f t="shared" si="7"/>
        <v/>
      </c>
      <c r="AJ19" s="828" t="str">
        <f t="shared" si="11"/>
        <v/>
      </c>
      <c r="AK19" s="828"/>
      <c r="AL19" s="313" t="str">
        <f t="shared" si="1"/>
        <v/>
      </c>
      <c r="AM19" s="312"/>
      <c r="AN19" s="101"/>
      <c r="AO19" s="101"/>
      <c r="AP19" s="101"/>
      <c r="AQ19" s="101"/>
      <c r="AR19" s="101"/>
      <c r="AS19" s="101"/>
      <c r="AT19" s="101"/>
    </row>
    <row r="20" spans="1:46" ht="12.95" customHeight="1">
      <c r="A20" s="420">
        <v>7</v>
      </c>
      <c r="B20" s="93" t="s">
        <v>50</v>
      </c>
      <c r="C20" s="94" t="s">
        <v>70</v>
      </c>
      <c r="D20" s="95" t="s">
        <v>54</v>
      </c>
      <c r="E20" s="96">
        <v>95.95</v>
      </c>
      <c r="F20" s="705" t="s">
        <v>1306</v>
      </c>
      <c r="G20" s="357">
        <v>0</v>
      </c>
      <c r="H20" s="704" t="str">
        <f>IF(G20=0,"",IF(F20="Qty=",IF(G20=1,"plant","plants"),IF(F20&gt;0.0001,"warranty","Error")))</f>
        <v/>
      </c>
      <c r="I20" s="98">
        <f>IF(F20="Qty=",(E20*G20),((E20*(1-F20))*G20))</f>
        <v>0</v>
      </c>
      <c r="J20" s="98">
        <f>IF(H20="warranty",0,(I20*($J$1782)))</f>
        <v>0</v>
      </c>
      <c r="K20" s="831">
        <f t="shared" ref="K20" si="22">I20+J20</f>
        <v>0</v>
      </c>
      <c r="L20" s="831"/>
      <c r="M20" s="832" t="str">
        <f>IF($H$1784=0,"",IF(G20=0,"",IF(F20="Qty=",CONCATENATE("$",ROUND(K20*(1-$H$1784),2)," with ",($H$1784*100),"% discount"),CONCATENATE("$",ROUND(K20*(1-$H$1784),2)," with ",(($H$1784*100+F20*100)-($H$1784*100*F20)),IF(F20&gt;0,"% discounts",IF($H$1781&gt;0,"% discounts","% discount"))))))</f>
        <v/>
      </c>
      <c r="N20" s="832"/>
      <c r="O20" s="832"/>
      <c r="P20" s="832"/>
      <c r="Q20" s="832"/>
      <c r="R20" s="832"/>
      <c r="S20" s="303">
        <f>E20*G20</f>
        <v>0</v>
      </c>
      <c r="T20" s="541">
        <f>VLOOKUP(A20,'Discount Lookup'!D:E,2,FALSE)*G20</f>
        <v>0</v>
      </c>
      <c r="U20" s="83">
        <f>VLOOKUP(A20,'Discount Lookup'!G:H,2,FALSE)*G20</f>
        <v>0</v>
      </c>
      <c r="V20" s="100">
        <f>E20*($J$1782)*G20</f>
        <v>0</v>
      </c>
      <c r="W20" s="100">
        <f>I20</f>
        <v>0</v>
      </c>
      <c r="X20" s="100" t="b">
        <f>IF(G20&gt;0,IF(AD20="me","",G20))</f>
        <v>0</v>
      </c>
      <c r="Y20" s="201"/>
      <c r="Z20" s="829" t="str">
        <f>IF(G20=0,"",IF(AD20="me","",IF($AD$8="me","",IF(AD20="free","warranty",IF($AD$8="yes","NVP planting:","to NVP install:")))))</f>
        <v/>
      </c>
      <c r="AA20" s="829"/>
      <c r="AB20" s="830" t="str">
        <f>IF(G20=0,"",IF(AD20="free","re-planting",IF(AD20="me","not NVP, by",IF($AD$8="yes",(VLOOKUP(A20,'Discount Lookup'!J:K,2)*G20*(1-$AC$1786)*(1+$AC$1788)),IF(AD20="NVP",(VLOOKUP(A20,'Discount Lookup'!J:K,2)*G20*(1-$AC$1786)*(1+$AC$1788)),IF(AD20="free","re-planting",IF(G20=0,"",IF($AD$8="",IF(AD20="me","not NVP, by",IF(AD20="",IF(G20&gt;0,(VLOOKUP(A20,'Discount Lookup'!J:K,2)*G20*(1-$AC$1786)*(1+$AC$1788)),""),"")),"not NVP, by"))))))))</f>
        <v/>
      </c>
      <c r="AC20" s="830"/>
      <c r="AD20" s="375" t="str">
        <f t="shared" si="10"/>
        <v/>
      </c>
      <c r="AE20" s="833" t="str">
        <f>IF(G20&gt;0,(CONCATENATE((G20)," quantity, ",(A20)," ",B20)),"")</f>
        <v/>
      </c>
      <c r="AF20" s="833"/>
      <c r="AG20" s="833"/>
      <c r="AH20" s="91">
        <f>IF(AD20="free",0,IF(AD20="me",0,IF(G20&gt;0,(VLOOKUP(A20,'Discount Lookup'!J:K,2)*G20),0)))</f>
        <v>0</v>
      </c>
      <c r="AI20" s="92" t="str">
        <f t="shared" si="7"/>
        <v/>
      </c>
      <c r="AJ20" s="828" t="str">
        <f>IF(G20=0,"",IF(AD20="me","  delivery-only",IF($AD$8="me","  delivery-only",CONCATENATE(" $",ROUND(AI20/G20,2)," each"))))</f>
        <v/>
      </c>
      <c r="AK20" s="828"/>
      <c r="AL20" s="313" t="str">
        <f t="shared" si="1"/>
        <v/>
      </c>
      <c r="AM20" s="312"/>
      <c r="AN20" s="101"/>
      <c r="AO20" s="101"/>
      <c r="AP20" s="101"/>
      <c r="AQ20" s="101"/>
      <c r="AR20" s="101"/>
      <c r="AS20" s="101"/>
      <c r="AT20" s="101"/>
    </row>
    <row r="21" spans="1:46" ht="12.95" customHeight="1">
      <c r="A21" s="463"/>
      <c r="B21" s="103" t="s">
        <v>71</v>
      </c>
      <c r="D21" s="104"/>
      <c r="E21" s="105"/>
      <c r="F21" s="709"/>
      <c r="G21" s="358"/>
      <c r="H21" s="743"/>
      <c r="I21" s="106"/>
      <c r="J21" s="102"/>
      <c r="K21" s="607"/>
      <c r="L21" s="607"/>
      <c r="N21" s="429" t="s">
        <v>72</v>
      </c>
      <c r="O21" s="48"/>
      <c r="P21" s="111"/>
      <c r="Q21" s="111"/>
      <c r="R21" s="48"/>
      <c r="S21" s="82">
        <f>E21*G21</f>
        <v>0</v>
      </c>
      <c r="T21" s="540"/>
      <c r="U21" s="83">
        <f>I21</f>
        <v>0</v>
      </c>
      <c r="V21" s="100" t="b">
        <f>IF(G21&gt;0,IF(AD21="me","",G21))</f>
        <v>0</v>
      </c>
      <c r="W21" s="100"/>
      <c r="X21" s="100"/>
      <c r="Y21" s="201"/>
      <c r="Z21" s="829" t="str">
        <f t="shared" si="9"/>
        <v/>
      </c>
      <c r="AA21" s="829"/>
      <c r="AB21" s="830" t="str">
        <f>IF(G21=0,"",IF(AD21="free","re-planting",IF(AD21="me","not NVP, by",IF($AD$8="yes",(VLOOKUP(A21,'Discount Lookup'!J:K,2)*G21*(1-$AC$1786)*(1+$AC$1788)),IF(AD21="NVP",(VLOOKUP(A21,'Discount Lookup'!J:K,2)*G21*(1-$AC$1786)*(1+$AC$1788)),IF(AD21="free","re-planting",IF(G21=0,"",IF($AD$8="",IF(AD21="me","not NVP, by",IF(AD21="",IF(G21&gt;0,(VLOOKUP(A21,'Discount Lookup'!J:K,2)*G21*(1-$AC$1786)*(1+$AC$1788)),""),"")),"not NVP, by"))))))))</f>
        <v/>
      </c>
      <c r="AC21" s="830"/>
      <c r="AD21" s="375" t="str">
        <f t="shared" si="10"/>
        <v/>
      </c>
      <c r="AE21" s="833" t="str">
        <f t="shared" si="21"/>
        <v/>
      </c>
      <c r="AF21" s="833"/>
      <c r="AG21" s="833"/>
      <c r="AH21" s="91">
        <f>IF(AD21="free",0,IF(AD21="me",0,IF(G21&gt;0,(VLOOKUP(A21,'Discount Lookup'!J:K,2)*G21),0)))</f>
        <v>0</v>
      </c>
      <c r="AI21" s="92" t="str">
        <f t="shared" si="7"/>
        <v/>
      </c>
      <c r="AJ21" s="828" t="str">
        <f t="shared" si="11"/>
        <v/>
      </c>
      <c r="AK21" s="828"/>
      <c r="AL21" s="313" t="str">
        <f t="shared" si="1"/>
        <v/>
      </c>
      <c r="AM21" s="312"/>
      <c r="AN21" s="101"/>
      <c r="AO21" s="101"/>
      <c r="AP21" s="101"/>
      <c r="AQ21" s="101"/>
      <c r="AR21" s="101"/>
      <c r="AS21" s="101"/>
      <c r="AT21" s="101"/>
    </row>
    <row r="22" spans="1:46" ht="12.95" customHeight="1">
      <c r="A22" s="852" t="s">
        <v>73</v>
      </c>
      <c r="B22" s="844"/>
      <c r="C22" s="844"/>
      <c r="D22" s="844"/>
      <c r="E22" s="844"/>
      <c r="F22" s="844"/>
      <c r="G22" s="844"/>
      <c r="H22" s="770" t="s">
        <v>74</v>
      </c>
      <c r="I22" s="348" t="s">
        <v>44</v>
      </c>
      <c r="J22" s="602"/>
      <c r="K22" s="600" t="s">
        <v>45</v>
      </c>
      <c r="L22" s="604" t="s">
        <v>46</v>
      </c>
      <c r="M22" s="86"/>
      <c r="N22" s="87" t="s">
        <v>75</v>
      </c>
      <c r="O22" s="87"/>
      <c r="P22" s="87"/>
      <c r="Q22" s="87"/>
      <c r="R22" s="86"/>
      <c r="S22" s="109"/>
      <c r="T22" s="542"/>
      <c r="U22" s="112"/>
      <c r="V22" s="113"/>
      <c r="W22" s="113"/>
      <c r="X22" s="113"/>
      <c r="Y22" s="113"/>
      <c r="Z22" s="829" t="str">
        <f t="shared" si="9"/>
        <v/>
      </c>
      <c r="AA22" s="829"/>
      <c r="AB22" s="830" t="str">
        <f>IF(G22=0,"",IF(AD22="free","re-planting",IF(AD22="me","not NVP, by",IF($AD$8="yes",(VLOOKUP(A22,'Discount Lookup'!J:K,2)*G22*(1-$AC$1786)*(1+$AC$1788)),IF(AD22="NVP",(VLOOKUP(A22,'Discount Lookup'!J:K,2)*G22*(1-$AC$1786)*(1+$AC$1788)),IF(AD22="free","re-planting",IF(G22=0,"",IF($AD$8="",IF(AD22="me","not NVP, by",IF(AD22="",IF(G22&gt;0,(VLOOKUP(A22,'Discount Lookup'!J:K,2)*G22*(1-$AC$1786)*(1+$AC$1788)),""),"")),"not NVP, by"))))))))</f>
        <v/>
      </c>
      <c r="AC22" s="830"/>
      <c r="AD22" s="375" t="str">
        <f t="shared" si="10"/>
        <v/>
      </c>
      <c r="AE22" s="833" t="str">
        <f t="shared" si="21"/>
        <v/>
      </c>
      <c r="AF22" s="833"/>
      <c r="AG22" s="833"/>
      <c r="AH22" s="91">
        <f>IF(AD22="free",0,IF(AD22="me",0,IF(G22&gt;0,(VLOOKUP(A22,'Discount Lookup'!J:K,2)*G22),0)))</f>
        <v>0</v>
      </c>
      <c r="AI22" s="92" t="str">
        <f t="shared" si="7"/>
        <v/>
      </c>
      <c r="AJ22" s="828" t="str">
        <f t="shared" si="11"/>
        <v/>
      </c>
      <c r="AK22" s="828"/>
      <c r="AL22" s="313" t="str">
        <f t="shared" si="1"/>
        <v/>
      </c>
      <c r="AM22" s="312"/>
      <c r="AN22" s="101"/>
      <c r="AO22" s="101"/>
      <c r="AP22" s="101"/>
      <c r="AQ22" s="101"/>
      <c r="AR22" s="101"/>
      <c r="AS22" s="101"/>
      <c r="AT22" s="101"/>
    </row>
    <row r="23" spans="1:46" ht="12.95" customHeight="1">
      <c r="A23" s="420">
        <v>7</v>
      </c>
      <c r="B23" s="93" t="s">
        <v>50</v>
      </c>
      <c r="C23" s="94" t="s">
        <v>53</v>
      </c>
      <c r="D23" s="95" t="s">
        <v>54</v>
      </c>
      <c r="E23" s="96">
        <v>210.95</v>
      </c>
      <c r="F23" s="705" t="s">
        <v>1306</v>
      </c>
      <c r="G23" s="357">
        <v>0</v>
      </c>
      <c r="H23" s="704" t="str">
        <f t="shared" ref="H23" si="23">IF(G23=0,"",IF(F23="Qty=",IF(G23=1,"plant","plants"),IF(F23&gt;0.0001,"warranty","Error")))</f>
        <v/>
      </c>
      <c r="I23" s="98">
        <f t="shared" ref="I23" si="24">IF(F23="Qty=",(E23*G23),((E23*(1-F23))*G23))</f>
        <v>0</v>
      </c>
      <c r="J23" s="98">
        <f>IF(H23="warranty",0,(I23*($J$1782)))</f>
        <v>0</v>
      </c>
      <c r="K23" s="831">
        <f>I23+J23</f>
        <v>0</v>
      </c>
      <c r="L23" s="831"/>
      <c r="M23" s="832" t="str">
        <f>IF($H$1784=0,"",IF(G23=0,"",IF(F23="Qty=",CONCATENATE("$",ROUND(K23*(1-$H$1784),2)," with ",($H$1784*100),"% discount"),CONCATENATE("$",ROUND(K23*(1-$H$1784),2)," with ",(($H$1784*100+F23*100)-($H$1784*100*F23)),IF(F23&gt;0,"% discounts",IF($H$1781&gt;0,"% discounts","% discount"))))))</f>
        <v/>
      </c>
      <c r="N23" s="832"/>
      <c r="O23" s="832"/>
      <c r="P23" s="832"/>
      <c r="Q23" s="832"/>
      <c r="R23" s="832"/>
      <c r="S23" s="303">
        <f t="shared" ref="S23" si="25">E23*G23</f>
        <v>0</v>
      </c>
      <c r="T23" s="541">
        <f>VLOOKUP(A23,'Discount Lookup'!D:E,2,FALSE)*G23</f>
        <v>0</v>
      </c>
      <c r="U23" s="83">
        <f>VLOOKUP(A23,'Discount Lookup'!G:H,2,FALSE)*G23</f>
        <v>0</v>
      </c>
      <c r="V23" s="100">
        <f>E23*($J$1782)*G23</f>
        <v>0</v>
      </c>
      <c r="W23" s="100">
        <f t="shared" ref="W23" si="26">I23</f>
        <v>0</v>
      </c>
      <c r="X23" s="100" t="b">
        <f>IF(G23&gt;0,IF(AD23="me","",G23))</f>
        <v>0</v>
      </c>
      <c r="Y23" s="201"/>
      <c r="Z23" s="829" t="str">
        <f t="shared" si="9"/>
        <v/>
      </c>
      <c r="AA23" s="829"/>
      <c r="AB23" s="830" t="str">
        <f>IF(G23=0,"",IF(AD23="free","re-planting",IF(AD23="me","not NVP, by",IF($AD$8="yes",(VLOOKUP(A23,'Discount Lookup'!J:K,2)*G23*(1-$AC$1786)*(1+$AC$1788)),IF(AD23="NVP",(VLOOKUP(A23,'Discount Lookup'!J:K,2)*G23*(1-$AC$1786)*(1+$AC$1788)),IF(AD23="free","re-planting",IF(G23=0,"",IF($AD$8="",IF(AD23="me","not NVP, by",IF(AD23="",IF(G23&gt;0,(VLOOKUP(A23,'Discount Lookup'!J:K,2)*G23*(1-$AC$1786)*(1+$AC$1788)),""),"")),"not NVP, by"))))))))</f>
        <v/>
      </c>
      <c r="AC23" s="830"/>
      <c r="AD23" s="375" t="str">
        <f t="shared" si="10"/>
        <v/>
      </c>
      <c r="AE23" s="833" t="str">
        <f t="shared" si="21"/>
        <v/>
      </c>
      <c r="AF23" s="833"/>
      <c r="AG23" s="833"/>
      <c r="AH23" s="91">
        <f>IF(AD23="free",0,IF(AD23="me",0,IF(G23&gt;0,(VLOOKUP(A23,'Discount Lookup'!J:K,2)*G23),0)))</f>
        <v>0</v>
      </c>
      <c r="AI23" s="92" t="str">
        <f t="shared" si="7"/>
        <v/>
      </c>
      <c r="AJ23" s="828" t="str">
        <f t="shared" si="11"/>
        <v/>
      </c>
      <c r="AK23" s="828"/>
      <c r="AL23" s="313" t="str">
        <f t="shared" si="1"/>
        <v/>
      </c>
      <c r="AM23" s="312"/>
      <c r="AN23" s="101"/>
      <c r="AO23" s="101"/>
      <c r="AP23" s="101"/>
      <c r="AQ23" s="101"/>
      <c r="AR23" s="101"/>
      <c r="AS23" s="101"/>
      <c r="AT23" s="101"/>
    </row>
    <row r="24" spans="1:46" ht="12.95" customHeight="1">
      <c r="A24" s="463"/>
      <c r="B24" s="103" t="s">
        <v>76</v>
      </c>
      <c r="D24" s="104"/>
      <c r="E24" s="105"/>
      <c r="F24" s="709"/>
      <c r="G24" s="358"/>
      <c r="H24" s="743"/>
      <c r="I24" s="106"/>
      <c r="J24" s="102"/>
      <c r="K24" s="607"/>
      <c r="L24" s="607"/>
      <c r="O24" s="48"/>
      <c r="P24" s="111"/>
      <c r="Q24" s="111"/>
      <c r="R24" s="48"/>
      <c r="S24" s="82">
        <f>E24*G24</f>
        <v>0</v>
      </c>
      <c r="T24" s="540"/>
      <c r="U24" s="83">
        <f>I24</f>
        <v>0</v>
      </c>
      <c r="V24" s="100" t="b">
        <f>IF(G24&gt;0,IF(AD24="me","",G24))</f>
        <v>0</v>
      </c>
      <c r="W24" s="100"/>
      <c r="X24" s="100"/>
      <c r="Y24" s="201"/>
      <c r="Z24" s="829" t="str">
        <f t="shared" si="9"/>
        <v/>
      </c>
      <c r="AA24" s="829"/>
      <c r="AB24" s="830" t="str">
        <f>IF(G24=0,"",IF(AD24="free","re-planting",IF(AD24="me","not NVP, by",IF($AD$8="yes",(VLOOKUP(A24,'Discount Lookup'!J:K,2)*G24*(1-$AC$1786)*(1+$AC$1788)),IF(AD24="NVP",(VLOOKUP(A24,'Discount Lookup'!J:K,2)*G24*(1-$AC$1786)*(1+$AC$1788)),IF(AD24="free","re-planting",IF(G24=0,"",IF($AD$8="",IF(AD24="me","not NVP, by",IF(AD24="",IF(G24&gt;0,(VLOOKUP(A24,'Discount Lookup'!J:K,2)*G24*(1-$AC$1786)*(1+$AC$1788)),""),"")),"not NVP, by"))))))))</f>
        <v/>
      </c>
      <c r="AC24" s="830"/>
      <c r="AD24" s="375" t="str">
        <f t="shared" si="10"/>
        <v/>
      </c>
      <c r="AE24" s="833" t="str">
        <f t="shared" si="21"/>
        <v/>
      </c>
      <c r="AF24" s="833"/>
      <c r="AG24" s="833"/>
      <c r="AH24" s="91">
        <f>IF(AD24="free",0,IF(AD24="me",0,IF(G24&gt;0,(VLOOKUP(A24,'Discount Lookup'!J:K,2)*G24),0)))</f>
        <v>0</v>
      </c>
      <c r="AI24" s="92" t="str">
        <f t="shared" si="7"/>
        <v/>
      </c>
      <c r="AJ24" s="828" t="str">
        <f t="shared" si="11"/>
        <v/>
      </c>
      <c r="AK24" s="828"/>
      <c r="AL24" s="313" t="str">
        <f t="shared" si="1"/>
        <v/>
      </c>
      <c r="AM24" s="312"/>
      <c r="AN24" s="101"/>
      <c r="AO24" s="101"/>
      <c r="AP24" s="101"/>
      <c r="AQ24" s="101"/>
      <c r="AR24" s="101"/>
      <c r="AS24" s="101"/>
      <c r="AT24" s="101"/>
    </row>
    <row r="25" spans="1:46" ht="12.95" customHeight="1">
      <c r="A25" s="847" t="s">
        <v>77</v>
      </c>
      <c r="B25" s="848"/>
      <c r="C25" s="848"/>
      <c r="D25" s="848"/>
      <c r="E25" s="848"/>
      <c r="F25" s="848"/>
      <c r="G25" s="848"/>
      <c r="H25" s="770" t="s">
        <v>78</v>
      </c>
      <c r="I25" s="88" t="s">
        <v>79</v>
      </c>
      <c r="J25" s="86"/>
      <c r="K25" s="603" t="s">
        <v>45</v>
      </c>
      <c r="L25" s="601" t="s">
        <v>46</v>
      </c>
      <c r="M25" s="115"/>
      <c r="N25" s="87" t="s">
        <v>69</v>
      </c>
      <c r="O25" s="87"/>
      <c r="P25" s="87"/>
      <c r="Q25" s="87"/>
      <c r="R25" s="835" t="s">
        <v>49</v>
      </c>
      <c r="S25" s="835"/>
      <c r="T25" s="835"/>
      <c r="U25" s="835"/>
      <c r="V25" s="100" t="b">
        <f>IF(G25&gt;0,IF(AD25="me","",G25))</f>
        <v>0</v>
      </c>
      <c r="W25" s="100"/>
      <c r="X25" s="100"/>
      <c r="Y25" s="201"/>
      <c r="Z25" s="829" t="str">
        <f t="shared" si="9"/>
        <v/>
      </c>
      <c r="AA25" s="829"/>
      <c r="AB25" s="830" t="str">
        <f>IF(G25=0,"",IF(AD25="free","re-planting",IF(AD25="me","not NVP, by",IF($AD$8="yes",(VLOOKUP(A25,'Discount Lookup'!J:K,2)*G25*(1-$AC$1786)*(1+$AC$1788)),IF(AD25="NVP",(VLOOKUP(A25,'Discount Lookup'!J:K,2)*G25*(1-$AC$1786)*(1+$AC$1788)),IF(AD25="free","re-planting",IF(G25=0,"",IF($AD$8="",IF(AD25="me","not NVP, by",IF(AD25="",IF(G25&gt;0,(VLOOKUP(A25,'Discount Lookup'!J:K,2)*G25*(1-$AC$1786)*(1+$AC$1788)),""),"")),"not NVP, by"))))))))</f>
        <v/>
      </c>
      <c r="AC25" s="830"/>
      <c r="AD25" s="375" t="str">
        <f t="shared" si="10"/>
        <v/>
      </c>
      <c r="AE25" s="833" t="str">
        <f t="shared" si="21"/>
        <v/>
      </c>
      <c r="AF25" s="833"/>
      <c r="AG25" s="833"/>
      <c r="AH25" s="91">
        <f>IF(AD25="free",0,IF(AD25="me",0,IF(G25&gt;0,(VLOOKUP(A25,'Discount Lookup'!J:K,2)*G25),0)))</f>
        <v>0</v>
      </c>
      <c r="AI25" s="92" t="str">
        <f t="shared" si="7"/>
        <v/>
      </c>
      <c r="AJ25" s="828" t="str">
        <f t="shared" si="11"/>
        <v/>
      </c>
      <c r="AK25" s="828"/>
      <c r="AL25" s="313" t="str">
        <f t="shared" si="1"/>
        <v/>
      </c>
      <c r="AM25" s="312"/>
      <c r="AN25" s="101"/>
      <c r="AO25" s="101"/>
      <c r="AP25" s="101"/>
      <c r="AQ25" s="101"/>
      <c r="AR25" s="101"/>
      <c r="AS25" s="101"/>
      <c r="AT25" s="101"/>
    </row>
    <row r="26" spans="1:46" ht="12.95" customHeight="1">
      <c r="A26" s="420">
        <v>15</v>
      </c>
      <c r="B26" s="93" t="s">
        <v>50</v>
      </c>
      <c r="C26" s="94" t="s">
        <v>89</v>
      </c>
      <c r="D26" s="95" t="s">
        <v>54</v>
      </c>
      <c r="E26" s="96">
        <v>178.95</v>
      </c>
      <c r="F26" s="705" t="s">
        <v>1306</v>
      </c>
      <c r="G26" s="357">
        <v>0</v>
      </c>
      <c r="H26" s="704" t="str">
        <f t="shared" ref="H26" si="27">IF(G26=0,"",IF(F26="Qty=",IF(G26=1,"plant","plants"),IF(F26&gt;0.0001,"warranty","Error")))</f>
        <v/>
      </c>
      <c r="I26" s="98">
        <f t="shared" ref="I26" si="28">IF(F26="Qty=",(E26*G26),((E26*(1-F26))*G26))</f>
        <v>0</v>
      </c>
      <c r="J26" s="98">
        <f>IF(H26="warranty",0,(I26*($J$1782)))</f>
        <v>0</v>
      </c>
      <c r="K26" s="831">
        <f t="shared" ref="K26:K27" si="29">I26+J26</f>
        <v>0</v>
      </c>
      <c r="L26" s="831"/>
      <c r="M26" s="832" t="str">
        <f>IF($H$1784=0,"",IF(G26=0,"",IF(F26="Qty=",CONCATENATE("$",ROUND(K26*(1-$H$1784),2)," with ",($H$1784*100),"% discount"),CONCATENATE("$",ROUND(K26*(1-$H$1784),2)," with ",(($H$1784*100+F26*100)-($H$1784*100*F26)),IF(F26&gt;0,"% discounts",IF($H$1781&gt;0,"% discounts","% discount"))))))</f>
        <v/>
      </c>
      <c r="N26" s="832"/>
      <c r="O26" s="832"/>
      <c r="P26" s="832"/>
      <c r="Q26" s="832"/>
      <c r="R26" s="832"/>
      <c r="S26" s="303">
        <f t="shared" ref="S26" si="30">E26*G26</f>
        <v>0</v>
      </c>
      <c r="T26" s="541">
        <f>VLOOKUP(A26,'Discount Lookup'!D:E,2,FALSE)*G26</f>
        <v>0</v>
      </c>
      <c r="U26" s="83">
        <f>VLOOKUP(A26,'Discount Lookup'!G:H,2,FALSE)*G26</f>
        <v>0</v>
      </c>
      <c r="V26" s="100">
        <f>E26*($J$1782)*G26</f>
        <v>0</v>
      </c>
      <c r="W26" s="100">
        <f t="shared" ref="W26" si="31">I26</f>
        <v>0</v>
      </c>
      <c r="X26" s="100" t="b">
        <f t="shared" ref="X26" si="32">IF(G26&gt;0,IF(AD26="me","",G26))</f>
        <v>0</v>
      </c>
      <c r="Y26" s="201"/>
      <c r="Z26" s="829" t="str">
        <f t="shared" si="9"/>
        <v/>
      </c>
      <c r="AA26" s="829"/>
      <c r="AB26" s="830" t="str">
        <f>IF(G26=0,"",IF(AD26="free","re-planting",IF(AD26="me","not NVP, by",IF($AD$8="yes",(VLOOKUP(A26,'Discount Lookup'!J:K,2)*G26*(1-$AC$1786)*(1+$AC$1788)),IF(AD26="NVP",(VLOOKUP(A26,'Discount Lookup'!J:K,2)*G26*(1-$AC$1786)*(1+$AC$1788)),IF(AD26="free","re-planting",IF(G26=0,"",IF($AD$8="",IF(AD26="me","not NVP, by",IF(AD26="",IF(G26&gt;0,(VLOOKUP(A26,'Discount Lookup'!J:K,2)*G26*(1-$AC$1786)*(1+$AC$1788)),""),"")),"not NVP, by"))))))))</f>
        <v/>
      </c>
      <c r="AC26" s="830"/>
      <c r="AD26" s="375" t="str">
        <f t="shared" si="10"/>
        <v/>
      </c>
      <c r="AE26" s="833" t="str">
        <f t="shared" ref="AE26" si="33">IF(G26&gt;0,(CONCATENATE((G26)," quantity, ",(A26)," ",B26)),"")</f>
        <v/>
      </c>
      <c r="AF26" s="833"/>
      <c r="AG26" s="833"/>
      <c r="AH26" s="91">
        <f>IF(AD26="free",0,IF(AD26="me",0,IF(G26&gt;0,(VLOOKUP(A26,'Discount Lookup'!J:K,2)*G26),0)))</f>
        <v>0</v>
      </c>
      <c r="AI26" s="92" t="str">
        <f t="shared" si="7"/>
        <v/>
      </c>
      <c r="AJ26" s="828" t="str">
        <f t="shared" si="11"/>
        <v/>
      </c>
      <c r="AK26" s="828"/>
      <c r="AL26" s="313" t="str">
        <f t="shared" si="1"/>
        <v/>
      </c>
      <c r="AM26" s="312"/>
      <c r="AN26" s="101"/>
      <c r="AO26" s="101"/>
      <c r="AP26" s="101"/>
      <c r="AQ26" s="101"/>
      <c r="AR26" s="101"/>
      <c r="AS26" s="101"/>
      <c r="AT26" s="101"/>
    </row>
    <row r="27" spans="1:46" ht="12.95" customHeight="1">
      <c r="A27" s="420">
        <v>25</v>
      </c>
      <c r="B27" s="93" t="s">
        <v>50</v>
      </c>
      <c r="C27" s="94" t="s">
        <v>1409</v>
      </c>
      <c r="D27" s="95" t="s">
        <v>54</v>
      </c>
      <c r="E27" s="96">
        <v>357.95</v>
      </c>
      <c r="F27" s="705" t="s">
        <v>1306</v>
      </c>
      <c r="G27" s="357">
        <v>0</v>
      </c>
      <c r="H27" s="704" t="str">
        <f t="shared" ref="H27" si="34">IF(G27=0,"",IF(F27="Qty=",IF(G27=1,"plant","plants"),IF(F27&gt;0.0001,"warranty","Error")))</f>
        <v/>
      </c>
      <c r="I27" s="98">
        <f t="shared" ref="I27" si="35">IF(F27="Qty=",(E27*G27),((E27*(1-F27))*G27))</f>
        <v>0</v>
      </c>
      <c r="J27" s="98">
        <f>IF(H27="warranty",0,(I27*($J$1782)))</f>
        <v>0</v>
      </c>
      <c r="K27" s="831">
        <f t="shared" si="29"/>
        <v>0</v>
      </c>
      <c r="L27" s="831"/>
      <c r="M27" s="832" t="str">
        <f>IF($H$1784=0,"",IF(G27=0,"",IF(F27="Qty=",CONCATENATE("$",ROUND(K27*(1-$H$1784),2)," with ",($H$1784*100),"% discount"),CONCATENATE("$",ROUND(K27*(1-$H$1784),2)," with ",(($H$1784*100+F27*100)-($H$1784*100*F27)),IF(F27&gt;0,"% discounts",IF($H$1781&gt;0,"% discounts","% discount"))))))</f>
        <v/>
      </c>
      <c r="N27" s="832"/>
      <c r="O27" s="832"/>
      <c r="P27" s="832"/>
      <c r="Q27" s="832"/>
      <c r="R27" s="832"/>
      <c r="S27" s="303">
        <f t="shared" ref="S27" si="36">E27*G27</f>
        <v>0</v>
      </c>
      <c r="T27" s="541">
        <f>VLOOKUP(A27,'Discount Lookup'!D:E,2,FALSE)*G27</f>
        <v>0</v>
      </c>
      <c r="U27" s="83">
        <f>VLOOKUP(A27,'Discount Lookup'!G:H,2,FALSE)*G27</f>
        <v>0</v>
      </c>
      <c r="V27" s="100">
        <f>E27*($J$1782)*G27</f>
        <v>0</v>
      </c>
      <c r="W27" s="100">
        <f t="shared" ref="W27" si="37">I27</f>
        <v>0</v>
      </c>
      <c r="X27" s="100" t="b">
        <f t="shared" ref="X27" si="38">IF(G27&gt;0,IF(AD27="me","",G27))</f>
        <v>0</v>
      </c>
      <c r="Y27" s="201"/>
      <c r="Z27" s="829" t="str">
        <f t="shared" ref="Z27" si="39">IF(G27=0,"",IF(AD27="me","",IF($AD$8="me","",IF(AD27="free","warranty",IF($AD$8="yes","NVP planting:","to NVP install:")))))</f>
        <v/>
      </c>
      <c r="AA27" s="829"/>
      <c r="AB27" s="830" t="str">
        <f>IF(G27=0,"",IF(AD27="free","re-planting",IF(AD27="me","not NVP, by",IF($AD$8="yes",(VLOOKUP(A27,'Discount Lookup'!J:K,2)*G27*(1-$AC$1786)*(1+$AC$1788)),IF(AD27="NVP",(VLOOKUP(A27,'Discount Lookup'!J:K,2)*G27*(1-$AC$1786)*(1+$AC$1788)),IF(AD27="free","re-planting",IF(G27=0,"",IF($AD$8="",IF(AD27="me","not NVP, by",IF(AD27="",IF(G27&gt;0,(VLOOKUP(A27,'Discount Lookup'!J:K,2)*G27*(1-$AC$1786)*(1+$AC$1788)),""),"")),"not NVP, by"))))))))</f>
        <v/>
      </c>
      <c r="AC27" s="830"/>
      <c r="AD27" s="375" t="str">
        <f t="shared" si="10"/>
        <v/>
      </c>
      <c r="AE27" s="833" t="str">
        <f t="shared" ref="AE27" si="40">IF(G27&gt;0,(CONCATENATE((G27)," quantity, ",(A27)," ",B27)),"")</f>
        <v/>
      </c>
      <c r="AF27" s="833"/>
      <c r="AG27" s="833"/>
      <c r="AH27" s="91">
        <f>IF(AD27="free",0,IF(AD27="me",0,IF(G27&gt;0,(VLOOKUP(A27,'Discount Lookup'!J:K,2)*G27),0)))</f>
        <v>0</v>
      </c>
      <c r="AI27" s="92" t="str">
        <f t="shared" si="7"/>
        <v/>
      </c>
      <c r="AJ27" s="828" t="str">
        <f t="shared" ref="AJ27" si="41">IF(G27=0,"",IF(AD27="me","  delivery-only",IF($AD$8="me","  delivery-only",CONCATENATE(" $",ROUND(AI27/G27,2)," each"))))</f>
        <v/>
      </c>
      <c r="AK27" s="828"/>
      <c r="AL27" s="313" t="str">
        <f t="shared" si="1"/>
        <v/>
      </c>
      <c r="AM27" s="312"/>
      <c r="AN27" s="101"/>
      <c r="AO27" s="101"/>
      <c r="AP27" s="101"/>
      <c r="AQ27" s="101"/>
      <c r="AR27" s="101"/>
      <c r="AS27" s="101"/>
      <c r="AT27" s="101"/>
    </row>
    <row r="28" spans="1:46" ht="12.95" customHeight="1">
      <c r="A28" s="420">
        <v>30</v>
      </c>
      <c r="B28" s="93" t="s">
        <v>50</v>
      </c>
      <c r="C28" s="94" t="s">
        <v>91</v>
      </c>
      <c r="D28" s="95" t="s">
        <v>63</v>
      </c>
      <c r="E28" s="96">
        <v>359.95</v>
      </c>
      <c r="F28" s="705" t="s">
        <v>1306</v>
      </c>
      <c r="G28" s="357">
        <v>0</v>
      </c>
      <c r="H28" s="704" t="str">
        <f t="shared" ref="H28" si="42">IF(G28=0,"",IF(F28="Qty=",IF(G28=1,"plant","plants"),IF(F28&gt;0.0001,"warranty","Error")))</f>
        <v/>
      </c>
      <c r="I28" s="98">
        <f t="shared" ref="I28" si="43">IF(F28="Qty=",(E28*G28),((E28*(1-F28))*G28))</f>
        <v>0</v>
      </c>
      <c r="J28" s="98">
        <f>IF(H28="warranty",0,(I28*($J$1782)))</f>
        <v>0</v>
      </c>
      <c r="K28" s="831">
        <f t="shared" ref="K28" si="44">I28+J28</f>
        <v>0</v>
      </c>
      <c r="L28" s="831"/>
      <c r="M28" s="832" t="str">
        <f>IF($H$1784=0,"",IF(G28=0,"",IF(F28="Qty=",CONCATENATE("$",ROUND(K28*(1-$H$1784),2)," with ",($H$1784*100),"% discount"),CONCATENATE("$",ROUND(K28*(1-$H$1784),2)," with ",(($H$1784*100+F28*100)-($H$1784*100*F28)),IF(F28&gt;0,"% discounts",IF($H$1781&gt;0,"% discounts","% discount"))))))</f>
        <v/>
      </c>
      <c r="N28" s="832"/>
      <c r="O28" s="832"/>
      <c r="P28" s="832"/>
      <c r="Q28" s="832"/>
      <c r="R28" s="832"/>
      <c r="S28" s="303">
        <f t="shared" ref="S28" si="45">E28*G28</f>
        <v>0</v>
      </c>
      <c r="T28" s="541">
        <f>VLOOKUP(A28,'Discount Lookup'!D:E,2,FALSE)*G28</f>
        <v>0</v>
      </c>
      <c r="U28" s="83">
        <f>VLOOKUP(A28,'Discount Lookup'!G:H,2,FALSE)*G28</f>
        <v>0</v>
      </c>
      <c r="V28" s="100">
        <f>E28*($J$1782)*G28</f>
        <v>0</v>
      </c>
      <c r="W28" s="100">
        <f t="shared" ref="W28" si="46">I28</f>
        <v>0</v>
      </c>
      <c r="X28" s="100" t="b">
        <f t="shared" ref="X28" si="47">IF(G28&gt;0,IF(AD28="me","",G28))</f>
        <v>0</v>
      </c>
      <c r="Y28" s="201"/>
      <c r="Z28" s="829" t="str">
        <f t="shared" ref="Z28" si="48">IF(G28=0,"",IF(AD28="me","",IF($AD$8="me","",IF(AD28="free","warranty",IF($AD$8="yes","NVP planting:","to NVP install:")))))</f>
        <v/>
      </c>
      <c r="AA28" s="829"/>
      <c r="AB28" s="830" t="str">
        <f>IF(G28=0,"",IF(AD28="free","re-planting",IF(AD28="me","not NVP, by",IF($AD$8="yes",(VLOOKUP(A28,'Discount Lookup'!J:K,2)*G28*(1-$AC$1786)*(1+$AC$1788)),IF(AD28="NVP",(VLOOKUP(A28,'Discount Lookup'!J:K,2)*G28*(1-$AC$1786)*(1+$AC$1788)),IF(AD28="free","re-planting",IF(G28=0,"",IF($AD$8="",IF(AD28="me","not NVP, by",IF(AD28="",IF(G28&gt;0,(VLOOKUP(A28,'Discount Lookup'!J:K,2)*G28*(1-$AC$1786)*(1+$AC$1788)),""),"")),"not NVP, by"))))))))</f>
        <v/>
      </c>
      <c r="AC28" s="830"/>
      <c r="AD28" s="375" t="str">
        <f t="shared" ref="AD28" si="49">IF(G28=0,"",IF($AD$8="me","me",IF(H28="warranty","free",IF($AD$8="yes","NVP",""))))</f>
        <v/>
      </c>
      <c r="AE28" s="833" t="str">
        <f t="shared" ref="AE28" si="50">IF(G28&gt;0,(CONCATENATE((G28)," quantity, ",(A28)," ",B28)),"")</f>
        <v/>
      </c>
      <c r="AF28" s="833"/>
      <c r="AG28" s="833"/>
      <c r="AH28" s="91">
        <f>IF(AD28="free",0,IF(AD28="me",0,IF(G28&gt;0,(VLOOKUP(A28,'Discount Lookup'!J:K,2)*G28),0)))</f>
        <v>0</v>
      </c>
      <c r="AI28" s="92" t="str">
        <f t="shared" si="7"/>
        <v/>
      </c>
      <c r="AJ28" s="828" t="str">
        <f t="shared" ref="AJ28" si="51">IF(G28=0,"",IF(AD28="me","  delivery-only",IF($AD$8="me","  delivery-only",CONCATENATE(" $",ROUND(AI28/G28,2)," each"))))</f>
        <v/>
      </c>
      <c r="AK28" s="828"/>
      <c r="AL28" s="313" t="str">
        <f t="shared" si="1"/>
        <v/>
      </c>
      <c r="AM28" s="312"/>
      <c r="AN28" s="101"/>
      <c r="AO28" s="101"/>
      <c r="AP28" s="101"/>
      <c r="AQ28" s="101"/>
      <c r="AR28" s="101"/>
      <c r="AS28" s="101"/>
      <c r="AT28" s="101"/>
    </row>
    <row r="29" spans="1:46" ht="12.95" customHeight="1">
      <c r="A29" s="463"/>
      <c r="B29" s="116" t="s">
        <v>81</v>
      </c>
      <c r="C29" s="117"/>
      <c r="D29" s="118"/>
      <c r="E29" s="119"/>
      <c r="F29" s="711"/>
      <c r="G29" s="356"/>
      <c r="H29" s="745"/>
      <c r="I29" s="119"/>
      <c r="J29" s="119"/>
      <c r="K29" s="609"/>
      <c r="L29" s="609"/>
      <c r="M29" s="121"/>
      <c r="N29" s="122" t="s">
        <v>82</v>
      </c>
      <c r="O29" s="123"/>
      <c r="P29" s="124"/>
      <c r="Q29" s="124"/>
      <c r="R29" s="83"/>
      <c r="S29" s="82"/>
      <c r="T29" s="540"/>
      <c r="U29" s="83">
        <f>I29</f>
        <v>0</v>
      </c>
      <c r="V29" s="100" t="b">
        <f>IF(G29&gt;0,IF(AD29="me","",G29))</f>
        <v>0</v>
      </c>
      <c r="W29" s="100"/>
      <c r="X29" s="100"/>
      <c r="Y29" s="201"/>
      <c r="Z29" s="829" t="str">
        <f t="shared" si="9"/>
        <v/>
      </c>
      <c r="AA29" s="829"/>
      <c r="AB29" s="830" t="str">
        <f>IF(G29=0,"",IF(AD29="free","re-planting",IF(AD29="me","not NVP, by",IF($AD$8="yes",(VLOOKUP(A29,'Discount Lookup'!J:K,2)*G29*(1-$AC$1786)*(1+$AC$1788)),IF(AD29="NVP",(VLOOKUP(A29,'Discount Lookup'!J:K,2)*G29*(1-$AC$1786)*(1+$AC$1788)),IF(AD29="free","re-planting",IF(G29=0,"",IF($AD$8="",IF(AD29="me","not NVP, by",IF(AD29="",IF(G29&gt;0,(VLOOKUP(A29,'Discount Lookup'!J:K,2)*G29*(1-$AC$1786)*(1+$AC$1788)),""),"")),"not NVP, by"))))))))</f>
        <v/>
      </c>
      <c r="AC29" s="830"/>
      <c r="AD29" s="375" t="str">
        <f t="shared" si="10"/>
        <v/>
      </c>
      <c r="AE29" s="833" t="str">
        <f t="shared" si="21"/>
        <v/>
      </c>
      <c r="AF29" s="833"/>
      <c r="AG29" s="833"/>
      <c r="AH29" s="91">
        <f>IF(AD29="free",0,IF(AD29="me",0,IF(G29&gt;0,(VLOOKUP(A29,'Discount Lookup'!J:K,2)*G29),0)))</f>
        <v>0</v>
      </c>
      <c r="AI29" s="92" t="str">
        <f t="shared" si="7"/>
        <v/>
      </c>
      <c r="AJ29" s="828" t="str">
        <f t="shared" si="11"/>
        <v/>
      </c>
      <c r="AK29" s="828"/>
      <c r="AL29" s="313" t="str">
        <f t="shared" si="1"/>
        <v/>
      </c>
      <c r="AM29" s="312"/>
      <c r="AN29" s="101"/>
      <c r="AO29" s="101"/>
      <c r="AP29" s="101"/>
      <c r="AQ29" s="101"/>
      <c r="AR29" s="101"/>
      <c r="AS29" s="101"/>
      <c r="AT29" s="101"/>
    </row>
    <row r="30" spans="1:46" ht="12.95" customHeight="1">
      <c r="A30" s="852" t="s">
        <v>83</v>
      </c>
      <c r="B30" s="844"/>
      <c r="C30" s="844"/>
      <c r="D30" s="844"/>
      <c r="E30" s="844"/>
      <c r="F30" s="844"/>
      <c r="G30" s="844"/>
      <c r="H30" s="770" t="s">
        <v>84</v>
      </c>
      <c r="I30" s="348" t="s">
        <v>44</v>
      </c>
      <c r="J30" s="93"/>
      <c r="K30" s="603" t="s">
        <v>45</v>
      </c>
      <c r="L30" s="601" t="s">
        <v>46</v>
      </c>
      <c r="M30" s="115"/>
      <c r="N30" s="87" t="s">
        <v>75</v>
      </c>
      <c r="O30" s="87"/>
      <c r="P30" s="87"/>
      <c r="Q30" s="87"/>
      <c r="R30" s="88"/>
      <c r="S30" s="125"/>
      <c r="T30" s="543"/>
      <c r="U30" s="112"/>
      <c r="V30" s="100" t="b">
        <f>IF(G30&gt;0,IF(AD30="me","",G30))</f>
        <v>0</v>
      </c>
      <c r="W30" s="100"/>
      <c r="X30" s="100"/>
      <c r="Y30" s="201"/>
      <c r="Z30" s="829" t="str">
        <f t="shared" si="9"/>
        <v/>
      </c>
      <c r="AA30" s="829"/>
      <c r="AB30" s="830" t="str">
        <f>IF(G30=0,"",IF(AD30="free","re-planting",IF(AD30="me","not NVP, by",IF($AD$8="yes",(VLOOKUP(A30,'Discount Lookup'!J:K,2)*G30*(1-$AC$1786)*(1+$AC$1788)),IF(AD30="NVP",(VLOOKUP(A30,'Discount Lookup'!J:K,2)*G30*(1-$AC$1786)*(1+$AC$1788)),IF(AD30="free","re-planting",IF(G30=0,"",IF($AD$8="",IF(AD30="me","not NVP, by",IF(AD30="",IF(G30&gt;0,(VLOOKUP(A30,'Discount Lookup'!J:K,2)*G30*(1-$AC$1786)*(1+$AC$1788)),""),"")),"not NVP, by"))))))))</f>
        <v/>
      </c>
      <c r="AC30" s="830"/>
      <c r="AD30" s="375" t="str">
        <f t="shared" si="10"/>
        <v/>
      </c>
      <c r="AE30" s="833" t="str">
        <f t="shared" si="21"/>
        <v/>
      </c>
      <c r="AF30" s="833"/>
      <c r="AG30" s="833"/>
      <c r="AH30" s="91">
        <f>IF(AD30="free",0,IF(AD30="me",0,IF(G30&gt;0,(VLOOKUP(A30,'Discount Lookup'!J:K,2)*G30),0)))</f>
        <v>0</v>
      </c>
      <c r="AI30" s="92" t="str">
        <f t="shared" si="7"/>
        <v/>
      </c>
      <c r="AJ30" s="828" t="str">
        <f t="shared" si="11"/>
        <v/>
      </c>
      <c r="AK30" s="828"/>
      <c r="AL30" s="313" t="str">
        <f t="shared" si="1"/>
        <v/>
      </c>
      <c r="AM30" s="312"/>
      <c r="AN30" s="101"/>
      <c r="AO30" s="101"/>
      <c r="AP30" s="101"/>
      <c r="AQ30" s="101"/>
      <c r="AR30" s="101"/>
      <c r="AS30" s="101"/>
      <c r="AT30" s="101"/>
    </row>
    <row r="31" spans="1:46" ht="12.95" customHeight="1">
      <c r="A31" s="420">
        <v>3</v>
      </c>
      <c r="B31" s="93" t="s">
        <v>50</v>
      </c>
      <c r="C31" s="399" t="s">
        <v>88</v>
      </c>
      <c r="D31" s="95" t="s">
        <v>87</v>
      </c>
      <c r="E31" s="96">
        <v>30.95</v>
      </c>
      <c r="F31" s="705" t="s">
        <v>1306</v>
      </c>
      <c r="G31" s="357">
        <v>0</v>
      </c>
      <c r="H31" s="704" t="str">
        <f t="shared" ref="H31:H37" si="52">IF(G31=0,"",IF(F31="Qty=",IF(G31=1,"plant","plants"),IF(F31&gt;0.0001,"warranty","Error")))</f>
        <v/>
      </c>
      <c r="I31" s="98">
        <f t="shared" ref="I31:I37" si="53">IF(F31="Qty=",(E31*G31),((E31*(1-F31))*G31))</f>
        <v>0</v>
      </c>
      <c r="J31" s="98">
        <f t="shared" ref="J31:J38" si="54">IF(H31="warranty",0,(I31*($J$1782)))</f>
        <v>0</v>
      </c>
      <c r="K31" s="831">
        <f t="shared" ref="K31:K38" si="55">I31+J31</f>
        <v>0</v>
      </c>
      <c r="L31" s="831"/>
      <c r="M31" s="832" t="str">
        <f t="shared" ref="M31:M38" si="56">IF($H$1784=0,"",IF(G31=0,"",IF(F31="Qty=",CONCATENATE("$",ROUND(K31*(1-$H$1784),2)," with ",($H$1784*100),"% discount"),CONCATENATE("$",ROUND(K31*(1-$H$1784),2)," with ",(($H$1784*100+F31*100)-($H$1784*100*F31)),IF(F31&gt;0,"% discounts",IF($H$1781&gt;0,"% discounts","% discount"))))))</f>
        <v/>
      </c>
      <c r="N31" s="832"/>
      <c r="O31" s="832"/>
      <c r="P31" s="832"/>
      <c r="Q31" s="832"/>
      <c r="R31" s="832"/>
      <c r="S31" s="303">
        <f t="shared" ref="S31" si="57">E31*G31</f>
        <v>0</v>
      </c>
      <c r="T31" s="541">
        <f>VLOOKUP(A31,'Discount Lookup'!D:E,2,FALSE)*G31</f>
        <v>0</v>
      </c>
      <c r="U31" s="83">
        <f>VLOOKUP(A31,'Discount Lookup'!G:H,2,FALSE)*G31</f>
        <v>0</v>
      </c>
      <c r="V31" s="100">
        <f t="shared" ref="V31:V38" si="58">E31*($J$1782)*G31</f>
        <v>0</v>
      </c>
      <c r="W31" s="100">
        <f t="shared" ref="W31" si="59">I31</f>
        <v>0</v>
      </c>
      <c r="X31" s="100" t="b">
        <f t="shared" ref="X31" si="60">IF(G31&gt;0,IF(AD31="me","",G31))</f>
        <v>0</v>
      </c>
      <c r="Y31" s="201"/>
      <c r="Z31" s="829" t="str">
        <f t="shared" si="9"/>
        <v/>
      </c>
      <c r="AA31" s="829"/>
      <c r="AB31" s="830" t="str">
        <f>IF(G31=0,"",IF(AD31="free","re-planting",IF(AD31="me","not NVP, by",IF($AD$8="yes",(VLOOKUP(A31,'Discount Lookup'!J:K,2)*G31*(1-$AC$1786)*(1+$AC$1788)),IF(AD31="NVP",(VLOOKUP(A31,'Discount Lookup'!J:K,2)*G31*(1-$AC$1786)*(1+$AC$1788)),IF(AD31="free","re-planting",IF(G31=0,"",IF($AD$8="",IF(AD31="me","not NVP, by",IF(AD31="",IF(G31&gt;0,(VLOOKUP(A31,'Discount Lookup'!J:K,2)*G31*(1-$AC$1786)*(1+$AC$1788)),""),"")),"not NVP, by"))))))))</f>
        <v/>
      </c>
      <c r="AC31" s="830"/>
      <c r="AD31" s="375" t="str">
        <f t="shared" si="10"/>
        <v/>
      </c>
      <c r="AE31" s="833" t="str">
        <f t="shared" si="21"/>
        <v/>
      </c>
      <c r="AF31" s="833"/>
      <c r="AG31" s="833"/>
      <c r="AH31" s="91">
        <f>IF(AD31="free",0,IF(AD31="me",0,IF(G31&gt;0,(VLOOKUP(A31,'Discount Lookup'!J:K,2)*G31),0)))</f>
        <v>0</v>
      </c>
      <c r="AI31" s="92" t="str">
        <f t="shared" si="7"/>
        <v/>
      </c>
      <c r="AJ31" s="828" t="str">
        <f t="shared" si="11"/>
        <v/>
      </c>
      <c r="AK31" s="828"/>
      <c r="AL31" s="313" t="str">
        <f t="shared" si="1"/>
        <v/>
      </c>
      <c r="AM31" s="312"/>
      <c r="AN31" s="101"/>
      <c r="AO31" s="101"/>
      <c r="AP31" s="101"/>
      <c r="AQ31" s="101"/>
      <c r="AR31" s="101"/>
      <c r="AS31" s="101"/>
      <c r="AT31" s="101"/>
    </row>
    <row r="32" spans="1:46" ht="12.95" customHeight="1">
      <c r="A32" s="420">
        <v>7</v>
      </c>
      <c r="B32" s="93" t="s">
        <v>50</v>
      </c>
      <c r="C32" s="94" t="s">
        <v>70</v>
      </c>
      <c r="D32" s="95" t="s">
        <v>54</v>
      </c>
      <c r="E32" s="96">
        <v>72.95</v>
      </c>
      <c r="F32" s="705" t="s">
        <v>1306</v>
      </c>
      <c r="G32" s="357">
        <v>0</v>
      </c>
      <c r="H32" s="704" t="str">
        <f t="shared" si="52"/>
        <v/>
      </c>
      <c r="I32" s="98">
        <f t="shared" si="53"/>
        <v>0</v>
      </c>
      <c r="J32" s="98">
        <f t="shared" si="54"/>
        <v>0</v>
      </c>
      <c r="K32" s="831">
        <f t="shared" si="55"/>
        <v>0</v>
      </c>
      <c r="L32" s="831"/>
      <c r="M32" s="832" t="str">
        <f t="shared" si="56"/>
        <v/>
      </c>
      <c r="N32" s="832"/>
      <c r="O32" s="832"/>
      <c r="P32" s="832"/>
      <c r="Q32" s="832"/>
      <c r="R32" s="832"/>
      <c r="S32" s="303">
        <f>E32*G32</f>
        <v>0</v>
      </c>
      <c r="T32" s="541">
        <f>VLOOKUP(A32,'Discount Lookup'!D:E,2,FALSE)*G32</f>
        <v>0</v>
      </c>
      <c r="U32" s="83">
        <f>VLOOKUP(A32,'Discount Lookup'!G:H,2,FALSE)*G32</f>
        <v>0</v>
      </c>
      <c r="V32" s="100">
        <f t="shared" si="58"/>
        <v>0</v>
      </c>
      <c r="W32" s="100">
        <f t="shared" ref="W32" si="61">I32</f>
        <v>0</v>
      </c>
      <c r="X32" s="100" t="b">
        <f t="shared" ref="X32" si="62">IF(G32&gt;0,IF(AD32="me","",G32))</f>
        <v>0</v>
      </c>
      <c r="Y32" s="201"/>
      <c r="Z32" s="829" t="str">
        <f t="shared" si="9"/>
        <v/>
      </c>
      <c r="AA32" s="829"/>
      <c r="AB32" s="830" t="str">
        <f>IF(G32=0,"",IF(AD32="free","re-planting",IF(AD32="me","not NVP, by",IF($AD$8="yes",(VLOOKUP(A32,'Discount Lookup'!J:K,2)*G32*(1-$AC$1786)*(1+$AC$1788)),IF(AD32="NVP",(VLOOKUP(A32,'Discount Lookup'!J:K,2)*G32*(1-$AC$1786)*(1+$AC$1788)),IF(AD32="free","re-planting",IF(G32=0,"",IF($AD$8="",IF(AD32="me","not NVP, by",IF(AD32="",IF(G32&gt;0,(VLOOKUP(A32,'Discount Lookup'!J:K,2)*G32*(1-$AC$1786)*(1+$AC$1788)),""),"")),"not NVP, by"))))))))</f>
        <v/>
      </c>
      <c r="AC32" s="830"/>
      <c r="AD32" s="375" t="str">
        <f t="shared" si="10"/>
        <v/>
      </c>
      <c r="AE32" s="833" t="str">
        <f t="shared" si="21"/>
        <v/>
      </c>
      <c r="AF32" s="833"/>
      <c r="AG32" s="833"/>
      <c r="AH32" s="91">
        <f>IF(AD32="free",0,IF(AD32="me",0,IF(G32&gt;0,(VLOOKUP(A32,'Discount Lookup'!J:K,2)*G32),0)))</f>
        <v>0</v>
      </c>
      <c r="AI32" s="92" t="str">
        <f t="shared" si="7"/>
        <v/>
      </c>
      <c r="AJ32" s="828" t="str">
        <f t="shared" si="11"/>
        <v/>
      </c>
      <c r="AK32" s="828"/>
      <c r="AL32" s="313" t="str">
        <f t="shared" si="1"/>
        <v/>
      </c>
      <c r="AM32" s="312"/>
      <c r="AN32" s="101"/>
      <c r="AO32" s="101"/>
      <c r="AP32" s="101"/>
      <c r="AQ32" s="101"/>
      <c r="AR32" s="101"/>
      <c r="AS32" s="101"/>
      <c r="AT32" s="101"/>
    </row>
    <row r="33" spans="1:46" ht="12.95" customHeight="1">
      <c r="A33" s="420">
        <v>15</v>
      </c>
      <c r="B33" s="93" t="s">
        <v>50</v>
      </c>
      <c r="C33" s="94" t="s">
        <v>211</v>
      </c>
      <c r="D33" s="95" t="s">
        <v>54</v>
      </c>
      <c r="E33" s="96">
        <v>169.95</v>
      </c>
      <c r="F33" s="705" t="s">
        <v>1306</v>
      </c>
      <c r="G33" s="357">
        <v>0</v>
      </c>
      <c r="H33" s="704" t="str">
        <f t="shared" si="52"/>
        <v/>
      </c>
      <c r="I33" s="98">
        <f t="shared" si="53"/>
        <v>0</v>
      </c>
      <c r="J33" s="98">
        <f t="shared" si="54"/>
        <v>0</v>
      </c>
      <c r="K33" s="831">
        <f t="shared" si="55"/>
        <v>0</v>
      </c>
      <c r="L33" s="831"/>
      <c r="M33" s="832" t="str">
        <f t="shared" si="56"/>
        <v/>
      </c>
      <c r="N33" s="832"/>
      <c r="O33" s="832"/>
      <c r="P33" s="832"/>
      <c r="Q33" s="832"/>
      <c r="R33" s="832"/>
      <c r="S33" s="303">
        <f t="shared" ref="S33:S35" si="63">E33*G33</f>
        <v>0</v>
      </c>
      <c r="T33" s="541">
        <f>VLOOKUP(A33,'Discount Lookup'!D:E,2,FALSE)*G33</f>
        <v>0</v>
      </c>
      <c r="U33" s="83">
        <f>VLOOKUP(A33,'Discount Lookup'!G:H,2,FALSE)*G33</f>
        <v>0</v>
      </c>
      <c r="V33" s="100">
        <f t="shared" si="58"/>
        <v>0</v>
      </c>
      <c r="W33" s="100">
        <f t="shared" ref="W33:W35" si="64">I33</f>
        <v>0</v>
      </c>
      <c r="X33" s="100" t="b">
        <f t="shared" ref="X33:X35" si="65">IF(G33&gt;0,IF(AD33="me","",G33))</f>
        <v>0</v>
      </c>
      <c r="Y33" s="201"/>
      <c r="Z33" s="829" t="str">
        <f t="shared" si="9"/>
        <v/>
      </c>
      <c r="AA33" s="829"/>
      <c r="AB33" s="830" t="str">
        <f>IF(G33=0,"",IF(AD33="free","re-planting",IF(AD33="me","not NVP, by",IF($AD$8="yes",(VLOOKUP(A33,'Discount Lookup'!J:K,2)*G33*(1-$AC$1786)*(1+$AC$1788)),IF(AD33="NVP",(VLOOKUP(A33,'Discount Lookup'!J:K,2)*G33*(1-$AC$1786)*(1+$AC$1788)),IF(AD33="free","re-planting",IF(G33=0,"",IF($AD$8="",IF(AD33="me","not NVP, by",IF(AD33="",IF(G33&gt;0,(VLOOKUP(A33,'Discount Lookup'!J:K,2)*G33*(1-$AC$1786)*(1+$AC$1788)),""),"")),"not NVP, by"))))))))</f>
        <v/>
      </c>
      <c r="AC33" s="830"/>
      <c r="AD33" s="375" t="str">
        <f t="shared" si="10"/>
        <v/>
      </c>
      <c r="AE33" s="833" t="str">
        <f t="shared" ref="AE33:AE35" si="66">IF(G33&gt;0,(CONCATENATE((G33)," quantity, ",(A33)," ",B33)),"")</f>
        <v/>
      </c>
      <c r="AF33" s="833"/>
      <c r="AG33" s="833"/>
      <c r="AH33" s="91">
        <f>IF(AD33="free",0,IF(AD33="me",0,IF(G33&gt;0,(VLOOKUP(A33,'Discount Lookup'!J:K,2)*G33),0)))</f>
        <v>0</v>
      </c>
      <c r="AI33" s="92" t="str">
        <f t="shared" si="7"/>
        <v/>
      </c>
      <c r="AJ33" s="828" t="str">
        <f t="shared" si="11"/>
        <v/>
      </c>
      <c r="AK33" s="828"/>
      <c r="AL33" s="313" t="str">
        <f t="shared" si="1"/>
        <v/>
      </c>
      <c r="AM33" s="312"/>
      <c r="AN33" s="101"/>
      <c r="AO33" s="101"/>
      <c r="AP33" s="101"/>
      <c r="AQ33" s="101"/>
      <c r="AR33" s="101"/>
      <c r="AS33" s="101"/>
      <c r="AT33" s="101"/>
    </row>
    <row r="34" spans="1:46" ht="12.95" customHeight="1">
      <c r="A34" s="420">
        <v>15</v>
      </c>
      <c r="B34" s="93" t="s">
        <v>50</v>
      </c>
      <c r="C34" s="94" t="s">
        <v>53</v>
      </c>
      <c r="D34" s="95" t="s">
        <v>63</v>
      </c>
      <c r="E34" s="96">
        <v>165.95</v>
      </c>
      <c r="F34" s="705" t="s">
        <v>1306</v>
      </c>
      <c r="G34" s="357">
        <v>0</v>
      </c>
      <c r="H34" s="704" t="str">
        <f t="shared" ref="H34" si="67">IF(G34=0,"",IF(F34="Qty=",IF(G34=1,"plant","plants"),IF(F34&gt;0.0001,"warranty","Error")))</f>
        <v/>
      </c>
      <c r="I34" s="98">
        <f t="shared" ref="I34" si="68">IF(F34="Qty=",(E34*G34),((E34*(1-F34))*G34))</f>
        <v>0</v>
      </c>
      <c r="J34" s="98">
        <f t="shared" si="54"/>
        <v>0</v>
      </c>
      <c r="K34" s="831">
        <f t="shared" si="55"/>
        <v>0</v>
      </c>
      <c r="L34" s="831"/>
      <c r="M34" s="832" t="str">
        <f t="shared" si="56"/>
        <v/>
      </c>
      <c r="N34" s="832"/>
      <c r="O34" s="832"/>
      <c r="P34" s="832"/>
      <c r="Q34" s="832"/>
      <c r="R34" s="832"/>
      <c r="S34" s="303">
        <f t="shared" ref="S34" si="69">E34*G34</f>
        <v>0</v>
      </c>
      <c r="T34" s="541">
        <f>VLOOKUP(A34,'Discount Lookup'!D:E,2,FALSE)*G34</f>
        <v>0</v>
      </c>
      <c r="U34" s="83">
        <f>VLOOKUP(A34,'Discount Lookup'!G:H,2,FALSE)*G34</f>
        <v>0</v>
      </c>
      <c r="V34" s="100">
        <f t="shared" si="58"/>
        <v>0</v>
      </c>
      <c r="W34" s="100">
        <f t="shared" ref="W34" si="70">I34</f>
        <v>0</v>
      </c>
      <c r="X34" s="100" t="b">
        <f t="shared" ref="X34" si="71">IF(G34&gt;0,IF(AD34="me","",G34))</f>
        <v>0</v>
      </c>
      <c r="Y34" s="201"/>
      <c r="Z34" s="829" t="str">
        <f t="shared" ref="Z34" si="72">IF(G34=0,"",IF(AD34="me","",IF($AD$8="me","",IF(AD34="free","warranty",IF($AD$8="yes","NVP planting:","to NVP install:")))))</f>
        <v/>
      </c>
      <c r="AA34" s="829"/>
      <c r="AB34" s="830" t="str">
        <f>IF(G34=0,"",IF(AD34="free","re-planting",IF(AD34="me","not NVP, by",IF($AD$8="yes",(VLOOKUP(A34,'Discount Lookup'!J:K,2)*G34*(1-$AC$1786)*(1+$AC$1788)),IF(AD34="NVP",(VLOOKUP(A34,'Discount Lookup'!J:K,2)*G34*(1-$AC$1786)*(1+$AC$1788)),IF(AD34="free","re-planting",IF(G34=0,"",IF($AD$8="",IF(AD34="me","not NVP, by",IF(AD34="",IF(G34&gt;0,(VLOOKUP(A34,'Discount Lookup'!J:K,2)*G34*(1-$AC$1786)*(1+$AC$1788)),""),"")),"not NVP, by"))))))))</f>
        <v/>
      </c>
      <c r="AC34" s="830"/>
      <c r="AD34" s="375" t="str">
        <f t="shared" si="10"/>
        <v/>
      </c>
      <c r="AE34" s="833" t="str">
        <f t="shared" ref="AE34" si="73">IF(G34&gt;0,(CONCATENATE((G34)," quantity, ",(A34)," ",B34)),"")</f>
        <v/>
      </c>
      <c r="AF34" s="833"/>
      <c r="AG34" s="833"/>
      <c r="AH34" s="91">
        <f>IF(AD34="free",0,IF(AD34="me",0,IF(G34&gt;0,(VLOOKUP(A34,'Discount Lookup'!J:K,2)*G34),0)))</f>
        <v>0</v>
      </c>
      <c r="AI34" s="92" t="str">
        <f t="shared" si="7"/>
        <v/>
      </c>
      <c r="AJ34" s="828" t="str">
        <f t="shared" ref="AJ34" si="74">IF(G34=0,"",IF(AD34="me","  delivery-only",IF($AD$8="me","  delivery-only",CONCATENATE(" $",ROUND(AI34/G34,2)," each"))))</f>
        <v/>
      </c>
      <c r="AK34" s="828"/>
      <c r="AL34" s="313" t="str">
        <f t="shared" si="1"/>
        <v/>
      </c>
      <c r="AM34" s="312"/>
      <c r="AN34" s="101"/>
      <c r="AO34" s="101"/>
      <c r="AP34" s="101"/>
      <c r="AQ34" s="101"/>
      <c r="AR34" s="101"/>
      <c r="AS34" s="101"/>
      <c r="AT34" s="101"/>
    </row>
    <row r="35" spans="1:46" ht="12.95" customHeight="1">
      <c r="A35" s="420">
        <v>25</v>
      </c>
      <c r="B35" s="93" t="s">
        <v>50</v>
      </c>
      <c r="C35" s="94" t="s">
        <v>91</v>
      </c>
      <c r="D35" s="95" t="s">
        <v>62</v>
      </c>
      <c r="E35" s="96">
        <v>249.95</v>
      </c>
      <c r="F35" s="705" t="s">
        <v>1306</v>
      </c>
      <c r="G35" s="357">
        <v>0</v>
      </c>
      <c r="H35" s="704" t="str">
        <f t="shared" si="52"/>
        <v/>
      </c>
      <c r="I35" s="98">
        <f t="shared" si="53"/>
        <v>0</v>
      </c>
      <c r="J35" s="98">
        <f t="shared" si="54"/>
        <v>0</v>
      </c>
      <c r="K35" s="831">
        <f t="shared" si="55"/>
        <v>0</v>
      </c>
      <c r="L35" s="831"/>
      <c r="M35" s="832" t="str">
        <f t="shared" si="56"/>
        <v/>
      </c>
      <c r="N35" s="832"/>
      <c r="O35" s="832"/>
      <c r="P35" s="832"/>
      <c r="Q35" s="832"/>
      <c r="R35" s="832"/>
      <c r="S35" s="303">
        <f t="shared" si="63"/>
        <v>0</v>
      </c>
      <c r="T35" s="541">
        <f>VLOOKUP(A35,'Discount Lookup'!D:E,2,FALSE)*G35</f>
        <v>0</v>
      </c>
      <c r="U35" s="83">
        <f>VLOOKUP(A35,'Discount Lookup'!G:H,2,FALSE)*G35</f>
        <v>0</v>
      </c>
      <c r="V35" s="100">
        <f t="shared" si="58"/>
        <v>0</v>
      </c>
      <c r="W35" s="100">
        <f t="shared" si="64"/>
        <v>0</v>
      </c>
      <c r="X35" s="100" t="b">
        <f t="shared" si="65"/>
        <v>0</v>
      </c>
      <c r="Y35" s="201"/>
      <c r="Z35" s="829" t="str">
        <f t="shared" ref="Z35" si="75">IF(G35=0,"",IF(AD35="me","",IF($AD$8="me","",IF(AD35="free","warranty",IF($AD$8="yes","NVP planting:","to NVP install:")))))</f>
        <v/>
      </c>
      <c r="AA35" s="829"/>
      <c r="AB35" s="830" t="str">
        <f>IF(G35=0,"",IF(AD35="free","re-planting",IF(AD35="me","not NVP, by",IF($AD$8="yes",(VLOOKUP(A35,'Discount Lookup'!J:K,2)*G35*(1-$AC$1786)*(1+$AC$1788)),IF(AD35="NVP",(VLOOKUP(A35,'Discount Lookup'!J:K,2)*G35*(1-$AC$1786)*(1+$AC$1788)),IF(AD35="free","re-planting",IF(G35=0,"",IF($AD$8="",IF(AD35="me","not NVP, by",IF(AD35="",IF(G35&gt;0,(VLOOKUP(A35,'Discount Lookup'!J:K,2)*G35*(1-$AC$1786)*(1+$AC$1788)),""),"")),"not NVP, by"))))))))</f>
        <v/>
      </c>
      <c r="AC35" s="830"/>
      <c r="AD35" s="375" t="str">
        <f t="shared" si="10"/>
        <v/>
      </c>
      <c r="AE35" s="833" t="str">
        <f t="shared" si="66"/>
        <v/>
      </c>
      <c r="AF35" s="833"/>
      <c r="AG35" s="833"/>
      <c r="AH35" s="91">
        <f>IF(AD35="free",0,IF(AD35="me",0,IF(G35&gt;0,(VLOOKUP(A35,'Discount Lookup'!J:K,2)*G35),0)))</f>
        <v>0</v>
      </c>
      <c r="AI35" s="92" t="str">
        <f t="shared" si="7"/>
        <v/>
      </c>
      <c r="AJ35" s="828" t="str">
        <f t="shared" ref="AJ35" si="76">IF(G35=0,"",IF(AD35="me","  delivery-only",IF($AD$8="me","  delivery-only",CONCATENATE(" $",ROUND(AI35/G35,2)," each"))))</f>
        <v/>
      </c>
      <c r="AK35" s="828"/>
      <c r="AL35" s="313" t="str">
        <f t="shared" si="1"/>
        <v/>
      </c>
      <c r="AM35" s="312"/>
      <c r="AN35" s="101"/>
      <c r="AO35" s="101"/>
      <c r="AP35" s="101"/>
      <c r="AQ35" s="101"/>
      <c r="AR35" s="101"/>
      <c r="AS35" s="101"/>
      <c r="AT35" s="101"/>
    </row>
    <row r="36" spans="1:46" ht="12.95" customHeight="1">
      <c r="A36" s="420">
        <v>25</v>
      </c>
      <c r="B36" s="93" t="s">
        <v>50</v>
      </c>
      <c r="C36" s="94" t="s">
        <v>264</v>
      </c>
      <c r="D36" s="95" t="s">
        <v>90</v>
      </c>
      <c r="E36" s="96">
        <v>300.95</v>
      </c>
      <c r="F36" s="705" t="s">
        <v>1306</v>
      </c>
      <c r="G36" s="357">
        <v>0</v>
      </c>
      <c r="H36" s="704" t="str">
        <f t="shared" si="52"/>
        <v/>
      </c>
      <c r="I36" s="98">
        <f t="shared" si="53"/>
        <v>0</v>
      </c>
      <c r="J36" s="98">
        <f t="shared" si="54"/>
        <v>0</v>
      </c>
      <c r="K36" s="831">
        <f t="shared" si="55"/>
        <v>0</v>
      </c>
      <c r="L36" s="831"/>
      <c r="M36" s="832" t="str">
        <f t="shared" si="56"/>
        <v/>
      </c>
      <c r="N36" s="832"/>
      <c r="O36" s="832"/>
      <c r="P36" s="832"/>
      <c r="Q36" s="832"/>
      <c r="R36" s="832"/>
      <c r="S36" s="303">
        <f t="shared" ref="S36" si="77">E36*G36</f>
        <v>0</v>
      </c>
      <c r="T36" s="541">
        <f>VLOOKUP(A36,'Discount Lookup'!D:E,2,FALSE)*G36</f>
        <v>0</v>
      </c>
      <c r="U36" s="83">
        <f>VLOOKUP(A36,'Discount Lookup'!G:H,2,FALSE)*G36</f>
        <v>0</v>
      </c>
      <c r="V36" s="100">
        <f t="shared" si="58"/>
        <v>0</v>
      </c>
      <c r="W36" s="100">
        <f t="shared" ref="W36" si="78">I36</f>
        <v>0</v>
      </c>
      <c r="X36" s="100" t="b">
        <f t="shared" ref="X36" si="79">IF(G36&gt;0,IF(AD36="me","",G36))</f>
        <v>0</v>
      </c>
      <c r="Y36" s="201"/>
      <c r="Z36" s="829" t="str">
        <f t="shared" si="9"/>
        <v/>
      </c>
      <c r="AA36" s="829"/>
      <c r="AB36" s="830" t="str">
        <f>IF(G36=0,"",IF(AD36="free","re-planting",IF(AD36="me","not NVP, by",IF($AD$8="yes",(VLOOKUP(A36,'Discount Lookup'!J:K,2)*G36*(1-$AC$1786)*(1+$AC$1788)),IF(AD36="NVP",(VLOOKUP(A36,'Discount Lookup'!J:K,2)*G36*(1-$AC$1786)*(1+$AC$1788)),IF(AD36="free","re-planting",IF(G36=0,"",IF($AD$8="",IF(AD36="me","not NVP, by",IF(AD36="",IF(G36&gt;0,(VLOOKUP(A36,'Discount Lookup'!J:K,2)*G36*(1-$AC$1786)*(1+$AC$1788)),""),"")),"not NVP, by"))))))))</f>
        <v/>
      </c>
      <c r="AC36" s="830"/>
      <c r="AD36" s="375" t="str">
        <f t="shared" si="10"/>
        <v/>
      </c>
      <c r="AE36" s="833" t="str">
        <f t="shared" ref="AE36" si="80">IF(G36&gt;0,(CONCATENATE((G36)," quantity, ",(A36)," ",B36)),"")</f>
        <v/>
      </c>
      <c r="AF36" s="833"/>
      <c r="AG36" s="833"/>
      <c r="AH36" s="91">
        <f>IF(AD36="free",0,IF(AD36="me",0,IF(G36&gt;0,(VLOOKUP(A36,'Discount Lookup'!J:K,2)*G36),0)))</f>
        <v>0</v>
      </c>
      <c r="AI36" s="92" t="str">
        <f t="shared" si="7"/>
        <v/>
      </c>
      <c r="AJ36" s="828" t="str">
        <f t="shared" si="11"/>
        <v/>
      </c>
      <c r="AK36" s="828"/>
      <c r="AL36" s="313" t="str">
        <f t="shared" si="1"/>
        <v/>
      </c>
      <c r="AM36" s="312"/>
      <c r="AN36" s="101"/>
      <c r="AO36" s="101"/>
      <c r="AP36" s="101"/>
      <c r="AQ36" s="101"/>
      <c r="AR36" s="101"/>
      <c r="AS36" s="101"/>
      <c r="AT36" s="101"/>
    </row>
    <row r="37" spans="1:46" ht="12.95" customHeight="1">
      <c r="A37" s="420">
        <v>30</v>
      </c>
      <c r="B37" s="93" t="s">
        <v>50</v>
      </c>
      <c r="C37" s="94" t="s">
        <v>91</v>
      </c>
      <c r="D37" s="95" t="s">
        <v>63</v>
      </c>
      <c r="E37" s="96">
        <v>311.95</v>
      </c>
      <c r="F37" s="705" t="s">
        <v>1306</v>
      </c>
      <c r="G37" s="357">
        <v>0</v>
      </c>
      <c r="H37" s="704" t="str">
        <f t="shared" si="52"/>
        <v/>
      </c>
      <c r="I37" s="98">
        <f t="shared" si="53"/>
        <v>0</v>
      </c>
      <c r="J37" s="98">
        <f t="shared" si="54"/>
        <v>0</v>
      </c>
      <c r="K37" s="831">
        <f t="shared" si="55"/>
        <v>0</v>
      </c>
      <c r="L37" s="831"/>
      <c r="M37" s="832" t="str">
        <f t="shared" si="56"/>
        <v/>
      </c>
      <c r="N37" s="832"/>
      <c r="O37" s="832"/>
      <c r="P37" s="832"/>
      <c r="Q37" s="832"/>
      <c r="R37" s="832"/>
      <c r="S37" s="303">
        <f t="shared" ref="S37" si="81">E37*G37</f>
        <v>0</v>
      </c>
      <c r="T37" s="541">
        <f>VLOOKUP(A37,'Discount Lookup'!D:E,2,FALSE)*G37</f>
        <v>0</v>
      </c>
      <c r="U37" s="83">
        <f>VLOOKUP(A37,'Discount Lookup'!G:H,2,FALSE)*G37</f>
        <v>0</v>
      </c>
      <c r="V37" s="100">
        <f t="shared" si="58"/>
        <v>0</v>
      </c>
      <c r="W37" s="100">
        <f t="shared" ref="W37" si="82">I37</f>
        <v>0</v>
      </c>
      <c r="X37" s="100" t="b">
        <f t="shared" ref="X37" si="83">IF(G37&gt;0,IF(AD37="me","",G37))</f>
        <v>0</v>
      </c>
      <c r="Y37" s="201"/>
      <c r="Z37" s="829" t="str">
        <f t="shared" si="9"/>
        <v/>
      </c>
      <c r="AA37" s="829"/>
      <c r="AB37" s="830" t="str">
        <f>IF(G37=0,"",IF(AD37="free","re-planting",IF(AD37="me","not NVP, by",IF($AD$8="yes",(VLOOKUP(A37,'Discount Lookup'!J:K,2)*G37*(1-$AC$1786)*(1+$AC$1788)),IF(AD37="NVP",(VLOOKUP(A37,'Discount Lookup'!J:K,2)*G37*(1-$AC$1786)*(1+$AC$1788)),IF(AD37="free","re-planting",IF(G37=0,"",IF($AD$8="",IF(AD37="me","not NVP, by",IF(AD37="",IF(G37&gt;0,(VLOOKUP(A37,'Discount Lookup'!J:K,2)*G37*(1-$AC$1786)*(1+$AC$1788)),""),"")),"not NVP, by"))))))))</f>
        <v/>
      </c>
      <c r="AC37" s="830"/>
      <c r="AD37" s="375" t="str">
        <f t="shared" si="10"/>
        <v/>
      </c>
      <c r="AE37" s="833" t="str">
        <f t="shared" ref="AE37" si="84">IF(G37&gt;0,(CONCATENATE((G37)," quantity, ",(A37)," ",B37)),"")</f>
        <v/>
      </c>
      <c r="AF37" s="833"/>
      <c r="AG37" s="833"/>
      <c r="AH37" s="91">
        <f>IF(AD37="free",0,IF(AD37="me",0,IF(G37&gt;0,(VLOOKUP(A37,'Discount Lookup'!J:K,2)*G37),0)))</f>
        <v>0</v>
      </c>
      <c r="AI37" s="92" t="str">
        <f t="shared" si="7"/>
        <v/>
      </c>
      <c r="AJ37" s="828" t="str">
        <f t="shared" si="11"/>
        <v/>
      </c>
      <c r="AK37" s="828"/>
      <c r="AL37" s="313" t="str">
        <f t="shared" si="1"/>
        <v/>
      </c>
      <c r="AM37" s="312"/>
      <c r="AN37" s="101"/>
      <c r="AO37" s="101"/>
      <c r="AP37" s="101"/>
      <c r="AQ37" s="101"/>
      <c r="AR37" s="101"/>
      <c r="AS37" s="101"/>
      <c r="AT37" s="101"/>
    </row>
    <row r="38" spans="1:46" ht="12.95" customHeight="1">
      <c r="A38" s="420">
        <v>45</v>
      </c>
      <c r="B38" s="93" t="s">
        <v>50</v>
      </c>
      <c r="C38" s="94" t="s">
        <v>112</v>
      </c>
      <c r="D38" s="95" t="s">
        <v>90</v>
      </c>
      <c r="E38" s="96">
        <v>619.95000000000005</v>
      </c>
      <c r="F38" s="705" t="s">
        <v>1306</v>
      </c>
      <c r="G38" s="357">
        <v>0</v>
      </c>
      <c r="H38" s="704" t="str">
        <f t="shared" ref="H38" si="85">IF(G38=0,"",IF(F38="Qty=",IF(G38=1,"plant","plants"),IF(F38&gt;0.0001,"warranty","Error")))</f>
        <v/>
      </c>
      <c r="I38" s="98">
        <f t="shared" ref="I38" si="86">IF(F38="Qty=",(E38*G38),((E38*(1-F38))*G38))</f>
        <v>0</v>
      </c>
      <c r="J38" s="98">
        <f t="shared" si="54"/>
        <v>0</v>
      </c>
      <c r="K38" s="831">
        <f t="shared" si="55"/>
        <v>0</v>
      </c>
      <c r="L38" s="831"/>
      <c r="M38" s="832" t="str">
        <f t="shared" si="56"/>
        <v/>
      </c>
      <c r="N38" s="832"/>
      <c r="O38" s="832"/>
      <c r="P38" s="832"/>
      <c r="Q38" s="832"/>
      <c r="R38" s="832"/>
      <c r="S38" s="303">
        <f t="shared" ref="S38" si="87">E38*G38</f>
        <v>0</v>
      </c>
      <c r="T38" s="541">
        <f>VLOOKUP(A38,'Discount Lookup'!D:E,2,FALSE)*G38</f>
        <v>0</v>
      </c>
      <c r="U38" s="83">
        <f>VLOOKUP(A38,'Discount Lookup'!G:H,2,FALSE)*G38</f>
        <v>0</v>
      </c>
      <c r="V38" s="100">
        <f t="shared" si="58"/>
        <v>0</v>
      </c>
      <c r="W38" s="100">
        <f t="shared" ref="W38" si="88">I38</f>
        <v>0</v>
      </c>
      <c r="X38" s="100" t="b">
        <f t="shared" ref="X38" si="89">IF(G38&gt;0,IF(AD38="me","",G38))</f>
        <v>0</v>
      </c>
      <c r="Y38" s="201"/>
      <c r="Z38" s="829" t="str">
        <f t="shared" ref="Z38" si="90">IF(G38=0,"",IF(AD38="me","",IF($AD$8="me","",IF(AD38="free","warranty",IF($AD$8="yes","NVP planting:","to NVP install:")))))</f>
        <v/>
      </c>
      <c r="AA38" s="829"/>
      <c r="AB38" s="830" t="str">
        <f>IF(G38=0,"",IF(AD38="free","re-planting",IF(AD38="me","not NVP, by",IF($AD$8="yes",(VLOOKUP(A38,'Discount Lookup'!J:K,2)*G38*(1-$AC$1786)*(1+$AC$1788)),IF(AD38="NVP",(VLOOKUP(A38,'Discount Lookup'!J:K,2)*G38*(1-$AC$1786)*(1+$AC$1788)),IF(AD38="free","re-planting",IF(G38=0,"",IF($AD$8="",IF(AD38="me","not NVP, by",IF(AD38="",IF(G38&gt;0,(VLOOKUP(A38,'Discount Lookup'!J:K,2)*G38*(1-$AC$1786)*(1+$AC$1788)),""),"")),"not NVP, by"))))))))</f>
        <v/>
      </c>
      <c r="AC38" s="830"/>
      <c r="AD38" s="375" t="str">
        <f t="shared" si="10"/>
        <v/>
      </c>
      <c r="AE38" s="833" t="str">
        <f t="shared" ref="AE38" si="91">IF(G38&gt;0,(CONCATENATE((G38)," quantity, ",(A38)," ",B38)),"")</f>
        <v/>
      </c>
      <c r="AF38" s="833"/>
      <c r="AG38" s="833"/>
      <c r="AH38" s="91">
        <f>IF(AD38="free",0,IF(AD38="me",0,IF(G38&gt;0,(VLOOKUP(A38,'Discount Lookup'!J:K,2)*G38),0)))</f>
        <v>0</v>
      </c>
      <c r="AI38" s="92" t="str">
        <f t="shared" si="7"/>
        <v/>
      </c>
      <c r="AJ38" s="828" t="str">
        <f t="shared" ref="AJ38" si="92">IF(G38=0,"",IF(AD38="me","  delivery-only",IF($AD$8="me","  delivery-only",CONCATENATE(" $",ROUND(AI38/G38,2)," each"))))</f>
        <v/>
      </c>
      <c r="AK38" s="828"/>
      <c r="AL38" s="313" t="str">
        <f t="shared" si="1"/>
        <v/>
      </c>
      <c r="AM38" s="312"/>
      <c r="AN38" s="101"/>
      <c r="AO38" s="101"/>
      <c r="AP38" s="101"/>
      <c r="AQ38" s="101"/>
      <c r="AR38" s="101"/>
      <c r="AS38" s="101"/>
      <c r="AT38" s="101"/>
    </row>
    <row r="39" spans="1:46" ht="12.95" customHeight="1">
      <c r="A39" s="464"/>
      <c r="B39" s="116" t="s">
        <v>92</v>
      </c>
      <c r="G39" s="359"/>
      <c r="H39" s="746"/>
      <c r="M39" s="121"/>
      <c r="N39" s="350"/>
      <c r="O39" s="123"/>
      <c r="P39" s="124"/>
      <c r="Y39" s="132"/>
      <c r="Z39" s="829" t="str">
        <f t="shared" si="9"/>
        <v/>
      </c>
      <c r="AA39" s="829"/>
      <c r="AB39" s="830" t="str">
        <f>IF(G39=0,"",IF(AD39="free","re-planting",IF(AD39="me","not NVP, by",IF($AD$8="yes",(VLOOKUP(A39,'Discount Lookup'!J:K,2)*G39*(1-$AC$1786)*(1+$AC$1788)),IF(AD39="NVP",(VLOOKUP(A39,'Discount Lookup'!J:K,2)*G39*(1-$AC$1786)*(1+$AC$1788)),IF(AD39="free","re-planting",IF(G39=0,"",IF($AD$8="",IF(AD39="me","not NVP, by",IF(AD39="",IF(G39&gt;0,(VLOOKUP(A39,'Discount Lookup'!J:K,2)*G39*(1-$AC$1786)*(1+$AC$1788)),""),"")),"not NVP, by"))))))))</f>
        <v/>
      </c>
      <c r="AC39" s="830"/>
      <c r="AD39" s="375" t="str">
        <f t="shared" si="10"/>
        <v/>
      </c>
      <c r="AE39" s="833" t="str">
        <f t="shared" si="21"/>
        <v/>
      </c>
      <c r="AF39" s="833"/>
      <c r="AG39" s="833"/>
      <c r="AH39" s="91">
        <f>IF(AD39="free",0,IF(AD39="me",0,IF(G39&gt;0,(VLOOKUP(A39,'Discount Lookup'!J:K,2)*G39),0)))</f>
        <v>0</v>
      </c>
      <c r="AI39" s="92" t="str">
        <f t="shared" si="7"/>
        <v/>
      </c>
      <c r="AJ39" s="828" t="str">
        <f t="shared" si="11"/>
        <v/>
      </c>
      <c r="AK39" s="828"/>
      <c r="AL39" s="313" t="str">
        <f t="shared" si="1"/>
        <v/>
      </c>
      <c r="AM39" s="312"/>
      <c r="AN39" s="101"/>
      <c r="AO39" s="101"/>
      <c r="AP39" s="101"/>
      <c r="AQ39" s="101"/>
      <c r="AR39" s="101"/>
      <c r="AS39" s="101"/>
      <c r="AT39" s="101"/>
    </row>
    <row r="40" spans="1:46" ht="12.95" customHeight="1">
      <c r="A40" s="852" t="s">
        <v>95</v>
      </c>
      <c r="B40" s="844"/>
      <c r="C40" s="844"/>
      <c r="D40" s="844"/>
      <c r="E40" s="844"/>
      <c r="F40" s="844"/>
      <c r="G40" s="844"/>
      <c r="H40" s="773" t="s">
        <v>96</v>
      </c>
      <c r="I40" s="348" t="s">
        <v>44</v>
      </c>
      <c r="J40" s="93"/>
      <c r="K40" s="603" t="s">
        <v>45</v>
      </c>
      <c r="L40" s="601" t="s">
        <v>46</v>
      </c>
      <c r="M40" s="115"/>
      <c r="N40" s="87" t="s">
        <v>69</v>
      </c>
      <c r="O40" s="87"/>
      <c r="P40" s="87"/>
      <c r="Q40" s="87"/>
      <c r="R40" s="88"/>
      <c r="S40" s="125"/>
      <c r="T40" s="543"/>
      <c r="U40" s="112"/>
      <c r="V40" s="100" t="b">
        <f>IF(G40&gt;0,IF(AD40="me","",G40))</f>
        <v>0</v>
      </c>
      <c r="W40" s="100"/>
      <c r="X40" s="100"/>
      <c r="Y40" s="201"/>
      <c r="Z40" s="829" t="str">
        <f t="shared" si="9"/>
        <v/>
      </c>
      <c r="AA40" s="829"/>
      <c r="AB40" s="830" t="str">
        <f>IF(G40=0,"",IF(AD40="free","re-planting",IF(AD40="me","not NVP, by",IF($AD$8="yes",(VLOOKUP(A40,'Discount Lookup'!J:K,2)*G40*(1-$AC$1786)*(1+$AC$1788)),IF(AD40="NVP",(VLOOKUP(A40,'Discount Lookup'!J:K,2)*G40*(1-$AC$1786)*(1+$AC$1788)),IF(AD40="free","re-planting",IF(G40=0,"",IF($AD$8="",IF(AD40="me","not NVP, by",IF(AD40="",IF(G40&gt;0,(VLOOKUP(A40,'Discount Lookup'!J:K,2)*G40*(1-$AC$1786)*(1+$AC$1788)),""),"")),"not NVP, by"))))))))</f>
        <v/>
      </c>
      <c r="AC40" s="830"/>
      <c r="AD40" s="375" t="str">
        <f t="shared" si="10"/>
        <v/>
      </c>
      <c r="AE40" s="833" t="str">
        <f t="shared" si="21"/>
        <v/>
      </c>
      <c r="AF40" s="833"/>
      <c r="AG40" s="833"/>
      <c r="AH40" s="91">
        <f>IF(AD40="free",0,IF(AD40="me",0,IF(G40&gt;0,(VLOOKUP(A40,'Discount Lookup'!J:K,2)*G40),0)))</f>
        <v>0</v>
      </c>
      <c r="AI40" s="92" t="str">
        <f t="shared" si="7"/>
        <v/>
      </c>
      <c r="AJ40" s="828" t="str">
        <f t="shared" si="11"/>
        <v/>
      </c>
      <c r="AK40" s="828"/>
      <c r="AL40" s="313" t="str">
        <f t="shared" si="1"/>
        <v/>
      </c>
      <c r="AM40" s="312"/>
      <c r="AN40" s="101"/>
      <c r="AO40" s="101"/>
      <c r="AP40" s="101"/>
      <c r="AQ40" s="101"/>
      <c r="AR40" s="101"/>
      <c r="AS40" s="101"/>
      <c r="AT40" s="101"/>
    </row>
    <row r="41" spans="1:46" ht="12.95" customHeight="1">
      <c r="A41" s="419">
        <v>7</v>
      </c>
      <c r="B41" s="87" t="s">
        <v>50</v>
      </c>
      <c r="C41" s="128" t="s">
        <v>103</v>
      </c>
      <c r="D41" s="129" t="s">
        <v>54</v>
      </c>
      <c r="E41" s="98">
        <v>91.95</v>
      </c>
      <c r="F41" s="705" t="s">
        <v>1306</v>
      </c>
      <c r="G41" s="357">
        <v>0</v>
      </c>
      <c r="H41" s="704" t="str">
        <f t="shared" ref="H41:H42" si="93">IF(G41=0,"",IF(F41="Qty=",IF(G41=1,"plant","plants"),IF(F41&gt;0.0001,"warranty","Error")))</f>
        <v/>
      </c>
      <c r="I41" s="98">
        <f t="shared" ref="I41:I42" si="94">IF(F41="Qty=",(E41*G41),((E41*(1-F41))*G41))</f>
        <v>0</v>
      </c>
      <c r="J41" s="98">
        <f>IF(H41="warranty",0,(I41*($J$1782)))</f>
        <v>0</v>
      </c>
      <c r="K41" s="831">
        <f t="shared" ref="K41:K42" si="95">I41+J41</f>
        <v>0</v>
      </c>
      <c r="L41" s="831"/>
      <c r="M41" s="832" t="str">
        <f>IF($H$1784=0,"",IF(G41=0,"",IF(F41="Qty=",CONCATENATE("$",ROUND(K41*(1-$H$1784),2)," with ",($H$1784*100),"% discount"),CONCATENATE("$",ROUND(K41*(1-$H$1784),2)," with ",(($H$1784*100+F41*100)-($H$1784*100*F41)),IF(F41&gt;0,"% discounts",IF($H$1781&gt;0,"% discounts","% discount"))))))</f>
        <v/>
      </c>
      <c r="N41" s="832"/>
      <c r="O41" s="832"/>
      <c r="P41" s="832"/>
      <c r="Q41" s="832"/>
      <c r="R41" s="832"/>
      <c r="S41" s="303">
        <f t="shared" ref="S41" si="96">E41*G41</f>
        <v>0</v>
      </c>
      <c r="T41" s="541">
        <f>VLOOKUP(A41,'Discount Lookup'!D:E,2,FALSE)*G41</f>
        <v>0</v>
      </c>
      <c r="U41" s="83">
        <f>VLOOKUP(A41,'Discount Lookup'!G:H,2,FALSE)*G41</f>
        <v>0</v>
      </c>
      <c r="V41" s="100">
        <f>E41*($J$1782)*G41</f>
        <v>0</v>
      </c>
      <c r="W41" s="100">
        <f t="shared" ref="W41" si="97">I41</f>
        <v>0</v>
      </c>
      <c r="X41" s="100" t="b">
        <f>IF(G41&gt;0,IF(AD41="me","",G41))</f>
        <v>0</v>
      </c>
      <c r="Y41" s="201"/>
      <c r="Z41" s="829" t="str">
        <f t="shared" si="9"/>
        <v/>
      </c>
      <c r="AA41" s="829"/>
      <c r="AB41" s="830" t="str">
        <f>IF(G41=0,"",IF(AD41="free","re-planting",IF(AD41="me","not NVP, by",IF($AD$8="yes",(VLOOKUP(A41,'Discount Lookup'!J:K,2)*G41*(1-$AC$1786)*(1+$AC$1788)),IF(AD41="NVP",(VLOOKUP(A41,'Discount Lookup'!J:K,2)*G41*(1-$AC$1786)*(1+$AC$1788)),IF(AD41="free","re-planting",IF(G41=0,"",IF($AD$8="",IF(AD41="me","not NVP, by",IF(AD41="",IF(G41&gt;0,(VLOOKUP(A41,'Discount Lookup'!J:K,2)*G41*(1-$AC$1786)*(1+$AC$1788)),""),"")),"not NVP, by"))))))))</f>
        <v/>
      </c>
      <c r="AC41" s="830"/>
      <c r="AD41" s="375" t="str">
        <f t="shared" si="10"/>
        <v/>
      </c>
      <c r="AE41" s="833" t="str">
        <f t="shared" ref="AE41" si="98">IF(G41&gt;0,(CONCATENATE((G41)," quantity, ",(A41)," ",B41)),"")</f>
        <v/>
      </c>
      <c r="AF41" s="833"/>
      <c r="AG41" s="833"/>
      <c r="AH41" s="91">
        <f>IF(AD41="free",0,IF(AD41="me",0,IF(G41&gt;0,(VLOOKUP(A41,'Discount Lookup'!J:K,2)*G41),0)))</f>
        <v>0</v>
      </c>
      <c r="AI41" s="92" t="str">
        <f t="shared" si="7"/>
        <v/>
      </c>
      <c r="AJ41" s="828" t="str">
        <f t="shared" si="11"/>
        <v/>
      </c>
      <c r="AK41" s="828"/>
      <c r="AL41" s="313" t="str">
        <f t="shared" si="1"/>
        <v/>
      </c>
      <c r="AM41" s="312"/>
      <c r="AN41" s="101"/>
      <c r="AO41" s="101"/>
      <c r="AP41" s="101"/>
      <c r="AQ41" s="101"/>
      <c r="AR41" s="101"/>
      <c r="AS41" s="101"/>
      <c r="AT41" s="101"/>
    </row>
    <row r="42" spans="1:46" ht="12.95" customHeight="1">
      <c r="A42" s="419">
        <v>25</v>
      </c>
      <c r="B42" s="87" t="s">
        <v>50</v>
      </c>
      <c r="C42" s="128" t="s">
        <v>211</v>
      </c>
      <c r="D42" s="129" t="s">
        <v>90</v>
      </c>
      <c r="E42" s="98">
        <v>332.95</v>
      </c>
      <c r="F42" s="705" t="s">
        <v>1306</v>
      </c>
      <c r="G42" s="357">
        <v>0</v>
      </c>
      <c r="H42" s="704" t="str">
        <f t="shared" si="93"/>
        <v/>
      </c>
      <c r="I42" s="98">
        <f t="shared" si="94"/>
        <v>0</v>
      </c>
      <c r="J42" s="98">
        <f>IF(H42="warranty",0,(I42*($J$1782)))</f>
        <v>0</v>
      </c>
      <c r="K42" s="831">
        <f t="shared" si="95"/>
        <v>0</v>
      </c>
      <c r="L42" s="831"/>
      <c r="M42" s="832" t="str">
        <f>IF($H$1784=0,"",IF(G42=0,"",IF(F42="Qty=",CONCATENATE("$",ROUND(K42*(1-$H$1784),2)," with ",($H$1784*100),"% discount"),CONCATENATE("$",ROUND(K42*(1-$H$1784),2)," with ",(($H$1784*100+F42*100)-($H$1784*100*F42)),IF(F42&gt;0,"% discounts",IF($H$1781&gt;0,"% discounts","% discount"))))))</f>
        <v/>
      </c>
      <c r="N42" s="832"/>
      <c r="O42" s="832"/>
      <c r="P42" s="832"/>
      <c r="Q42" s="832"/>
      <c r="R42" s="832"/>
      <c r="S42" s="303">
        <f t="shared" ref="S42" si="99">E42*G42</f>
        <v>0</v>
      </c>
      <c r="T42" s="541">
        <f>VLOOKUP(A42,'Discount Lookup'!D:E,2,FALSE)*G42</f>
        <v>0</v>
      </c>
      <c r="U42" s="83">
        <f>VLOOKUP(A42,'Discount Lookup'!G:H,2,FALSE)*G42</f>
        <v>0</v>
      </c>
      <c r="V42" s="100">
        <f>E42*($J$1782)*G42</f>
        <v>0</v>
      </c>
      <c r="W42" s="100">
        <f t="shared" ref="W42" si="100">I42</f>
        <v>0</v>
      </c>
      <c r="X42" s="100" t="b">
        <f>IF(G42&gt;0,IF(AD42="me","",G42))</f>
        <v>0</v>
      </c>
      <c r="Y42" s="201"/>
      <c r="Z42" s="829" t="str">
        <f t="shared" si="9"/>
        <v/>
      </c>
      <c r="AA42" s="829"/>
      <c r="AB42" s="830" t="str">
        <f>IF(G42=0,"",IF(AD42="free","re-planting",IF(AD42="me","not NVP, by",IF($AD$8="yes",(VLOOKUP(A42,'Discount Lookup'!J:K,2)*G42*(1-$AC$1786)*(1+$AC$1788)),IF(AD42="NVP",(VLOOKUP(A42,'Discount Lookup'!J:K,2)*G42*(1-$AC$1786)*(1+$AC$1788)),IF(AD42="free","re-planting",IF(G42=0,"",IF($AD$8="",IF(AD42="me","not NVP, by",IF(AD42="",IF(G42&gt;0,(VLOOKUP(A42,'Discount Lookup'!J:K,2)*G42*(1-$AC$1786)*(1+$AC$1788)),""),"")),"not NVP, by"))))))))</f>
        <v/>
      </c>
      <c r="AC42" s="830"/>
      <c r="AD42" s="375" t="str">
        <f t="shared" si="10"/>
        <v/>
      </c>
      <c r="AE42" s="833" t="str">
        <f t="shared" si="21"/>
        <v/>
      </c>
      <c r="AF42" s="833"/>
      <c r="AG42" s="833"/>
      <c r="AH42" s="91">
        <f>IF(AD42="free",0,IF(AD42="me",0,IF(G42&gt;0,(VLOOKUP(A42,'Discount Lookup'!J:K,2)*G42),0)))</f>
        <v>0</v>
      </c>
      <c r="AI42" s="92" t="str">
        <f t="shared" si="7"/>
        <v/>
      </c>
      <c r="AJ42" s="828" t="str">
        <f t="shared" si="11"/>
        <v/>
      </c>
      <c r="AK42" s="828"/>
      <c r="AL42" s="313" t="str">
        <f t="shared" si="1"/>
        <v/>
      </c>
      <c r="AM42" s="312"/>
      <c r="AN42" s="101"/>
      <c r="AO42" s="101"/>
      <c r="AP42" s="101"/>
      <c r="AQ42" s="101"/>
      <c r="AR42" s="101"/>
      <c r="AS42" s="101"/>
      <c r="AT42" s="101"/>
    </row>
    <row r="43" spans="1:46" ht="12.95" customHeight="1">
      <c r="A43" s="465"/>
      <c r="B43" s="103" t="s">
        <v>97</v>
      </c>
      <c r="C43" s="130"/>
      <c r="D43" s="104"/>
      <c r="E43" s="131"/>
      <c r="F43" s="710"/>
      <c r="G43" s="356"/>
      <c r="H43" s="744"/>
      <c r="I43" s="131"/>
      <c r="J43" s="131"/>
      <c r="K43" s="608"/>
      <c r="L43" s="608"/>
      <c r="M43" s="121"/>
      <c r="N43" s="429" t="s">
        <v>72</v>
      </c>
      <c r="O43" s="123"/>
      <c r="P43" s="124"/>
      <c r="Q43" s="124"/>
      <c r="R43" s="83"/>
      <c r="S43" s="82">
        <f>E43*G43</f>
        <v>0</v>
      </c>
      <c r="T43" s="540"/>
      <c r="U43" s="83"/>
      <c r="V43" s="100" t="b">
        <f>IF(G43&gt;0,IF(AD43="me","",G43))</f>
        <v>0</v>
      </c>
      <c r="W43" s="100"/>
      <c r="X43" s="100"/>
      <c r="Y43" s="201"/>
      <c r="Z43" s="829" t="str">
        <f t="shared" si="9"/>
        <v/>
      </c>
      <c r="AA43" s="829"/>
      <c r="AB43" s="830" t="str">
        <f>IF(G43=0,"",IF(AD43="free","re-planting",IF(AD43="me","not NVP, by",IF($AD$8="yes",(VLOOKUP(A43,'Discount Lookup'!J:K,2)*G43*(1-$AC$1786)*(1+$AC$1788)),IF(AD43="NVP",(VLOOKUP(A43,'Discount Lookup'!J:K,2)*G43*(1-$AC$1786)*(1+$AC$1788)),IF(AD43="free","re-planting",IF(G43=0,"",IF($AD$8="",IF(AD43="me","not NVP, by",IF(AD43="",IF(G43&gt;0,(VLOOKUP(A43,'Discount Lookup'!J:K,2)*G43*(1-$AC$1786)*(1+$AC$1788)),""),"")),"not NVP, by"))))))))</f>
        <v/>
      </c>
      <c r="AC43" s="830"/>
      <c r="AD43" s="375" t="str">
        <f t="shared" si="10"/>
        <v/>
      </c>
      <c r="AE43" s="833" t="str">
        <f t="shared" si="21"/>
        <v/>
      </c>
      <c r="AF43" s="833"/>
      <c r="AG43" s="833"/>
      <c r="AH43" s="91">
        <f>IF(AD43="free",0,IF(AD43="me",0,IF(G43&gt;0,(VLOOKUP(A43,'Discount Lookup'!J:K,2)*G43),0)))</f>
        <v>0</v>
      </c>
      <c r="AI43" s="92" t="str">
        <f t="shared" si="7"/>
        <v/>
      </c>
      <c r="AJ43" s="828" t="str">
        <f t="shared" si="11"/>
        <v/>
      </c>
      <c r="AK43" s="828"/>
      <c r="AL43" s="313" t="str">
        <f t="shared" si="1"/>
        <v/>
      </c>
      <c r="AM43" s="312"/>
      <c r="AN43" s="101"/>
      <c r="AO43" s="101"/>
      <c r="AP43" s="101"/>
      <c r="AQ43" s="101"/>
      <c r="AR43" s="101"/>
      <c r="AS43" s="101"/>
      <c r="AT43" s="101"/>
    </row>
    <row r="44" spans="1:46" ht="12.95" customHeight="1">
      <c r="A44" s="847" t="s">
        <v>100</v>
      </c>
      <c r="B44" s="848"/>
      <c r="C44" s="848"/>
      <c r="D44" s="848"/>
      <c r="E44" s="848"/>
      <c r="F44" s="848"/>
      <c r="G44" s="848"/>
      <c r="H44" s="773" t="s">
        <v>101</v>
      </c>
      <c r="I44" s="348" t="s">
        <v>44</v>
      </c>
      <c r="J44" s="93"/>
      <c r="K44" s="600" t="s">
        <v>45</v>
      </c>
      <c r="L44" s="601" t="s">
        <v>46</v>
      </c>
      <c r="M44" s="134"/>
      <c r="N44" s="87" t="s">
        <v>69</v>
      </c>
      <c r="O44" s="135"/>
      <c r="P44" s="135"/>
      <c r="Q44" s="135"/>
      <c r="R44" s="86"/>
      <c r="S44" s="136"/>
      <c r="T44" s="554"/>
      <c r="U44" s="137"/>
      <c r="V44" s="100" t="b">
        <f>IF(G44&gt;0,IF(AD44="me","",G44))</f>
        <v>0</v>
      </c>
      <c r="W44" s="100"/>
      <c r="X44" s="100"/>
      <c r="Y44" s="201"/>
      <c r="Z44" s="829" t="str">
        <f t="shared" si="9"/>
        <v/>
      </c>
      <c r="AA44" s="829"/>
      <c r="AB44" s="830" t="str">
        <f>IF(G44=0,"",IF(AD44="free","re-planting",IF(AD44="me","not NVP, by",IF($AD$8="yes",(VLOOKUP(A44,'Discount Lookup'!J:K,2)*G44*(1-$AC$1786)*(1+$AC$1788)),IF(AD44="NVP",(VLOOKUP(A44,'Discount Lookup'!J:K,2)*G44*(1-$AC$1786)*(1+$AC$1788)),IF(AD44="free","re-planting",IF(G44=0,"",IF($AD$8="",IF(AD44="me","not NVP, by",IF(AD44="",IF(G44&gt;0,(VLOOKUP(A44,'Discount Lookup'!J:K,2)*G44*(1-$AC$1786)*(1+$AC$1788)),""),"")),"not NVP, by"))))))))</f>
        <v/>
      </c>
      <c r="AC44" s="830"/>
      <c r="AD44" s="375" t="str">
        <f t="shared" si="10"/>
        <v/>
      </c>
      <c r="AE44" s="833" t="str">
        <f t="shared" ref="AE44:AE53" si="101">IF(G44&gt;0,(CONCATENATE((G44)," quantity, ",(A44)," ",B44)),"")</f>
        <v/>
      </c>
      <c r="AF44" s="833"/>
      <c r="AG44" s="833"/>
      <c r="AH44" s="91">
        <f>IF(AD44="free",0,IF(AD44="me",0,IF(G44&gt;0,(VLOOKUP(A44,'Discount Lookup'!J:K,2)*G44),0)))</f>
        <v>0</v>
      </c>
      <c r="AI44" s="92" t="str">
        <f t="shared" si="7"/>
        <v/>
      </c>
      <c r="AJ44" s="828" t="str">
        <f t="shared" si="11"/>
        <v/>
      </c>
      <c r="AK44" s="828"/>
      <c r="AL44" s="313" t="str">
        <f t="shared" si="1"/>
        <v/>
      </c>
      <c r="AM44" s="312"/>
      <c r="AN44" s="101"/>
      <c r="AO44" s="101"/>
      <c r="AP44" s="101"/>
      <c r="AQ44" s="101"/>
      <c r="AR44" s="101"/>
      <c r="AS44" s="101"/>
      <c r="AT44" s="101"/>
    </row>
    <row r="45" spans="1:46" ht="12.95" customHeight="1">
      <c r="A45" s="419">
        <v>7</v>
      </c>
      <c r="B45" s="87" t="s">
        <v>50</v>
      </c>
      <c r="C45" s="128" t="s">
        <v>53</v>
      </c>
      <c r="D45" s="129" t="s">
        <v>63</v>
      </c>
      <c r="E45" s="98">
        <v>102.95</v>
      </c>
      <c r="F45" s="705" t="s">
        <v>1306</v>
      </c>
      <c r="G45" s="357">
        <v>0</v>
      </c>
      <c r="H45" s="704" t="str">
        <f t="shared" ref="H45" si="102">IF(G45=0,"",IF(F45="Qty=",IF(G45=1,"plant","plants"),IF(F45&gt;0.0001,"warranty","Error")))</f>
        <v/>
      </c>
      <c r="I45" s="98">
        <f t="shared" ref="I45" si="103">IF(F45="Qty=",(E45*G45),((E45*(1-F45))*G45))</f>
        <v>0</v>
      </c>
      <c r="J45" s="98">
        <f>IF(H45="warranty",0,(I45*($J$1782)))</f>
        <v>0</v>
      </c>
      <c r="K45" s="831">
        <f t="shared" ref="K45:K46" si="104">I45+J45</f>
        <v>0</v>
      </c>
      <c r="L45" s="831"/>
      <c r="M45" s="832" t="str">
        <f>IF($H$1784=0,"",IF(G45=0,"",IF(F45="Qty=",CONCATENATE("$",ROUND(K45*(1-$H$1784),2)," with ",($H$1784*100),"% discount"),CONCATENATE("$",ROUND(K45*(1-$H$1784),2)," with ",(($H$1784*100+F45*100)-($H$1784*100*F45)),IF(F45&gt;0,"% discounts",IF($H$1781&gt;0,"% discounts","% discount"))))))</f>
        <v/>
      </c>
      <c r="N45" s="832"/>
      <c r="O45" s="832"/>
      <c r="P45" s="832"/>
      <c r="Q45" s="832"/>
      <c r="R45" s="832"/>
      <c r="S45" s="303">
        <f t="shared" ref="S45" si="105">E45*G45</f>
        <v>0</v>
      </c>
      <c r="T45" s="541">
        <f>VLOOKUP(A45,'Discount Lookup'!D:E,2,FALSE)*G45</f>
        <v>0</v>
      </c>
      <c r="U45" s="83">
        <f>VLOOKUP(A45,'Discount Lookup'!G:H,2,FALSE)*G45</f>
        <v>0</v>
      </c>
      <c r="V45" s="100">
        <f>E45*($J$1782)*G45</f>
        <v>0</v>
      </c>
      <c r="W45" s="100">
        <f t="shared" ref="W45" si="106">I45</f>
        <v>0</v>
      </c>
      <c r="X45" s="100" t="b">
        <f>IF(G45&gt;0,IF(AD45="me","",G45))</f>
        <v>0</v>
      </c>
      <c r="Y45" s="201"/>
      <c r="Z45" s="829" t="str">
        <f t="shared" ref="Z45" si="107">IF(G45=0,"",IF(AD45="me","",IF($AD$8="me","",IF(AD45="free","warranty",IF($AD$8="yes","NVP planting:","to NVP install:")))))</f>
        <v/>
      </c>
      <c r="AA45" s="829"/>
      <c r="AB45" s="830" t="str">
        <f>IF(G45=0,"",IF(AD45="free","re-planting",IF(AD45="me","not NVP, by",IF($AD$8="yes",(VLOOKUP(A45,'Discount Lookup'!J:K,2)*G45*(1-$AC$1786)*(1+$AC$1788)),IF(AD45="NVP",(VLOOKUP(A45,'Discount Lookup'!J:K,2)*G45*(1-$AC$1786)*(1+$AC$1788)),IF(AD45="free","re-planting",IF(G45=0,"",IF($AD$8="",IF(AD45="me","not NVP, by",IF(AD45="",IF(G45&gt;0,(VLOOKUP(A45,'Discount Lookup'!J:K,2)*G45*(1-$AC$1786)*(1+$AC$1788)),""),"")),"not NVP, by"))))))))</f>
        <v/>
      </c>
      <c r="AC45" s="830"/>
      <c r="AD45" s="375" t="str">
        <f t="shared" si="10"/>
        <v/>
      </c>
      <c r="AE45" s="833" t="str">
        <f t="shared" ref="AE45" si="108">IF(G45&gt;0,(CONCATENATE((G45)," quantity, ",(A45)," ",B45)),"")</f>
        <v/>
      </c>
      <c r="AF45" s="833"/>
      <c r="AG45" s="833"/>
      <c r="AH45" s="91">
        <f>IF(AD45="free",0,IF(AD45="me",0,IF(G45&gt;0,(VLOOKUP(A45,'Discount Lookup'!J:K,2)*G45),0)))</f>
        <v>0</v>
      </c>
      <c r="AI45" s="92" t="str">
        <f t="shared" si="7"/>
        <v/>
      </c>
      <c r="AJ45" s="828" t="str">
        <f t="shared" ref="AJ45" si="109">IF(G45=0,"",IF(AD45="me","  delivery-only",IF($AD$8="me","  delivery-only",CONCATENATE(" $",ROUND(AI45/G45,2)," each"))))</f>
        <v/>
      </c>
      <c r="AK45" s="828"/>
      <c r="AL45" s="313" t="str">
        <f t="shared" si="1"/>
        <v/>
      </c>
      <c r="AM45" s="312"/>
      <c r="AN45" s="101"/>
      <c r="AO45" s="101"/>
      <c r="AP45" s="101"/>
      <c r="AQ45" s="101"/>
      <c r="AR45" s="101"/>
      <c r="AS45" s="101"/>
      <c r="AT45" s="101"/>
    </row>
    <row r="46" spans="1:46" ht="12.95" customHeight="1">
      <c r="A46" s="419">
        <v>15</v>
      </c>
      <c r="B46" s="87" t="s">
        <v>50</v>
      </c>
      <c r="C46" s="128" t="s">
        <v>89</v>
      </c>
      <c r="D46" s="129" t="s">
        <v>63</v>
      </c>
      <c r="E46" s="98">
        <v>160.94999999999999</v>
      </c>
      <c r="F46" s="705" t="s">
        <v>1306</v>
      </c>
      <c r="G46" s="357">
        <v>0</v>
      </c>
      <c r="H46" s="704" t="str">
        <f t="shared" ref="H46" si="110">IF(G46=0,"",IF(F46="Qty=",IF(G46=1,"plant","plants"),IF(F46&gt;0.0001,"warranty","Error")))</f>
        <v/>
      </c>
      <c r="I46" s="98">
        <f t="shared" ref="I46" si="111">IF(F46="Qty=",(E46*G46),((E46*(1-F46))*G46))</f>
        <v>0</v>
      </c>
      <c r="J46" s="98">
        <f>IF(H46="warranty",0,(I46*($J$1782)))</f>
        <v>0</v>
      </c>
      <c r="K46" s="831">
        <f t="shared" si="104"/>
        <v>0</v>
      </c>
      <c r="L46" s="831"/>
      <c r="M46" s="832" t="str">
        <f>IF($H$1784=0,"",IF(G46=0,"",IF(F46="Qty=",CONCATENATE("$",ROUND(K46*(1-$H$1784),2)," with ",($H$1784*100),"% discount"),CONCATENATE("$",ROUND(K46*(1-$H$1784),2)," with ",(($H$1784*100+F46*100)-($H$1784*100*F46)),IF(F46&gt;0,"% discounts",IF($H$1781&gt;0,"% discounts","% discount"))))))</f>
        <v/>
      </c>
      <c r="N46" s="832"/>
      <c r="O46" s="832"/>
      <c r="P46" s="832"/>
      <c r="Q46" s="832"/>
      <c r="R46" s="832"/>
      <c r="S46" s="303">
        <f t="shared" ref="S46" si="112">E46*G46</f>
        <v>0</v>
      </c>
      <c r="T46" s="541">
        <f>VLOOKUP(A46,'Discount Lookup'!D:E,2,FALSE)*G46</f>
        <v>0</v>
      </c>
      <c r="U46" s="83">
        <f>VLOOKUP(A46,'Discount Lookup'!G:H,2,FALSE)*G46</f>
        <v>0</v>
      </c>
      <c r="V46" s="100">
        <f>E46*($J$1782)*G46</f>
        <v>0</v>
      </c>
      <c r="W46" s="100">
        <f t="shared" ref="W46" si="113">I46</f>
        <v>0</v>
      </c>
      <c r="X46" s="100" t="b">
        <f>IF(G46&gt;0,IF(AD46="me","",G46))</f>
        <v>0</v>
      </c>
      <c r="Y46" s="201"/>
      <c r="Z46" s="829" t="str">
        <f t="shared" ref="Z46" si="114">IF(G46=0,"",IF(AD46="me","",IF($AD$8="me","",IF(AD46="free","warranty",IF($AD$8="yes","NVP planting:","to NVP install:")))))</f>
        <v/>
      </c>
      <c r="AA46" s="829"/>
      <c r="AB46" s="830" t="str">
        <f>IF(G46=0,"",IF(AD46="free","re-planting",IF(AD46="me","not NVP, by",IF($AD$8="yes",(VLOOKUP(A46,'Discount Lookup'!J:K,2)*G46*(1-$AC$1786)*(1+$AC$1788)),IF(AD46="NVP",(VLOOKUP(A46,'Discount Lookup'!J:K,2)*G46*(1-$AC$1786)*(1+$AC$1788)),IF(AD46="free","re-planting",IF(G46=0,"",IF($AD$8="",IF(AD46="me","not NVP, by",IF(AD46="",IF(G46&gt;0,(VLOOKUP(A46,'Discount Lookup'!J:K,2)*G46*(1-$AC$1786)*(1+$AC$1788)),""),"")),"not NVP, by"))))))))</f>
        <v/>
      </c>
      <c r="AC46" s="830"/>
      <c r="AD46" s="375" t="str">
        <f t="shared" si="10"/>
        <v/>
      </c>
      <c r="AE46" s="833" t="str">
        <f t="shared" ref="AE46" si="115">IF(G46&gt;0,(CONCATENATE((G46)," quantity, ",(A46)," ",B46)),"")</f>
        <v/>
      </c>
      <c r="AF46" s="833"/>
      <c r="AG46" s="833"/>
      <c r="AH46" s="91">
        <f>IF(AD46="free",0,IF(AD46="me",0,IF(G46&gt;0,(VLOOKUP(A46,'Discount Lookup'!J:K,2)*G46),0)))</f>
        <v>0</v>
      </c>
      <c r="AI46" s="92" t="str">
        <f t="shared" si="7"/>
        <v/>
      </c>
      <c r="AJ46" s="828" t="str">
        <f t="shared" ref="AJ46" si="116">IF(G46=0,"",IF(AD46="me","  delivery-only",IF($AD$8="me","  delivery-only",CONCATENATE(" $",ROUND(AI46/G46,2)," each"))))</f>
        <v/>
      </c>
      <c r="AK46" s="828"/>
      <c r="AL46" s="313" t="str">
        <f t="shared" si="1"/>
        <v/>
      </c>
      <c r="AM46" s="312"/>
      <c r="AN46" s="101"/>
      <c r="AO46" s="101"/>
      <c r="AP46" s="101"/>
      <c r="AQ46" s="101"/>
      <c r="AR46" s="101"/>
      <c r="AS46" s="101"/>
      <c r="AT46" s="101"/>
    </row>
    <row r="47" spans="1:46" ht="12.95" customHeight="1">
      <c r="A47" s="465"/>
      <c r="B47" s="116" t="s">
        <v>104</v>
      </c>
      <c r="C47" s="130"/>
      <c r="D47" s="104"/>
      <c r="E47" s="131"/>
      <c r="F47" s="710"/>
      <c r="G47" s="356"/>
      <c r="H47" s="746"/>
      <c r="I47" s="131"/>
      <c r="J47" s="972"/>
      <c r="K47" s="972"/>
      <c r="L47" s="972"/>
      <c r="M47" s="48"/>
      <c r="N47" s="122" t="s">
        <v>82</v>
      </c>
      <c r="O47" s="123"/>
      <c r="P47" s="124"/>
      <c r="Q47" s="124"/>
      <c r="R47" s="48"/>
      <c r="S47" s="48"/>
      <c r="T47" s="546"/>
      <c r="V47" s="100" t="b">
        <f>IF(G47&gt;0,IF(AD47="me","",G47))</f>
        <v>0</v>
      </c>
      <c r="W47" s="100"/>
      <c r="X47" s="100"/>
      <c r="Y47" s="201"/>
      <c r="Z47" s="829" t="str">
        <f t="shared" si="9"/>
        <v/>
      </c>
      <c r="AA47" s="829"/>
      <c r="AB47" s="830" t="str">
        <f>IF(G47=0,"",IF(AD47="free","re-planting",IF(AD47="me","not NVP, by",IF($AD$8="yes",(VLOOKUP(A47,'Discount Lookup'!J:K,2)*G47*(1-$AC$1786)*(1+$AC$1788)),IF(AD47="NVP",(VLOOKUP(A47,'Discount Lookup'!J:K,2)*G47*(1-$AC$1786)*(1+$AC$1788)),IF(AD47="free","re-planting",IF(G47=0,"",IF($AD$8="",IF(AD47="me","not NVP, by",IF(AD47="",IF(G47&gt;0,(VLOOKUP(A47,'Discount Lookup'!J:K,2)*G47*(1-$AC$1786)*(1+$AC$1788)),""),"")),"not NVP, by"))))))))</f>
        <v/>
      </c>
      <c r="AC47" s="830"/>
      <c r="AD47" s="375" t="str">
        <f t="shared" si="10"/>
        <v/>
      </c>
      <c r="AE47" s="833" t="str">
        <f t="shared" si="101"/>
        <v/>
      </c>
      <c r="AF47" s="833"/>
      <c r="AG47" s="833"/>
      <c r="AH47" s="91">
        <f>IF(AD47="free",0,IF(AD47="me",0,IF(G47&gt;0,(VLOOKUP(A47,'Discount Lookup'!J:K,2)*G47),0)))</f>
        <v>0</v>
      </c>
      <c r="AI47" s="92" t="str">
        <f t="shared" si="7"/>
        <v/>
      </c>
      <c r="AJ47" s="828" t="str">
        <f t="shared" si="11"/>
        <v/>
      </c>
      <c r="AK47" s="828"/>
      <c r="AL47" s="313" t="str">
        <f t="shared" si="1"/>
        <v/>
      </c>
      <c r="AM47" s="312"/>
      <c r="AN47" s="101"/>
      <c r="AO47" s="101"/>
      <c r="AP47" s="101"/>
      <c r="AQ47" s="101"/>
      <c r="AR47" s="101"/>
      <c r="AS47" s="101"/>
      <c r="AT47" s="101"/>
    </row>
    <row r="48" spans="1:46" ht="12.95" customHeight="1">
      <c r="A48" s="893" t="s">
        <v>105</v>
      </c>
      <c r="B48" s="848"/>
      <c r="C48" s="848"/>
      <c r="D48" s="848"/>
      <c r="E48" s="848"/>
      <c r="F48" s="848"/>
      <c r="G48" s="848"/>
      <c r="H48" s="773" t="s">
        <v>106</v>
      </c>
      <c r="I48" s="348" t="s">
        <v>44</v>
      </c>
      <c r="J48" s="93"/>
      <c r="K48" s="600" t="s">
        <v>45</v>
      </c>
      <c r="L48" s="601" t="s">
        <v>46</v>
      </c>
      <c r="M48" s="134"/>
      <c r="N48" s="87" t="s">
        <v>69</v>
      </c>
      <c r="O48" s="135"/>
      <c r="P48" s="135"/>
      <c r="Q48" s="135"/>
      <c r="R48" s="86"/>
      <c r="S48" s="136"/>
      <c r="T48" s="554"/>
      <c r="U48" s="137"/>
      <c r="V48" s="100" t="b">
        <f>IF(G48&gt;0,IF(AD48="me","",G48))</f>
        <v>0</v>
      </c>
      <c r="W48" s="100"/>
      <c r="X48" s="100"/>
      <c r="Y48" s="201"/>
      <c r="Z48" s="829" t="str">
        <f t="shared" si="9"/>
        <v/>
      </c>
      <c r="AA48" s="829"/>
      <c r="AB48" s="830" t="str">
        <f>IF(G48=0,"",IF(AD48="free","re-planting",IF(AD48="me","not NVP, by",IF($AD$8="yes",(VLOOKUP(A48,'Discount Lookup'!J:K,2)*G48*(1-$AC$1786)*(1+$AC$1788)),IF(AD48="NVP",(VLOOKUP(A48,'Discount Lookup'!J:K,2)*G48*(1-$AC$1786)*(1+$AC$1788)),IF(AD48="free","re-planting",IF(G48=0,"",IF($AD$8="",IF(AD48="me","not NVP, by",IF(AD48="",IF(G48&gt;0,(VLOOKUP(A48,'Discount Lookup'!J:K,2)*G48*(1-$AC$1786)*(1+$AC$1788)),""),"")),"not NVP, by"))))))))</f>
        <v/>
      </c>
      <c r="AC48" s="830"/>
      <c r="AD48" s="375" t="str">
        <f t="shared" si="10"/>
        <v/>
      </c>
      <c r="AE48" s="833" t="str">
        <f t="shared" si="101"/>
        <v/>
      </c>
      <c r="AF48" s="833"/>
      <c r="AG48" s="833"/>
      <c r="AH48" s="91">
        <f>IF(AD48="free",0,IF(AD48="me",0,IF(G48&gt;0,(VLOOKUP(A48,'Discount Lookup'!J:K,2)*G48),0)))</f>
        <v>0</v>
      </c>
      <c r="AI48" s="92" t="str">
        <f>IF(AD48="free",(K48*(1-H1784)),IF(G48=0,"",IF($AD$8="",IF(G48=0,"",IF(AD48="me",(K48*(1-H1784)),(K48*(1-H1784))+AB48)),IF(K48="Images","",IF(K48=0,"",(K48*(1-H1784)))))))</f>
        <v/>
      </c>
      <c r="AJ48" s="828" t="str">
        <f t="shared" si="11"/>
        <v/>
      </c>
      <c r="AK48" s="828"/>
      <c r="AL48" s="313" t="str">
        <f t="shared" si="1"/>
        <v/>
      </c>
      <c r="AM48" s="312"/>
      <c r="AN48" s="101"/>
      <c r="AO48" s="101"/>
      <c r="AP48" s="101"/>
      <c r="AQ48" s="101"/>
      <c r="AR48" s="101"/>
      <c r="AS48" s="101"/>
      <c r="AT48" s="101"/>
    </row>
    <row r="49" spans="1:46" ht="12.95" customHeight="1">
      <c r="A49" s="447">
        <v>7</v>
      </c>
      <c r="B49" s="87" t="s">
        <v>50</v>
      </c>
      <c r="C49" s="128" t="s">
        <v>70</v>
      </c>
      <c r="D49" s="129" t="s">
        <v>54</v>
      </c>
      <c r="E49" s="98">
        <v>95.95</v>
      </c>
      <c r="F49" s="705" t="s">
        <v>1306</v>
      </c>
      <c r="G49" s="357">
        <v>0</v>
      </c>
      <c r="H49" s="704" t="str">
        <f t="shared" ref="H49" si="117">IF(G49=0,"",IF(F49="Qty=",IF(G49=1,"plant","plants"),IF(F49&gt;0.0001,"warranty","Error")))</f>
        <v/>
      </c>
      <c r="I49" s="98">
        <f t="shared" ref="I49" si="118">IF(F49="Qty=",(E49*G49),((E49*(1-F49))*G49))</f>
        <v>0</v>
      </c>
      <c r="J49" s="98">
        <f>IF(H49="warranty",0,(I49*($J$1782)))</f>
        <v>0</v>
      </c>
      <c r="K49" s="831">
        <f t="shared" ref="K49" si="119">I49+J49</f>
        <v>0</v>
      </c>
      <c r="L49" s="831"/>
      <c r="M49" s="832" t="str">
        <f>IF($H$1784=0,"",IF(G49=0,"",IF(F49="Qty=",CONCATENATE("$",ROUND(K49*(1-$H$1784),2)," with ",($H$1784*100),"% discount"),CONCATENATE("$",ROUND(K49*(1-$H$1784),2)," with ",(($H$1784*100+F49*100)-($H$1784*100*F49)),IF(F49&gt;0,"% discounts",IF($H$1781&gt;0,"% discounts","% discount"))))))</f>
        <v/>
      </c>
      <c r="N49" s="832"/>
      <c r="O49" s="832"/>
      <c r="P49" s="832"/>
      <c r="Q49" s="832"/>
      <c r="R49" s="832"/>
      <c r="S49" s="303">
        <f t="shared" ref="S49" si="120">E49*G49</f>
        <v>0</v>
      </c>
      <c r="T49" s="541">
        <f>VLOOKUP(A49,'Discount Lookup'!D:E,2,FALSE)*G49</f>
        <v>0</v>
      </c>
      <c r="U49" s="83">
        <f>VLOOKUP(A49,'Discount Lookup'!G:H,2,FALSE)*G49</f>
        <v>0</v>
      </c>
      <c r="V49" s="100">
        <f>E49*($J$1782)*G49</f>
        <v>0</v>
      </c>
      <c r="W49" s="100">
        <f t="shared" ref="W49" si="121">I49</f>
        <v>0</v>
      </c>
      <c r="X49" s="100" t="b">
        <f>IF(G49&gt;0,IF(AD49="me","",G49))</f>
        <v>0</v>
      </c>
      <c r="Y49" s="201"/>
      <c r="Z49" s="829" t="str">
        <f t="shared" si="9"/>
        <v/>
      </c>
      <c r="AA49" s="829"/>
      <c r="AB49" s="830" t="str">
        <f>IF(G49=0,"",IF(AD49="free","re-planting",IF(AD49="me","not NVP, by",IF($AD$8="yes",(VLOOKUP(A49,'Discount Lookup'!J:K,2)*G49*(1-$AC$1786)*(1+$AC$1788)),IF(AD49="NVP",(VLOOKUP(A49,'Discount Lookup'!J:K,2)*G49*(1-$AC$1786)*(1+$AC$1788)),IF(AD49="free","re-planting",IF(G49=0,"",IF($AD$8="",IF(AD49="me","not NVP, by",IF(AD49="",IF(G49&gt;0,(VLOOKUP(A49,'Discount Lookup'!J:K,2)*G49*(1-$AC$1786)*(1+$AC$1788)),""),"")),"not NVP, by"))))))))</f>
        <v/>
      </c>
      <c r="AC49" s="830"/>
      <c r="AD49" s="375" t="str">
        <f t="shared" si="10"/>
        <v/>
      </c>
      <c r="AE49" s="833" t="str">
        <f t="shared" si="101"/>
        <v/>
      </c>
      <c r="AF49" s="833"/>
      <c r="AG49" s="833"/>
      <c r="AH49" s="91">
        <f>IF(AD49="free",0,IF(AD49="me",0,IF(G49&gt;0,(VLOOKUP(A49,'Discount Lookup'!J:K,2)*G49),0)))</f>
        <v>0</v>
      </c>
      <c r="AI49" s="92" t="str">
        <f>IF(G49=0,"",IF(AD49="free",(K49*(1-$H$1784)),IF($AD$8="me",(K49*(1-$H$1784)),IF(AD49="me",(K49*(1-$H$1784)),(K49*(1-$H$1784))+AB49))))</f>
        <v/>
      </c>
      <c r="AJ49" s="828" t="str">
        <f t="shared" si="11"/>
        <v/>
      </c>
      <c r="AK49" s="828"/>
      <c r="AL49" s="313" t="str">
        <f t="shared" si="1"/>
        <v/>
      </c>
      <c r="AM49" s="312"/>
      <c r="AN49" s="101"/>
      <c r="AO49" s="101"/>
      <c r="AP49" s="101"/>
      <c r="AQ49" s="101"/>
      <c r="AR49" s="101"/>
      <c r="AS49" s="101"/>
      <c r="AT49" s="101"/>
    </row>
    <row r="50" spans="1:46" ht="12.95" customHeight="1">
      <c r="A50" s="507"/>
      <c r="B50" s="116" t="s">
        <v>107</v>
      </c>
      <c r="C50" s="130"/>
      <c r="D50" s="104"/>
      <c r="E50" s="131"/>
      <c r="F50" s="710"/>
      <c r="G50" s="356"/>
      <c r="H50" s="746"/>
      <c r="I50" s="131"/>
      <c r="J50" s="972"/>
      <c r="K50" s="972"/>
      <c r="L50" s="972"/>
      <c r="M50" s="48"/>
      <c r="N50" s="122" t="s">
        <v>82</v>
      </c>
      <c r="O50" s="123"/>
      <c r="P50" s="124"/>
      <c r="Q50" s="124"/>
      <c r="R50" s="840"/>
      <c r="S50" s="840"/>
      <c r="T50" s="840"/>
      <c r="U50" s="840"/>
      <c r="V50" s="840"/>
      <c r="Y50" s="132"/>
      <c r="Z50" s="829" t="str">
        <f t="shared" si="9"/>
        <v/>
      </c>
      <c r="AA50" s="829"/>
      <c r="AB50" s="830" t="str">
        <f>IF(G50=0,"",IF(AD50="free","re-planting",IF(AD50="me","not NVP, by",IF($AD$8="yes",(VLOOKUP(A50,'Discount Lookup'!J:K,2)*G50*(1-$AC$1786)*(1+$AC$1788)),IF(AD50="NVP",(VLOOKUP(A50,'Discount Lookup'!J:K,2)*G50*(1-$AC$1786)*(1+$AC$1788)),IF(AD50="free","re-planting",IF(G50=0,"",IF($AD$8="",IF(AD50="me","not NVP, by",IF(AD50="",IF(G50&gt;0,(VLOOKUP(A50,'Discount Lookup'!J:K,2)*G50*(1-$AC$1786)*(1+$AC$1788)),""),"")),"not NVP, by"))))))))</f>
        <v/>
      </c>
      <c r="AC50" s="830"/>
      <c r="AD50" s="375" t="str">
        <f t="shared" si="10"/>
        <v/>
      </c>
      <c r="AE50" s="833" t="str">
        <f t="shared" si="101"/>
        <v/>
      </c>
      <c r="AF50" s="833"/>
      <c r="AG50" s="833"/>
      <c r="AH50" s="91">
        <f>IF(AD50="free",0,IF(AD50="me",0,IF(G50&gt;0,(VLOOKUP(A50,'Discount Lookup'!J:K,2)*G50),0)))</f>
        <v>0</v>
      </c>
      <c r="AI50" s="92" t="str">
        <f>IF(AD50="free",(K50*(1-H1784)),IF(G50=0,"",IF($AD$8="",IF(G50=0,"",IF(AD50="me",(K50*(1-H1784)),(K50*(1-H1784))+AB50)),IF(K50="Images","",IF(K50=0,"",(K50*(1-H1784)))))))</f>
        <v/>
      </c>
      <c r="AJ50" s="828" t="str">
        <f t="shared" si="11"/>
        <v/>
      </c>
      <c r="AK50" s="828"/>
      <c r="AL50" s="313" t="str">
        <f t="shared" si="1"/>
        <v/>
      </c>
      <c r="AM50" s="312"/>
      <c r="AN50" s="101"/>
      <c r="AO50" s="101"/>
      <c r="AP50" s="101"/>
      <c r="AQ50" s="101"/>
      <c r="AR50" s="101"/>
      <c r="AS50" s="101"/>
      <c r="AT50" s="101"/>
    </row>
    <row r="51" spans="1:46" ht="12.95" customHeight="1">
      <c r="A51" s="843" t="s">
        <v>1602</v>
      </c>
      <c r="B51" s="844"/>
      <c r="C51" s="844"/>
      <c r="D51" s="844"/>
      <c r="E51" s="844"/>
      <c r="F51" s="844"/>
      <c r="G51" s="844"/>
      <c r="H51" s="777" t="s">
        <v>108</v>
      </c>
      <c r="I51" s="88" t="s">
        <v>79</v>
      </c>
      <c r="J51" s="86"/>
      <c r="K51" s="603" t="s">
        <v>45</v>
      </c>
      <c r="L51" s="601" t="s">
        <v>46</v>
      </c>
      <c r="M51" s="86"/>
      <c r="N51" s="87" t="s">
        <v>69</v>
      </c>
      <c r="O51" s="87"/>
      <c r="P51" s="88"/>
      <c r="Q51" s="88"/>
      <c r="R51" s="835" t="s">
        <v>49</v>
      </c>
      <c r="S51" s="835"/>
      <c r="T51" s="835"/>
      <c r="U51" s="835"/>
      <c r="V51" s="100" t="b">
        <f>IF(G51&gt;0,IF(AD51="me","",G51))</f>
        <v>0</v>
      </c>
      <c r="W51" s="100"/>
      <c r="X51" s="100"/>
      <c r="Y51" s="790"/>
      <c r="Z51" s="838" t="str">
        <f t="shared" si="9"/>
        <v/>
      </c>
      <c r="AA51" s="838"/>
      <c r="AB51" s="830" t="str">
        <f>IF(G51=0,"",IF(AD51="free","re-planting",IF(AD51="me","not NVP, by",IF($AD$8="yes",(VLOOKUP(A51,'Discount Lookup'!J:K,2)*G51*(1-$AC$1786)*(1+$AC$1788)),IF(AD51="NVP",(VLOOKUP(A51,'Discount Lookup'!J:K,2)*G51*(1-$AC$1786)*(1+$AC$1788)),IF(AD51="free","re-planting",IF(G51=0,"",IF($AD$8="",IF(AD51="me","not NVP, by",IF(AD51="",IF(G51&gt;0,(VLOOKUP(A51,'Discount Lookup'!J:K,2)*G51*(1-$AC$1786)*(1+$AC$1788)),""),"")),"not NVP, by"))))))))</f>
        <v/>
      </c>
      <c r="AC51" s="830"/>
      <c r="AD51" s="375" t="str">
        <f t="shared" si="10"/>
        <v/>
      </c>
      <c r="AE51" s="833" t="str">
        <f t="shared" si="101"/>
        <v/>
      </c>
      <c r="AF51" s="833"/>
      <c r="AG51" s="833"/>
      <c r="AH51" s="91" t="s">
        <v>109</v>
      </c>
      <c r="AI51" s="92" t="str">
        <f t="shared" ref="AI51:AI82" si="122">IF(G51=0,"",IF(AD51="free",(K51*(1-$H$1784)),IF($AD$8="me",(K51*(1-$H$1784)),IF(AD51="me",(K51*(1-$H$1784)),(K51*(1-$H$1784))+AB51))))</f>
        <v/>
      </c>
      <c r="AJ51" s="828" t="str">
        <f t="shared" ref="AJ51:AJ53" si="123">IF(G51=0,"",IF(AD51="me","  delivery-only",CONCATENATE(" $",ROUND(AI51/G51,2)," each")))</f>
        <v/>
      </c>
      <c r="AK51" s="828"/>
      <c r="AL51" s="313" t="str">
        <f t="shared" si="1"/>
        <v/>
      </c>
      <c r="AM51" s="312"/>
      <c r="AN51" s="101"/>
      <c r="AO51" s="101"/>
      <c r="AP51" s="101"/>
      <c r="AQ51" s="101"/>
      <c r="AR51" s="101"/>
      <c r="AS51" s="101"/>
      <c r="AT51" s="101"/>
    </row>
    <row r="52" spans="1:46" ht="12.95" customHeight="1">
      <c r="A52" s="447">
        <v>10</v>
      </c>
      <c r="B52" s="87" t="s">
        <v>50</v>
      </c>
      <c r="C52" s="128" t="s">
        <v>119</v>
      </c>
      <c r="D52" s="129" t="s">
        <v>94</v>
      </c>
      <c r="E52" s="98">
        <v>119.95</v>
      </c>
      <c r="F52" s="705" t="s">
        <v>1306</v>
      </c>
      <c r="G52" s="357">
        <v>0</v>
      </c>
      <c r="H52" s="704" t="str">
        <f t="shared" ref="H52" si="124">IF(G52=0,"",IF(F52="Qty=",IF(G52=1,"plant","plants"),IF(F52&gt;0.0001,"warranty","Error")))</f>
        <v/>
      </c>
      <c r="I52" s="98">
        <f t="shared" ref="I52" si="125">IF(F52="Qty=",(E52*G52),((E52*(1-F52))*G52))</f>
        <v>0</v>
      </c>
      <c r="J52" s="98">
        <f>IF(H52="warranty",0,(I52*($J$1782)))</f>
        <v>0</v>
      </c>
      <c r="K52" s="831">
        <f t="shared" ref="K52" si="126">I52+J52</f>
        <v>0</v>
      </c>
      <c r="L52" s="831"/>
      <c r="M52" s="832" t="str">
        <f>IF($H$1784=0,"",IF(G52=0,"",IF(F52="Qty=",CONCATENATE("$",ROUND(K52*(1-$H$1784),2)," with ",($H$1784*100),"% discount"),CONCATENATE("$",ROUND(K52*(1-$H$1784),2)," with ",(($H$1784*100+F52*100)-($H$1784*100*F52)),IF(F52&gt;0,"% discounts",IF($H$1781&gt;0,"% discounts","% discount"))))))</f>
        <v/>
      </c>
      <c r="N52" s="832"/>
      <c r="O52" s="832"/>
      <c r="P52" s="832"/>
      <c r="Q52" s="832"/>
      <c r="R52" s="832"/>
      <c r="S52" s="303">
        <f t="shared" ref="S52" si="127">E52*G52</f>
        <v>0</v>
      </c>
      <c r="T52" s="541">
        <f>VLOOKUP(A52,'Discount Lookup'!D:E,2,FALSE)*G52</f>
        <v>0</v>
      </c>
      <c r="U52" s="83">
        <f>VLOOKUP(A52,'Discount Lookup'!G:H,2,FALSE)*G52</f>
        <v>0</v>
      </c>
      <c r="V52" s="100">
        <f>E52*($J$1782)*G52</f>
        <v>0</v>
      </c>
      <c r="W52" s="100">
        <f t="shared" ref="W52" si="128">I52</f>
        <v>0</v>
      </c>
      <c r="X52" s="100" t="b">
        <f>IF(G52&gt;0,IF(AD52="me","",G52))</f>
        <v>0</v>
      </c>
      <c r="Y52" s="790"/>
      <c r="Z52" s="838" t="str">
        <f t="shared" si="9"/>
        <v/>
      </c>
      <c r="AA52" s="838"/>
      <c r="AB52" s="830" t="str">
        <f>IF(G52=0,"",IF(AD52="free","re-planting",IF(AD52="me","not NVP, by",IF($AD$8="yes",(VLOOKUP(A52,'Discount Lookup'!J:K,2)*G52*(1-$AC$1786)*(1+$AC$1788)),IF(AD52="NVP",(VLOOKUP(A52,'Discount Lookup'!J:K,2)*G52*(1-$AC$1786)*(1+$AC$1788)),IF(AD52="free","re-planting",IF(G52=0,"",IF($AD$8="",IF(AD52="me","not NVP, by",IF(AD52="",IF(G52&gt;0,(VLOOKUP(A52,'Discount Lookup'!J:K,2)*G52*(1-$AC$1786)*(1+$AC$1788)),""),"")),"not NVP, by"))))))))</f>
        <v/>
      </c>
      <c r="AC52" s="830"/>
      <c r="AD52" s="375" t="str">
        <f t="shared" si="10"/>
        <v/>
      </c>
      <c r="AE52" s="833" t="str">
        <f t="shared" si="101"/>
        <v/>
      </c>
      <c r="AF52" s="833"/>
      <c r="AG52" s="833"/>
      <c r="AH52" s="91" t="str">
        <f>IF(AD52="free",0,IF(AD52="me","",IF(G52&gt;0,(VLOOKUP(A52,'Discount Lookup'!J:K,2)*G52),"")))</f>
        <v/>
      </c>
      <c r="AI52" s="92" t="str">
        <f t="shared" si="122"/>
        <v/>
      </c>
      <c r="AJ52" s="828" t="str">
        <f t="shared" si="123"/>
        <v/>
      </c>
      <c r="AK52" s="828"/>
      <c r="AL52" s="313" t="str">
        <f t="shared" si="1"/>
        <v/>
      </c>
      <c r="AM52" s="312"/>
      <c r="AN52" s="101"/>
      <c r="AO52" s="101"/>
      <c r="AP52" s="101"/>
      <c r="AQ52" s="101"/>
      <c r="AR52" s="101"/>
      <c r="AS52" s="101"/>
      <c r="AT52" s="101"/>
    </row>
    <row r="53" spans="1:46" ht="12.95" customHeight="1">
      <c r="A53" s="484"/>
      <c r="B53" s="116" t="s">
        <v>1603</v>
      </c>
      <c r="C53" s="118"/>
      <c r="D53" s="118"/>
      <c r="E53" s="119"/>
      <c r="F53" s="711"/>
      <c r="G53" s="358"/>
      <c r="H53" s="745"/>
      <c r="I53" s="119"/>
      <c r="J53" s="119"/>
      <c r="K53" s="609"/>
      <c r="L53" s="609"/>
      <c r="M53" s="121"/>
      <c r="N53" s="121"/>
      <c r="O53" s="123"/>
      <c r="P53" s="124"/>
      <c r="Q53" s="124"/>
      <c r="R53" s="83"/>
      <c r="S53" s="82"/>
      <c r="T53" s="540"/>
      <c r="U53" s="83"/>
      <c r="V53" s="100"/>
      <c r="W53" s="100"/>
      <c r="X53" s="100"/>
      <c r="Y53" s="790"/>
      <c r="Z53" s="838" t="str">
        <f t="shared" si="9"/>
        <v/>
      </c>
      <c r="AA53" s="838"/>
      <c r="AB53" s="830" t="str">
        <f>IF(G53=0,"",IF(AD53="free","re-planting",IF(AD53="me","not NVP, by",IF($AD$8="yes",(VLOOKUP(A53,'Discount Lookup'!J:K,2)*G53*(1-$AC$1786)*(1+$AC$1788)),IF(AD53="NVP",(VLOOKUP(A53,'Discount Lookup'!J:K,2)*G53*(1-$AC$1786)*(1+$AC$1788)),IF(AD53="free","re-planting",IF(G53=0,"",IF($AD$8="",IF(AD53="me","not NVP, by",IF(AD53="",IF(G53&gt;0,(VLOOKUP(A53,'Discount Lookup'!J:K,2)*G53*(1-$AC$1786)*(1+$AC$1788)),""),"")),"not NVP, by"))))))))</f>
        <v/>
      </c>
      <c r="AC53" s="830"/>
      <c r="AD53" s="375" t="str">
        <f t="shared" si="10"/>
        <v/>
      </c>
      <c r="AE53" s="833" t="str">
        <f t="shared" si="101"/>
        <v/>
      </c>
      <c r="AF53" s="833"/>
      <c r="AG53" s="833"/>
      <c r="AH53" s="91" t="s">
        <v>109</v>
      </c>
      <c r="AI53" s="92" t="str">
        <f t="shared" si="122"/>
        <v/>
      </c>
      <c r="AJ53" s="828" t="str">
        <f t="shared" si="123"/>
        <v/>
      </c>
      <c r="AK53" s="828"/>
      <c r="AL53" s="313" t="str">
        <f t="shared" si="1"/>
        <v/>
      </c>
      <c r="AM53" s="312"/>
      <c r="AN53" s="101"/>
      <c r="AO53" s="101"/>
      <c r="AP53" s="101"/>
      <c r="AQ53" s="101"/>
      <c r="AR53" s="101"/>
      <c r="AS53" s="101"/>
      <c r="AT53" s="101"/>
    </row>
    <row r="54" spans="1:46" ht="12.75" customHeight="1">
      <c r="A54" s="852" t="s">
        <v>110</v>
      </c>
      <c r="B54" s="844"/>
      <c r="C54" s="844"/>
      <c r="D54" s="844"/>
      <c r="E54" s="844"/>
      <c r="F54" s="844"/>
      <c r="G54" s="844"/>
      <c r="H54" s="770" t="s">
        <v>108</v>
      </c>
      <c r="I54" s="88" t="s">
        <v>79</v>
      </c>
      <c r="J54" s="86"/>
      <c r="K54" s="600" t="s">
        <v>45</v>
      </c>
      <c r="L54" s="601" t="s">
        <v>46</v>
      </c>
      <c r="M54" s="86"/>
      <c r="N54" s="87" t="s">
        <v>69</v>
      </c>
      <c r="O54" s="87"/>
      <c r="P54" s="87"/>
      <c r="Q54" s="87"/>
      <c r="R54" s="835" t="s">
        <v>49</v>
      </c>
      <c r="S54" s="835"/>
      <c r="T54" s="835"/>
      <c r="U54" s="835"/>
      <c r="V54" s="100" t="b">
        <f>IF(G54&gt;0,IF(AD54="me","",G54))</f>
        <v>0</v>
      </c>
      <c r="W54" s="100"/>
      <c r="X54" s="100"/>
      <c r="Y54" s="201"/>
      <c r="Z54" s="829" t="str">
        <f t="shared" ref="Z54:Z98" si="129">IF(G54=0,"",IF(AD54="me","",IF($AD$8="me","",IF(AD54="free","warranty",IF($AD$8="yes","NVP planting:","to NVP install:")))))</f>
        <v/>
      </c>
      <c r="AA54" s="829"/>
      <c r="AB54" s="830" t="str">
        <f>IF(G54=0,"",IF(AD54="free","re-planting",IF(AD54="me","not NVP, by",IF($AD$8="yes",(VLOOKUP(A54,'Discount Lookup'!J:K,2)*G54*(1-$AC$1786)*(1+$AC$1788)),IF(AD54="NVP",(VLOOKUP(A54,'Discount Lookup'!J:K,2)*G54*(1-$AC$1786)*(1+$AC$1788)),IF(AD54="free","re-planting",IF(G54=0,"",IF($AD$8="",IF(AD54="me","not NVP, by",IF(AD54="",IF(G54&gt;0,(VLOOKUP(A54,'Discount Lookup'!J:K,2)*G54*(1-$AC$1786)*(1+$AC$1788)),""),"")),"not NVP, by"))))))))</f>
        <v/>
      </c>
      <c r="AC54" s="830"/>
      <c r="AD54" s="375" t="str">
        <f t="shared" si="10"/>
        <v/>
      </c>
      <c r="AE54" s="833" t="str">
        <f t="shared" si="21"/>
        <v/>
      </c>
      <c r="AF54" s="833"/>
      <c r="AG54" s="833"/>
      <c r="AH54" s="91">
        <f>IF(AD54="free",0,IF(AD54="me",0,IF(G54&gt;0,(VLOOKUP(A54,'Discount Lookup'!J:K,2)*G54),0)))</f>
        <v>0</v>
      </c>
      <c r="AI54" s="92" t="str">
        <f t="shared" si="122"/>
        <v/>
      </c>
      <c r="AJ54" s="828" t="str">
        <f t="shared" ref="AJ54:AJ98" si="130">IF(G54=0,"",IF(AD54="me","  delivery-only",IF($AD$8="me","  delivery-only",CONCATENATE(" $",ROUND(AI54/G54,2)," each"))))</f>
        <v/>
      </c>
      <c r="AK54" s="828"/>
      <c r="AL54" s="313" t="str">
        <f t="shared" si="1"/>
        <v/>
      </c>
      <c r="AM54" s="312"/>
      <c r="AN54" s="101"/>
      <c r="AO54" s="101"/>
      <c r="AP54" s="101"/>
      <c r="AQ54" s="101"/>
      <c r="AR54" s="101"/>
      <c r="AS54" s="101"/>
      <c r="AT54" s="101"/>
    </row>
    <row r="55" spans="1:46" ht="12.95" customHeight="1">
      <c r="A55" s="419">
        <v>30</v>
      </c>
      <c r="B55" s="87" t="s">
        <v>50</v>
      </c>
      <c r="C55" s="128" t="s">
        <v>358</v>
      </c>
      <c r="D55" s="129" t="s">
        <v>63</v>
      </c>
      <c r="E55" s="98">
        <v>359.95</v>
      </c>
      <c r="F55" s="705" t="s">
        <v>1306</v>
      </c>
      <c r="G55" s="357">
        <v>0</v>
      </c>
      <c r="H55" s="704" t="str">
        <f t="shared" ref="H55" si="131">IF(G55=0,"",IF(F55="Qty=",IF(G55=1,"plant","plants"),IF(F55&gt;0.0001,"warranty","Error")))</f>
        <v/>
      </c>
      <c r="I55" s="98">
        <f t="shared" ref="I55" si="132">IF(F55="Qty=",(E55*G55),((E55*(1-F55))*G55))</f>
        <v>0</v>
      </c>
      <c r="J55" s="98">
        <f>IF(H55="warranty",0,(I55*($J$1782)))</f>
        <v>0</v>
      </c>
      <c r="K55" s="831">
        <f t="shared" ref="K55:K57" si="133">I55+J55</f>
        <v>0</v>
      </c>
      <c r="L55" s="831"/>
      <c r="M55" s="832" t="str">
        <f>IF($H$1784=0,"",IF(G55=0,"",IF(F55="Qty=",CONCATENATE("$",ROUND(K55*(1-$H$1784),2)," with ",($H$1784*100),"% discount"),CONCATENATE("$",ROUND(K55*(1-$H$1784),2)," with ",(($H$1784*100+F55*100)-($H$1784*100*F55)),IF(F55&gt;0,"% discounts",IF($H$1781&gt;0,"% discounts","% discount"))))))</f>
        <v/>
      </c>
      <c r="N55" s="832"/>
      <c r="O55" s="832"/>
      <c r="P55" s="832"/>
      <c r="Q55" s="832"/>
      <c r="R55" s="832"/>
      <c r="S55" s="303">
        <f t="shared" ref="S55" si="134">E55*G55</f>
        <v>0</v>
      </c>
      <c r="T55" s="541">
        <f>VLOOKUP(A55,'Discount Lookup'!D:E,2,FALSE)*G55</f>
        <v>0</v>
      </c>
      <c r="U55" s="83">
        <f>VLOOKUP(A55,'Discount Lookup'!G:H,2,FALSE)*G55</f>
        <v>0</v>
      </c>
      <c r="V55" s="100">
        <f>E55*($J$1782)*G55</f>
        <v>0</v>
      </c>
      <c r="W55" s="100">
        <f t="shared" ref="W55" si="135">I55</f>
        <v>0</v>
      </c>
      <c r="X55" s="100" t="b">
        <f t="shared" ref="X55" si="136">IF(G55&gt;0,IF(AD55="me","",G55))</f>
        <v>0</v>
      </c>
      <c r="Y55" s="201"/>
      <c r="Z55" s="829" t="str">
        <f t="shared" ref="Z55" si="137">IF(G55=0,"",IF(AD55="me","",IF($AD$8="me","",IF(AD55="free","warranty",IF($AD$8="yes","NVP planting:","to NVP install:")))))</f>
        <v/>
      </c>
      <c r="AA55" s="829"/>
      <c r="AB55" s="830" t="str">
        <f>IF(G55=0,"",IF(AD55="free","re-planting",IF(AD55="me","not NVP, by",IF($AD$8="yes",(VLOOKUP(A55,'Discount Lookup'!J:K,2)*G55*(1-$AC$1786)*(1+$AC$1788)),IF(AD55="NVP",(VLOOKUP(A55,'Discount Lookup'!J:K,2)*G55*(1-$AC$1786)*(1+$AC$1788)),IF(AD55="free","re-planting",IF(G55=0,"",IF($AD$8="",IF(AD55="me","not NVP, by",IF(AD55="",IF(G55&gt;0,(VLOOKUP(A55,'Discount Lookup'!J:K,2)*G55*(1-$AC$1786)*(1+$AC$1788)),""),"")),"not NVP, by"))))))))</f>
        <v/>
      </c>
      <c r="AC55" s="830"/>
      <c r="AD55" s="375" t="str">
        <f t="shared" ref="AD55:AD110" si="138">IF(G55=0,"",IF($AD$8="me","me",IF(H55="warranty","free",IF($AD$8="yes","NVP",""))))</f>
        <v/>
      </c>
      <c r="AE55" s="833" t="str">
        <f t="shared" ref="AE55" si="139">IF(G55&gt;0,(CONCATENATE((G55)," quantity, ",(A55)," ",B55)),"")</f>
        <v/>
      </c>
      <c r="AF55" s="833"/>
      <c r="AG55" s="833"/>
      <c r="AH55" s="91">
        <f>IF(AD55="free",0,IF(AD55="me",0,IF(G55&gt;0,(VLOOKUP(A55,'Discount Lookup'!J:K,2)*G55),0)))</f>
        <v>0</v>
      </c>
      <c r="AI55" s="92" t="str">
        <f t="shared" si="122"/>
        <v/>
      </c>
      <c r="AJ55" s="828" t="str">
        <f t="shared" ref="AJ55" si="140">IF(G55=0,"",IF(AD55="me","  delivery-only",IF($AD$8="me","  delivery-only",CONCATENATE(" $",ROUND(AI55/G55,2)," each"))))</f>
        <v/>
      </c>
      <c r="AK55" s="828"/>
      <c r="AL55" s="313" t="str">
        <f t="shared" si="1"/>
        <v/>
      </c>
      <c r="AM55" s="312"/>
      <c r="AN55" s="101"/>
      <c r="AO55" s="101"/>
      <c r="AP55" s="101"/>
      <c r="AQ55" s="101"/>
      <c r="AR55" s="101"/>
      <c r="AS55" s="101"/>
      <c r="AT55" s="101"/>
    </row>
    <row r="56" spans="1:46" ht="12.95" customHeight="1">
      <c r="A56" s="419">
        <v>45</v>
      </c>
      <c r="B56" s="87" t="s">
        <v>50</v>
      </c>
      <c r="C56" s="128" t="s">
        <v>1518</v>
      </c>
      <c r="D56" s="129" t="s">
        <v>90</v>
      </c>
      <c r="E56" s="98">
        <v>677.95</v>
      </c>
      <c r="F56" s="705" t="s">
        <v>1306</v>
      </c>
      <c r="G56" s="357">
        <v>0</v>
      </c>
      <c r="H56" s="704" t="str">
        <f t="shared" ref="H56" si="141">IF(G56=0,"",IF(F56="Qty=",IF(G56=1,"plant","plants"),IF(F56&gt;0.0001,"warranty","Error")))</f>
        <v/>
      </c>
      <c r="I56" s="98">
        <f t="shared" ref="I56" si="142">IF(F56="Qty=",(E56*G56),((E56*(1-F56))*G56))</f>
        <v>0</v>
      </c>
      <c r="J56" s="98">
        <f>IF(H56="warranty",0,(I56*($J$1782)))</f>
        <v>0</v>
      </c>
      <c r="K56" s="831">
        <f t="shared" si="133"/>
        <v>0</v>
      </c>
      <c r="L56" s="831"/>
      <c r="M56" s="832" t="str">
        <f>IF($H$1784=0,"",IF(G56=0,"",IF(F56="Qty=",CONCATENATE("$",ROUND(K56*(1-$H$1784),2)," with ",($H$1784*100),"% discount"),CONCATENATE("$",ROUND(K56*(1-$H$1784),2)," with ",(($H$1784*100+F56*100)-($H$1784*100*F56)),IF(F56&gt;0,"% discounts",IF($H$1781&gt;0,"% discounts","% discount"))))))</f>
        <v/>
      </c>
      <c r="N56" s="832"/>
      <c r="O56" s="832"/>
      <c r="P56" s="832"/>
      <c r="Q56" s="832"/>
      <c r="R56" s="832"/>
      <c r="S56" s="303">
        <f t="shared" ref="S56" si="143">E56*G56</f>
        <v>0</v>
      </c>
      <c r="T56" s="541">
        <f>VLOOKUP(A56,'Discount Lookup'!D:E,2,FALSE)*G56</f>
        <v>0</v>
      </c>
      <c r="U56" s="83">
        <f>VLOOKUP(A56,'Discount Lookup'!G:H,2,FALSE)*G56</f>
        <v>0</v>
      </c>
      <c r="V56" s="100">
        <f>E56*($J$1782)*G56</f>
        <v>0</v>
      </c>
      <c r="W56" s="100">
        <f t="shared" ref="W56" si="144">I56</f>
        <v>0</v>
      </c>
      <c r="X56" s="100" t="b">
        <f t="shared" ref="X56" si="145">IF(G56&gt;0,IF(AD56="me","",G56))</f>
        <v>0</v>
      </c>
      <c r="Y56" s="201"/>
      <c r="Z56" s="829" t="str">
        <f t="shared" ref="Z56" si="146">IF(G56=0,"",IF(AD56="me","",IF($AD$8="me","",IF(AD56="free","warranty",IF($AD$8="yes","NVP planting:","to NVP install:")))))</f>
        <v/>
      </c>
      <c r="AA56" s="829"/>
      <c r="AB56" s="830" t="str">
        <f>IF(G56=0,"",IF(AD56="free","re-planting",IF(AD56="me","not NVP, by",IF($AD$8="yes",(VLOOKUP(A56,'Discount Lookup'!J:K,2)*G56*(1-$AC$1786)*(1+$AC$1788)),IF(AD56="NVP",(VLOOKUP(A56,'Discount Lookup'!J:K,2)*G56*(1-$AC$1786)*(1+$AC$1788)),IF(AD56="free","re-planting",IF(G56=0,"",IF($AD$8="",IF(AD56="me","not NVP, by",IF(AD56="",IF(G56&gt;0,(VLOOKUP(A56,'Discount Lookup'!J:K,2)*G56*(1-$AC$1786)*(1+$AC$1788)),""),"")),"not NVP, by"))))))))</f>
        <v/>
      </c>
      <c r="AC56" s="830"/>
      <c r="AD56" s="375" t="str">
        <f t="shared" si="138"/>
        <v/>
      </c>
      <c r="AE56" s="833" t="str">
        <f t="shared" ref="AE56" si="147">IF(G56&gt;0,(CONCATENATE((G56)," quantity, ",(A56)," ",B56)),"")</f>
        <v/>
      </c>
      <c r="AF56" s="833"/>
      <c r="AG56" s="833"/>
      <c r="AH56" s="91">
        <f>IF(AD56="free",0,IF(AD56="me",0,IF(G56&gt;0,(VLOOKUP(A56,'Discount Lookup'!J:K,2)*G56),0)))</f>
        <v>0</v>
      </c>
      <c r="AI56" s="92" t="str">
        <f t="shared" si="122"/>
        <v/>
      </c>
      <c r="AJ56" s="828" t="str">
        <f t="shared" ref="AJ56" si="148">IF(G56=0,"",IF(AD56="me","  delivery-only",IF($AD$8="me","  delivery-only",CONCATENATE(" $",ROUND(AI56/G56,2)," each"))))</f>
        <v/>
      </c>
      <c r="AK56" s="828"/>
      <c r="AL56" s="313" t="str">
        <f t="shared" si="1"/>
        <v/>
      </c>
      <c r="AM56" s="312"/>
      <c r="AN56" s="101"/>
      <c r="AO56" s="101"/>
      <c r="AP56" s="101"/>
      <c r="AQ56" s="101"/>
      <c r="AR56" s="101"/>
      <c r="AS56" s="101"/>
      <c r="AT56" s="101"/>
    </row>
    <row r="57" spans="1:46" ht="12.95" customHeight="1">
      <c r="A57" s="419">
        <v>65</v>
      </c>
      <c r="B57" s="87" t="s">
        <v>50</v>
      </c>
      <c r="C57" s="128" t="s">
        <v>955</v>
      </c>
      <c r="D57" s="129" t="s">
        <v>54</v>
      </c>
      <c r="E57" s="98">
        <v>778.95</v>
      </c>
      <c r="F57" s="705" t="s">
        <v>1306</v>
      </c>
      <c r="G57" s="357">
        <v>0</v>
      </c>
      <c r="H57" s="704" t="str">
        <f t="shared" ref="H57" si="149">IF(G57=0,"",IF(F57="Qty=",IF(G57=1,"plant","plants"),IF(F57&gt;0.0001,"warranty","Error")))</f>
        <v/>
      </c>
      <c r="I57" s="98">
        <f t="shared" ref="I57" si="150">IF(F57="Qty=",(E57*G57),((E57*(1-F57))*G57))</f>
        <v>0</v>
      </c>
      <c r="J57" s="98">
        <f>IF(H57="warranty",0,(I57*($J$1782)))</f>
        <v>0</v>
      </c>
      <c r="K57" s="831">
        <f t="shared" si="133"/>
        <v>0</v>
      </c>
      <c r="L57" s="831"/>
      <c r="M57" s="832" t="str">
        <f>IF($H$1784=0,"",IF(G57=0,"",IF(F57="Qty=",CONCATENATE("$",ROUND(K57*(1-$H$1784),2)," with ",($H$1784*100),"% discount"),CONCATENATE("$",ROUND(K57*(1-$H$1784),2)," with ",(($H$1784*100+F57*100)-($H$1784*100*F57)),IF(F57&gt;0,"% discounts",IF($H$1781&gt;0,"% discounts","% discount"))))))</f>
        <v/>
      </c>
      <c r="N57" s="832"/>
      <c r="O57" s="832"/>
      <c r="P57" s="832"/>
      <c r="Q57" s="832"/>
      <c r="R57" s="832"/>
      <c r="S57" s="303">
        <f t="shared" ref="S57" si="151">E57*G57</f>
        <v>0</v>
      </c>
      <c r="T57" s="541">
        <f>VLOOKUP(A57,'Discount Lookup'!D:E,2,FALSE)*G57</f>
        <v>0</v>
      </c>
      <c r="U57" s="83">
        <f>VLOOKUP(A57,'Discount Lookup'!G:H,2,FALSE)*G57</f>
        <v>0</v>
      </c>
      <c r="V57" s="100">
        <f>E57*($J$1782)*G57</f>
        <v>0</v>
      </c>
      <c r="W57" s="100">
        <f t="shared" ref="W57" si="152">I57</f>
        <v>0</v>
      </c>
      <c r="X57" s="100" t="b">
        <f t="shared" ref="X57" si="153">IF(G57&gt;0,IF(AD57="me","",G57))</f>
        <v>0</v>
      </c>
      <c r="Y57" s="201"/>
      <c r="Z57" s="829" t="str">
        <f t="shared" si="129"/>
        <v/>
      </c>
      <c r="AA57" s="829"/>
      <c r="AB57" s="830" t="str">
        <f>IF(G57=0,"",IF(AD57="free","re-planting",IF(AD57="me","not NVP, by",IF($AD$8="yes",(VLOOKUP(A57,'Discount Lookup'!J:K,2)*G57*(1-$AC$1786)*(1+$AC$1788)),IF(AD57="NVP",(VLOOKUP(A57,'Discount Lookup'!J:K,2)*G57*(1-$AC$1786)*(1+$AC$1788)),IF(AD57="free","re-planting",IF(G57=0,"",IF($AD$8="",IF(AD57="me","not NVP, by",IF(AD57="",IF(G57&gt;0,(VLOOKUP(A57,'Discount Lookup'!J:K,2)*G57*(1-$AC$1786)*(1+$AC$1788)),""),"")),"not NVP, by"))))))))</f>
        <v/>
      </c>
      <c r="AC57" s="830"/>
      <c r="AD57" s="375" t="str">
        <f t="shared" si="138"/>
        <v/>
      </c>
      <c r="AE57" s="833" t="str">
        <f t="shared" ref="AE57" si="154">IF(G57&gt;0,(CONCATENATE((G57)," quantity, ",(A57)," ",B57)),"")</f>
        <v/>
      </c>
      <c r="AF57" s="833"/>
      <c r="AG57" s="833"/>
      <c r="AH57" s="91">
        <f>IF(AD57="free",0,IF(AD57="me",0,IF(G57&gt;0,(VLOOKUP(A57,'Discount Lookup'!J:K,2)*G57),0)))</f>
        <v>0</v>
      </c>
      <c r="AI57" s="92" t="str">
        <f t="shared" si="122"/>
        <v/>
      </c>
      <c r="AJ57" s="828" t="str">
        <f t="shared" si="130"/>
        <v/>
      </c>
      <c r="AK57" s="828"/>
      <c r="AL57" s="313" t="str">
        <f t="shared" si="1"/>
        <v/>
      </c>
      <c r="AM57" s="312"/>
      <c r="AN57" s="101"/>
      <c r="AO57" s="101"/>
      <c r="AP57" s="101"/>
      <c r="AQ57" s="101"/>
      <c r="AR57" s="101"/>
      <c r="AS57" s="101"/>
      <c r="AT57" s="101"/>
    </row>
    <row r="58" spans="1:46" ht="12.95" customHeight="1">
      <c r="A58" s="467"/>
      <c r="B58" s="103" t="s">
        <v>113</v>
      </c>
      <c r="C58" s="117"/>
      <c r="D58" s="118"/>
      <c r="E58" s="119"/>
      <c r="F58" s="711"/>
      <c r="G58" s="356"/>
      <c r="H58" s="745"/>
      <c r="I58" s="119"/>
      <c r="M58" s="48"/>
      <c r="N58" s="122" t="s">
        <v>82</v>
      </c>
      <c r="O58" s="123"/>
      <c r="P58" s="124"/>
      <c r="Q58" s="124"/>
      <c r="R58" s="83"/>
      <c r="S58" s="82">
        <f t="shared" ref="S58" si="155">E58*G58</f>
        <v>0</v>
      </c>
      <c r="T58" s="540"/>
      <c r="U58" s="83"/>
      <c r="V58" s="100" t="b">
        <f>IF(G58&gt;0,IF(AD58="me","",G58))</f>
        <v>0</v>
      </c>
      <c r="W58" s="100"/>
      <c r="X58" s="100"/>
      <c r="Y58" s="201"/>
      <c r="Z58" s="829" t="str">
        <f t="shared" si="129"/>
        <v/>
      </c>
      <c r="AA58" s="829"/>
      <c r="AB58" s="830" t="str">
        <f>IF(G58=0,"",IF(AD58="free","re-planting",IF(AD58="me","not NVP, by",IF($AD$8="yes",(VLOOKUP(A58,'Discount Lookup'!J:K,2)*G58*(1-$AC$1786)*(1+$AC$1788)),IF(AD58="NVP",(VLOOKUP(A58,'Discount Lookup'!J:K,2)*G58*(1-$AC$1786)*(1+$AC$1788)),IF(AD58="free","re-planting",IF(G58=0,"",IF($AD$8="",IF(AD58="me","not NVP, by",IF(AD58="",IF(G58&gt;0,(VLOOKUP(A58,'Discount Lookup'!J:K,2)*G58*(1-$AC$1786)*(1+$AC$1788)),""),"")),"not NVP, by"))))))))</f>
        <v/>
      </c>
      <c r="AC58" s="830"/>
      <c r="AD58" s="375" t="str">
        <f t="shared" si="138"/>
        <v/>
      </c>
      <c r="AE58" s="833" t="str">
        <f t="shared" si="21"/>
        <v/>
      </c>
      <c r="AF58" s="833"/>
      <c r="AG58" s="833"/>
      <c r="AH58" s="91">
        <f>IF(AD58="free",0,IF(AD58="me",0,IF(G58&gt;0,(VLOOKUP(A58,'Discount Lookup'!J:K,2)*G58),0)))</f>
        <v>0</v>
      </c>
      <c r="AI58" s="92" t="str">
        <f t="shared" si="122"/>
        <v/>
      </c>
      <c r="AJ58" s="828" t="str">
        <f t="shared" si="130"/>
        <v/>
      </c>
      <c r="AK58" s="828"/>
      <c r="AL58" s="313" t="str">
        <f t="shared" si="1"/>
        <v/>
      </c>
      <c r="AM58" s="312"/>
      <c r="AN58" s="101"/>
      <c r="AO58" s="101"/>
      <c r="AP58" s="101"/>
      <c r="AQ58" s="101"/>
      <c r="AR58" s="101"/>
      <c r="AS58" s="101"/>
      <c r="AT58" s="101"/>
    </row>
    <row r="59" spans="1:46" ht="12.95" customHeight="1">
      <c r="A59" s="847" t="s">
        <v>1275</v>
      </c>
      <c r="B59" s="848"/>
      <c r="C59" s="848"/>
      <c r="D59" s="848"/>
      <c r="E59" s="848"/>
      <c r="F59" s="848"/>
      <c r="G59" s="848"/>
      <c r="H59" s="770" t="s">
        <v>108</v>
      </c>
      <c r="I59" s="348" t="s">
        <v>44</v>
      </c>
      <c r="J59" s="93"/>
      <c r="K59" s="600" t="s">
        <v>45</v>
      </c>
      <c r="L59" s="601" t="s">
        <v>46</v>
      </c>
      <c r="M59" s="86"/>
      <c r="N59" s="87" t="s">
        <v>69</v>
      </c>
      <c r="O59" s="87"/>
      <c r="P59" s="88"/>
      <c r="Q59" s="88"/>
      <c r="R59" s="835" t="s">
        <v>49</v>
      </c>
      <c r="S59" s="835"/>
      <c r="T59" s="835"/>
      <c r="U59" s="835"/>
      <c r="V59" s="100" t="b">
        <f>IF(G59&gt;0,IF(AD59="me","",G59))</f>
        <v>0</v>
      </c>
      <c r="W59" s="100"/>
      <c r="X59" s="100"/>
      <c r="Y59" s="201"/>
      <c r="Z59" s="829" t="str">
        <f t="shared" si="129"/>
        <v/>
      </c>
      <c r="AA59" s="829"/>
      <c r="AB59" s="830" t="str">
        <f>IF(G59=0,"",IF(AD59="free","re-planting",IF(AD59="me","not NVP, by",IF($AD$8="yes",(VLOOKUP(A59,'Discount Lookup'!J:K,2)*G59*(1-$AC$1786)*(1+$AC$1788)),IF(AD59="NVP",(VLOOKUP(A59,'Discount Lookup'!J:K,2)*G59*(1-$AC$1786)*(1+$AC$1788)),IF(AD59="free","re-planting",IF(G59=0,"",IF($AD$8="",IF(AD59="me","not NVP, by",IF(AD59="",IF(G59&gt;0,(VLOOKUP(A59,'Discount Lookup'!J:K,2)*G59*(1-$AC$1786)*(1+$AC$1788)),""),"")),"not NVP, by"))))))))</f>
        <v/>
      </c>
      <c r="AC59" s="830"/>
      <c r="AD59" s="375" t="str">
        <f t="shared" si="138"/>
        <v/>
      </c>
      <c r="AE59" s="833" t="str">
        <f t="shared" si="21"/>
        <v/>
      </c>
      <c r="AF59" s="833"/>
      <c r="AG59" s="833"/>
      <c r="AH59" s="91">
        <f>IF(AD59="free",0,IF(AD59="me",0,IF(G59&gt;0,(VLOOKUP(A59,'Discount Lookup'!J:K,2)*G59),0)))</f>
        <v>0</v>
      </c>
      <c r="AI59" s="92" t="str">
        <f t="shared" si="122"/>
        <v/>
      </c>
      <c r="AJ59" s="828" t="str">
        <f t="shared" si="130"/>
        <v/>
      </c>
      <c r="AK59" s="828"/>
      <c r="AL59" s="313" t="str">
        <f t="shared" si="1"/>
        <v/>
      </c>
      <c r="AM59" s="312"/>
      <c r="AN59" s="101"/>
      <c r="AO59" s="101"/>
      <c r="AP59" s="101"/>
      <c r="AQ59" s="101"/>
      <c r="AR59" s="101"/>
      <c r="AS59" s="101"/>
      <c r="AT59" s="101"/>
    </row>
    <row r="60" spans="1:46" ht="12.95" customHeight="1">
      <c r="A60" s="419">
        <v>15</v>
      </c>
      <c r="B60" s="87" t="s">
        <v>50</v>
      </c>
      <c r="C60" s="128" t="s">
        <v>264</v>
      </c>
      <c r="D60" s="129" t="s">
        <v>54</v>
      </c>
      <c r="E60" s="98">
        <v>219.95</v>
      </c>
      <c r="F60" s="705" t="s">
        <v>1306</v>
      </c>
      <c r="G60" s="357">
        <v>0</v>
      </c>
      <c r="H60" s="704" t="str">
        <f t="shared" ref="H60" si="156">IF(G60=0,"",IF(F60="Qty=",IF(G60=1,"plant","plants"),IF(F60&gt;0.0001,"warranty","Error")))</f>
        <v/>
      </c>
      <c r="I60" s="98">
        <f t="shared" ref="I60" si="157">IF(F60="Qty=",(E60*G60),((E60*(1-F60))*G60))</f>
        <v>0</v>
      </c>
      <c r="J60" s="98">
        <f>IF(H60="warranty",0,(I60*($J$1782)))</f>
        <v>0</v>
      </c>
      <c r="K60" s="831">
        <f t="shared" ref="K60" si="158">I60+J60</f>
        <v>0</v>
      </c>
      <c r="L60" s="831"/>
      <c r="M60" s="832" t="str">
        <f>IF($H$1784=0,"",IF(G60=0,"",IF(F60="Qty=",CONCATENATE("$",ROUND(K60*(1-$H$1784),2)," with ",($H$1784*100),"% discount"),CONCATENATE("$",ROUND(K60*(1-$H$1784),2)," with ",(($H$1784*100+F60*100)-($H$1784*100*F60)),IF(F60&gt;0,"% discounts",IF($H$1781&gt;0,"% discounts","% discount"))))))</f>
        <v/>
      </c>
      <c r="N60" s="832"/>
      <c r="O60" s="832"/>
      <c r="P60" s="832"/>
      <c r="Q60" s="832"/>
      <c r="R60" s="832"/>
      <c r="S60" s="303">
        <f t="shared" ref="S60" si="159">E60*G60</f>
        <v>0</v>
      </c>
      <c r="T60" s="541">
        <f>VLOOKUP(A60,'Discount Lookup'!D:E,2,FALSE)*G60</f>
        <v>0</v>
      </c>
      <c r="U60" s="83">
        <f>VLOOKUP(A60,'Discount Lookup'!G:H,2,FALSE)*G60</f>
        <v>0</v>
      </c>
      <c r="V60" s="100">
        <f>E60*($J$1782)*G60</f>
        <v>0</v>
      </c>
      <c r="W60" s="100">
        <f t="shared" ref="W60" si="160">I60</f>
        <v>0</v>
      </c>
      <c r="X60" s="100" t="b">
        <f>IF(G60&gt;0,IF(AD60="me","",G60))</f>
        <v>0</v>
      </c>
      <c r="Y60" s="201"/>
      <c r="Z60" s="829" t="str">
        <f t="shared" ref="Z60" si="161">IF(G60=0,"",IF(AD60="me","",IF($AD$8="me","",IF(AD60="free","warranty",IF($AD$8="yes","NVP planting:","to NVP install:")))))</f>
        <v/>
      </c>
      <c r="AA60" s="829"/>
      <c r="AB60" s="830" t="str">
        <f>IF(G60=0,"",IF(AD60="free","re-planting",IF(AD60="me","not NVP, by",IF($AD$8="yes",(VLOOKUP(A60,'Discount Lookup'!J:K,2)*G60*(1-$AC$1786)*(1+$AC$1788)),IF(AD60="NVP",(VLOOKUP(A60,'Discount Lookup'!J:K,2)*G60*(1-$AC$1786)*(1+$AC$1788)),IF(AD60="free","re-planting",IF(G60=0,"",IF($AD$8="",IF(AD60="me","not NVP, by",IF(AD60="",IF(G60&gt;0,(VLOOKUP(A60,'Discount Lookup'!J:K,2)*G60*(1-$AC$1786)*(1+$AC$1788)),""),"")),"not NVP, by"))))))))</f>
        <v/>
      </c>
      <c r="AC60" s="830"/>
      <c r="AD60" s="375" t="str">
        <f t="shared" si="138"/>
        <v/>
      </c>
      <c r="AE60" s="833" t="str">
        <f t="shared" ref="AE60" si="162">IF(G60&gt;0,(CONCATENATE((G60)," quantity, ",(A60)," ",B60)),"")</f>
        <v/>
      </c>
      <c r="AF60" s="833"/>
      <c r="AG60" s="833"/>
      <c r="AH60" s="91">
        <f>IF(AD60="free",0,IF(AD60="me",0,IF(G60&gt;0,(VLOOKUP(A60,'Discount Lookup'!J:K,2)*G60),0)))</f>
        <v>0</v>
      </c>
      <c r="AI60" s="92" t="str">
        <f t="shared" si="122"/>
        <v/>
      </c>
      <c r="AJ60" s="828" t="str">
        <f t="shared" ref="AJ60" si="163">IF(G60=0,"",IF(AD60="me","  delivery-only",IF($AD$8="me","  delivery-only",CONCATENATE(" $",ROUND(AI60/G60,2)," each"))))</f>
        <v/>
      </c>
      <c r="AK60" s="828"/>
      <c r="AL60" s="313" t="str">
        <f t="shared" si="1"/>
        <v/>
      </c>
      <c r="AM60" s="312"/>
      <c r="AN60" s="101"/>
      <c r="AO60" s="101"/>
      <c r="AP60" s="101"/>
      <c r="AQ60" s="101"/>
      <c r="AR60" s="101"/>
      <c r="AS60" s="101"/>
      <c r="AT60" s="101"/>
    </row>
    <row r="61" spans="1:46" ht="12.95" customHeight="1">
      <c r="A61" s="465"/>
      <c r="B61" s="103" t="s">
        <v>114</v>
      </c>
      <c r="C61" s="130"/>
      <c r="D61" s="104"/>
      <c r="E61" s="131"/>
      <c r="F61" s="710"/>
      <c r="G61" s="356"/>
      <c r="H61" s="744"/>
      <c r="I61" s="131"/>
      <c r="J61" s="131"/>
      <c r="K61" s="608"/>
      <c r="L61" s="608"/>
      <c r="M61" s="121"/>
      <c r="N61" s="122" t="s">
        <v>115</v>
      </c>
      <c r="O61" s="123"/>
      <c r="P61" s="124"/>
      <c r="Q61" s="124"/>
      <c r="R61" s="83"/>
      <c r="S61" s="82"/>
      <c r="T61" s="540"/>
      <c r="U61" s="83"/>
      <c r="V61" s="100"/>
      <c r="W61" s="100"/>
      <c r="X61" s="100"/>
      <c r="Y61" s="201"/>
      <c r="Z61" s="829" t="str">
        <f t="shared" si="129"/>
        <v/>
      </c>
      <c r="AA61" s="829"/>
      <c r="AB61" s="830" t="str">
        <f>IF(G61=0,"",IF(AD61="free","re-planting",IF(AD61="me","not NVP, by",IF($AD$8="yes",(VLOOKUP(A61,'Discount Lookup'!J:K,2)*G61*(1-$AC$1786)*(1+$AC$1788)),IF(AD61="NVP",(VLOOKUP(A61,'Discount Lookup'!J:K,2)*G61*(1-$AC$1786)*(1+$AC$1788)),IF(AD61="free","re-planting",IF(G61=0,"",IF($AD$8="",IF(AD61="me","not NVP, by",IF(AD61="",IF(G61&gt;0,(VLOOKUP(A61,'Discount Lookup'!J:K,2)*G61*(1-$AC$1786)*(1+$AC$1788)),""),"")),"not NVP, by"))))))))</f>
        <v/>
      </c>
      <c r="AC61" s="830"/>
      <c r="AD61" s="375" t="str">
        <f t="shared" si="138"/>
        <v/>
      </c>
      <c r="AE61" s="833" t="str">
        <f t="shared" si="21"/>
        <v/>
      </c>
      <c r="AF61" s="833"/>
      <c r="AG61" s="833"/>
      <c r="AH61" s="91">
        <f>IF(AD61="free",0,IF(AD61="me",0,IF(G61&gt;0,(VLOOKUP(A61,'Discount Lookup'!J:K,2)*G61),0)))</f>
        <v>0</v>
      </c>
      <c r="AI61" s="92" t="str">
        <f t="shared" si="122"/>
        <v/>
      </c>
      <c r="AJ61" s="828" t="str">
        <f t="shared" si="130"/>
        <v/>
      </c>
      <c r="AK61" s="828"/>
      <c r="AL61" s="313" t="str">
        <f t="shared" si="1"/>
        <v/>
      </c>
      <c r="AM61" s="312"/>
      <c r="AN61" s="101"/>
      <c r="AO61" s="101"/>
      <c r="AP61" s="101"/>
      <c r="AQ61" s="101"/>
      <c r="AR61" s="101"/>
      <c r="AS61" s="101"/>
      <c r="AT61" s="101"/>
    </row>
    <row r="62" spans="1:46" ht="12.95" customHeight="1">
      <c r="A62" s="852" t="s">
        <v>116</v>
      </c>
      <c r="B62" s="844"/>
      <c r="C62" s="844"/>
      <c r="D62" s="844"/>
      <c r="E62" s="844"/>
      <c r="F62" s="844"/>
      <c r="G62" s="844"/>
      <c r="H62" s="770" t="s">
        <v>117</v>
      </c>
      <c r="I62" s="88" t="s">
        <v>79</v>
      </c>
      <c r="J62" s="86"/>
      <c r="K62" s="600" t="s">
        <v>45</v>
      </c>
      <c r="L62" s="601" t="s">
        <v>46</v>
      </c>
      <c r="M62" s="134"/>
      <c r="N62" s="87" t="s">
        <v>47</v>
      </c>
      <c r="O62" s="87"/>
      <c r="P62" s="87"/>
      <c r="Q62" s="295" t="s">
        <v>48</v>
      </c>
      <c r="R62" s="835" t="s">
        <v>49</v>
      </c>
      <c r="S62" s="835"/>
      <c r="T62" s="835"/>
      <c r="U62" s="835"/>
      <c r="V62" s="100" t="b">
        <f>IF(G62&gt;0,IF(AD62="me","",G62))</f>
        <v>0</v>
      </c>
      <c r="W62" s="100"/>
      <c r="X62" s="100"/>
      <c r="Y62" s="201"/>
      <c r="Z62" s="829" t="str">
        <f t="shared" si="129"/>
        <v/>
      </c>
      <c r="AA62" s="829"/>
      <c r="AB62" s="830" t="str">
        <f>IF(G62=0,"",IF(AD62="free","re-planting",IF(AD62="me","not NVP, by",IF($AD$8="yes",(VLOOKUP(A62,'Discount Lookup'!J:K,2)*G62*(1-$AC$1786)*(1+$AC$1788)),IF(AD62="NVP",(VLOOKUP(A62,'Discount Lookup'!J:K,2)*G62*(1-$AC$1786)*(1+$AC$1788)),IF(AD62="free","re-planting",IF(G62=0,"",IF($AD$8="",IF(AD62="me","not NVP, by",IF(AD62="",IF(G62&gt;0,(VLOOKUP(A62,'Discount Lookup'!J:K,2)*G62*(1-$AC$1786)*(1+$AC$1788)),""),"")),"not NVP, by"))))))))</f>
        <v/>
      </c>
      <c r="AC62" s="830"/>
      <c r="AD62" s="375" t="str">
        <f t="shared" si="138"/>
        <v/>
      </c>
      <c r="AE62" s="833" t="str">
        <f t="shared" si="21"/>
        <v/>
      </c>
      <c r="AF62" s="833"/>
      <c r="AG62" s="833"/>
      <c r="AH62" s="91">
        <f>IF(AD62="free",0,IF(AD62="me",0,IF(G62&gt;0,(VLOOKUP(A62,'Discount Lookup'!J:K,2)*G62),0)))</f>
        <v>0</v>
      </c>
      <c r="AI62" s="92" t="str">
        <f t="shared" si="122"/>
        <v/>
      </c>
      <c r="AJ62" s="828" t="str">
        <f t="shared" si="130"/>
        <v/>
      </c>
      <c r="AK62" s="828"/>
      <c r="AL62" s="313" t="str">
        <f t="shared" si="1"/>
        <v/>
      </c>
      <c r="AM62" s="312"/>
      <c r="AN62" s="101"/>
      <c r="AO62" s="101"/>
      <c r="AP62" s="101"/>
      <c r="AQ62" s="101"/>
      <c r="AR62" s="101"/>
      <c r="AS62" s="101"/>
      <c r="AT62" s="101"/>
    </row>
    <row r="63" spans="1:46" ht="12.95" customHeight="1">
      <c r="A63" s="419">
        <v>3</v>
      </c>
      <c r="B63" s="87" t="s">
        <v>50</v>
      </c>
      <c r="C63" s="128" t="s">
        <v>144</v>
      </c>
      <c r="D63" s="129" t="s">
        <v>52</v>
      </c>
      <c r="E63" s="98">
        <v>27.95</v>
      </c>
      <c r="F63" s="705" t="s">
        <v>1306</v>
      </c>
      <c r="G63" s="357">
        <v>0</v>
      </c>
      <c r="H63" s="704" t="str">
        <f t="shared" ref="H63" si="164">IF(G63=0,"",IF(F63="Qty=",IF(G63=1,"plant","plants"),IF(F63&gt;0.0001,"warranty","Error")))</f>
        <v/>
      </c>
      <c r="I63" s="98">
        <f t="shared" ref="I63" si="165">IF(F63="Qty=",(E63*G63),((E63*(1-F63))*G63))</f>
        <v>0</v>
      </c>
      <c r="J63" s="98">
        <f>IF(H63="warranty",0,(I63*($J$1782)))</f>
        <v>0</v>
      </c>
      <c r="K63" s="831">
        <f t="shared" ref="K63" si="166">I63+J63</f>
        <v>0</v>
      </c>
      <c r="L63" s="831"/>
      <c r="M63" s="832" t="str">
        <f>IF($H$1784=0,"",IF(G63=0,"",IF(F63="Qty=",CONCATENATE("$",ROUND(K63*(1-$H$1784),2)," with ",($H$1784*100),"% discount"),CONCATENATE("$",ROUND(K63*(1-$H$1784),2)," with ",(($H$1784*100+F63*100)-($H$1784*100*F63)),IF(F63&gt;0,"% discounts",IF($H$1781&gt;0,"% discounts","% discount"))))))</f>
        <v/>
      </c>
      <c r="N63" s="832"/>
      <c r="O63" s="832"/>
      <c r="P63" s="832"/>
      <c r="Q63" s="832"/>
      <c r="R63" s="832"/>
      <c r="S63" s="303">
        <f t="shared" ref="S63" si="167">E63*G63</f>
        <v>0</v>
      </c>
      <c r="T63" s="541">
        <f>VLOOKUP(A63,'Discount Lookup'!D:E,2,FALSE)*G63</f>
        <v>0</v>
      </c>
      <c r="U63" s="83">
        <f>VLOOKUP(A63,'Discount Lookup'!G:H,2,FALSE)*G63</f>
        <v>0</v>
      </c>
      <c r="V63" s="100">
        <f>E63*($J$1782)*G63</f>
        <v>0</v>
      </c>
      <c r="W63" s="100">
        <f t="shared" ref="W63" si="168">I63</f>
        <v>0</v>
      </c>
      <c r="X63" s="100" t="b">
        <f>IF(G63&gt;0,IF(AD63="me","",G63))</f>
        <v>0</v>
      </c>
      <c r="Y63" s="201"/>
      <c r="Z63" s="829" t="str">
        <f t="shared" ref="Z63" si="169">IF(G63=0,"",IF(AD63="me","",IF($AD$8="me","",IF(AD63="free","warranty",IF($AD$8="yes","NVP planting:","to NVP install:")))))</f>
        <v/>
      </c>
      <c r="AA63" s="829"/>
      <c r="AB63" s="830" t="str">
        <f>IF(G63=0,"",IF(AD63="free","re-planting",IF(AD63="me","not NVP, by",IF($AD$8="yes",(VLOOKUP(A63,'Discount Lookup'!J:K,2)*G63*(1-$AC$1786)*(1+$AC$1788)),IF(AD63="NVP",(VLOOKUP(A63,'Discount Lookup'!J:K,2)*G63*(1-$AC$1786)*(1+$AC$1788)),IF(AD63="free","re-planting",IF(G63=0,"",IF($AD$8="",IF(AD63="me","not NVP, by",IF(AD63="",IF(G63&gt;0,(VLOOKUP(A63,'Discount Lookup'!J:K,2)*G63*(1-$AC$1786)*(1+$AC$1788)),""),"")),"not NVP, by"))))))))</f>
        <v/>
      </c>
      <c r="AC63" s="830"/>
      <c r="AD63" s="375" t="str">
        <f t="shared" ref="AD63" si="170">IF(G63=0,"",IF($AD$8="me","me",IF(H63="warranty","free",IF($AD$8="yes","NVP",""))))</f>
        <v/>
      </c>
      <c r="AE63" s="833" t="str">
        <f t="shared" ref="AE63" si="171">IF(G63&gt;0,(CONCATENATE((G63)," quantity, ",(A63)," ",B63)),"")</f>
        <v/>
      </c>
      <c r="AF63" s="833"/>
      <c r="AG63" s="833"/>
      <c r="AH63" s="91">
        <f>IF(AD63="free",0,IF(AD63="me",0,IF(G63&gt;0,(VLOOKUP(A63,'Discount Lookup'!J:K,2)*G63),0)))</f>
        <v>0</v>
      </c>
      <c r="AI63" s="92" t="str">
        <f t="shared" si="122"/>
        <v/>
      </c>
      <c r="AJ63" s="828" t="str">
        <f t="shared" ref="AJ63" si="172">IF(G63=0,"",IF(AD63="me","  delivery-only",IF($AD$8="me","  delivery-only",CONCATENATE(" $",ROUND(AI63/G63,2)," each"))))</f>
        <v/>
      </c>
      <c r="AK63" s="828"/>
      <c r="AL63" s="313" t="str">
        <f t="shared" si="1"/>
        <v/>
      </c>
      <c r="AM63" s="312"/>
      <c r="AN63" s="101"/>
      <c r="AO63" s="101"/>
      <c r="AP63" s="101"/>
      <c r="AQ63" s="101"/>
      <c r="AR63" s="101"/>
      <c r="AS63" s="101"/>
      <c r="AT63" s="101"/>
    </row>
    <row r="64" spans="1:46" ht="12.95" customHeight="1">
      <c r="A64" s="463"/>
      <c r="B64" s="103" t="s">
        <v>120</v>
      </c>
      <c r="C64" s="104"/>
      <c r="D64" s="104"/>
      <c r="E64" s="105"/>
      <c r="F64" s="709"/>
      <c r="G64" s="358"/>
      <c r="H64" s="743"/>
      <c r="I64" s="102"/>
      <c r="J64" s="102"/>
      <c r="K64" s="607"/>
      <c r="L64" s="607"/>
      <c r="M64" s="121"/>
      <c r="N64" s="163" t="s">
        <v>121</v>
      </c>
      <c r="O64" s="151"/>
      <c r="P64" s="152"/>
      <c r="Q64" s="152"/>
      <c r="R64" s="152"/>
      <c r="S64" s="153"/>
      <c r="T64" s="545"/>
      <c r="U64" s="111"/>
      <c r="V64" s="100" t="b">
        <f>IF(G64&gt;0,IF(AD64="me","",G64))</f>
        <v>0</v>
      </c>
      <c r="W64" s="100"/>
      <c r="X64" s="100"/>
      <c r="Y64" s="201"/>
      <c r="Z64" s="829" t="str">
        <f t="shared" si="129"/>
        <v/>
      </c>
      <c r="AA64" s="829"/>
      <c r="AB64" s="830" t="str">
        <f>IF(G64=0,"",IF(AD64="free","re-planting",IF(AD64="me","not NVP, by",IF($AD$8="yes",(VLOOKUP(A64,'Discount Lookup'!J:K,2)*G64*(1-$AC$1786)*(1+$AC$1788)),IF(AD64="NVP",(VLOOKUP(A64,'Discount Lookup'!J:K,2)*G64*(1-$AC$1786)*(1+$AC$1788)),IF(AD64="free","re-planting",IF(G64=0,"",IF($AD$8="",IF(AD64="me","not NVP, by",IF(AD64="",IF(G64&gt;0,(VLOOKUP(A64,'Discount Lookup'!J:K,2)*G64*(1-$AC$1786)*(1+$AC$1788)),""),"")),"not NVP, by"))))))))</f>
        <v/>
      </c>
      <c r="AC64" s="830"/>
      <c r="AD64" s="375" t="str">
        <f t="shared" si="138"/>
        <v/>
      </c>
      <c r="AE64" s="833" t="str">
        <f t="shared" si="21"/>
        <v/>
      </c>
      <c r="AF64" s="833"/>
      <c r="AG64" s="833"/>
      <c r="AH64" s="91">
        <f>IF(AD64="free",0,IF(AD64="me",0,IF(G64&gt;0,(VLOOKUP(A64,'Discount Lookup'!J:K,2)*G64),0)))</f>
        <v>0</v>
      </c>
      <c r="AI64" s="92" t="str">
        <f t="shared" si="122"/>
        <v/>
      </c>
      <c r="AJ64" s="828" t="str">
        <f t="shared" si="130"/>
        <v/>
      </c>
      <c r="AK64" s="828"/>
      <c r="AL64" s="313" t="str">
        <f t="shared" si="1"/>
        <v/>
      </c>
      <c r="AM64" s="312"/>
      <c r="AN64" s="101"/>
      <c r="AO64" s="101"/>
      <c r="AP64" s="101"/>
      <c r="AQ64" s="101"/>
      <c r="AR64" s="101"/>
      <c r="AS64" s="101"/>
      <c r="AT64" s="101"/>
    </row>
    <row r="65" spans="1:46" ht="12.95" customHeight="1">
      <c r="A65" s="847" t="s">
        <v>122</v>
      </c>
      <c r="B65" s="848"/>
      <c r="C65" s="848"/>
      <c r="D65" s="848"/>
      <c r="E65" s="848"/>
      <c r="F65" s="848"/>
      <c r="G65" s="848"/>
      <c r="H65" s="770" t="s">
        <v>117</v>
      </c>
      <c r="I65" s="88" t="s">
        <v>123</v>
      </c>
      <c r="J65" s="86"/>
      <c r="K65" s="600" t="s">
        <v>45</v>
      </c>
      <c r="L65" s="601" t="s">
        <v>46</v>
      </c>
      <c r="M65" s="86"/>
      <c r="N65" s="87" t="s">
        <v>69</v>
      </c>
      <c r="O65" s="87"/>
      <c r="P65" s="88"/>
      <c r="Q65" s="88"/>
      <c r="R65" s="835" t="s">
        <v>49</v>
      </c>
      <c r="S65" s="835"/>
      <c r="T65" s="835"/>
      <c r="U65" s="835"/>
      <c r="V65" s="100" t="b">
        <f>IF(G65&gt;0,IF(AD65="me","",G65))</f>
        <v>0</v>
      </c>
      <c r="W65" s="100"/>
      <c r="X65" s="100"/>
      <c r="Y65" s="201"/>
      <c r="Z65" s="829" t="str">
        <f>IF(G65=0,"",IF(AD65="me","",IF($AD$8="me","",IF(AD65="free","warranty",IF($AD$8="yes","NVP planting:","to NVP install:")))))</f>
        <v/>
      </c>
      <c r="AA65" s="829"/>
      <c r="AB65" s="830" t="str">
        <f>IF(G65=0,"",IF(AD65="free","re-planting",IF(AD65="me","not NVP, by",IF($AD$8="yes",(VLOOKUP(A65,'Discount Lookup'!J:K,2)*G65*(1-$AC$1786)*(1+$AC$1788)),IF(AD65="NVP",(VLOOKUP(A65,'Discount Lookup'!J:K,2)*G65*(1-$AC$1786)*(1+$AC$1788)),IF(AD65="free","re-planting",IF(G65=0,"",IF($AD$8="",IF(AD65="me","not NVP, by",IF(AD65="",IF(G65&gt;0,(VLOOKUP(A65,'Discount Lookup'!J:K,2)*G65*(1-$AC$1786)*(1+$AC$1788)),""),"")),"not NVP, by"))))))))</f>
        <v/>
      </c>
      <c r="AC65" s="830"/>
      <c r="AD65" s="375" t="str">
        <f>IF(G65=0,"",IF($AD$8="me","me",IF(H65="warranty","free",IF($AD$8="yes","NVP",""))))</f>
        <v/>
      </c>
      <c r="AE65" s="833" t="str">
        <f t="shared" ref="AE65:AE71" si="173">IF(G65&gt;0,(CONCATENATE((G65)," quantity, ",(A65)," ",B65)),"")</f>
        <v/>
      </c>
      <c r="AF65" s="833"/>
      <c r="AG65" s="833"/>
      <c r="AH65" s="91">
        <f>IF(AD65="free",0,IF(AD65="me",0,IF(G65&gt;0,(VLOOKUP(A65,'Discount Lookup'!J:K,2)*G65),0)))</f>
        <v>0</v>
      </c>
      <c r="AI65" s="92" t="str">
        <f t="shared" si="122"/>
        <v/>
      </c>
      <c r="AJ65" s="828" t="str">
        <f>IF(G65=0,"",IF(AD65="me","  delivery-only",IF($AD$8="me","  delivery-only",CONCATENATE(" $",ROUND(AI65/G65,2)," each"))))</f>
        <v/>
      </c>
      <c r="AK65" s="828"/>
      <c r="AL65" s="313" t="str">
        <f t="shared" si="1"/>
        <v/>
      </c>
      <c r="AM65" s="312"/>
      <c r="AN65" s="101"/>
      <c r="AO65" s="101"/>
      <c r="AP65" s="101"/>
      <c r="AQ65" s="101"/>
      <c r="AR65" s="101"/>
      <c r="AS65" s="101"/>
      <c r="AT65" s="101"/>
    </row>
    <row r="66" spans="1:46" ht="12.95" customHeight="1">
      <c r="A66" s="419">
        <v>7</v>
      </c>
      <c r="B66" s="87" t="s">
        <v>50</v>
      </c>
      <c r="C66" s="128" t="s">
        <v>64</v>
      </c>
      <c r="D66" s="129" t="s">
        <v>54</v>
      </c>
      <c r="E66" s="98">
        <v>95.95</v>
      </c>
      <c r="F66" s="705" t="s">
        <v>1306</v>
      </c>
      <c r="G66" s="357">
        <v>0</v>
      </c>
      <c r="H66" s="704" t="str">
        <f>IF(G66=0,"",IF(F66="Qty=",IF(G66=1,"plant","plants"),IF(F66&gt;0.0001,"warranty","Error")))</f>
        <v/>
      </c>
      <c r="I66" s="98">
        <f>IF(F66="Qty=",(E66*G66),((E66*(1-F66))*G66))</f>
        <v>0</v>
      </c>
      <c r="J66" s="98">
        <f>IF(H66="warranty",0,(I66*($J$1782)))</f>
        <v>0</v>
      </c>
      <c r="K66" s="831">
        <f t="shared" ref="K66" si="174">I66+J66</f>
        <v>0</v>
      </c>
      <c r="L66" s="831"/>
      <c r="M66" s="832" t="str">
        <f>IF($H$1784=0,"",IF(G66=0,"",IF(F66="Qty=",CONCATENATE("$",ROUND(K66*(1-$H$1784),2)," with ",($H$1784*100),"% discount"),CONCATENATE("$",ROUND(K66*(1-$H$1784),2)," with ",(($H$1784*100+F66*100)-($H$1784*100*F66)),IF(F66&gt;0,"% discounts",IF($H$1781&gt;0,"% discounts","% discount"))))))</f>
        <v/>
      </c>
      <c r="N66" s="832"/>
      <c r="O66" s="832"/>
      <c r="P66" s="832"/>
      <c r="Q66" s="832"/>
      <c r="R66" s="832"/>
      <c r="S66" s="303">
        <f>E66*G66</f>
        <v>0</v>
      </c>
      <c r="T66" s="541">
        <f>VLOOKUP(A66,'Discount Lookup'!D:E,2,FALSE)*G66</f>
        <v>0</v>
      </c>
      <c r="U66" s="83">
        <f>VLOOKUP(A66,'Discount Lookup'!G:H,2,FALSE)*G66</f>
        <v>0</v>
      </c>
      <c r="V66" s="100">
        <f>E66*($J$1782)*G66</f>
        <v>0</v>
      </c>
      <c r="W66" s="100">
        <f>I66</f>
        <v>0</v>
      </c>
      <c r="X66" s="100" t="b">
        <f>IF(G66&gt;0,IF(AD66="me","",G66))</f>
        <v>0</v>
      </c>
      <c r="Y66" s="201"/>
      <c r="Z66" s="829" t="str">
        <f>IF(G66=0,"",IF(AD66="me","",IF($AD$8="me","",IF(AD66="free","warranty",IF($AD$8="yes","NVP planting:","to NVP install:")))))</f>
        <v/>
      </c>
      <c r="AA66" s="829"/>
      <c r="AB66" s="830" t="str">
        <f>IF(G66=0,"",IF(AD66="free","re-planting",IF(AD66="me","not NVP, by",IF($AD$8="yes",(VLOOKUP(A66,'Discount Lookup'!J:K,2)*G66*(1-$AC$1786)*(1+$AC$1788)),IF(AD66="NVP",(VLOOKUP(A66,'Discount Lookup'!J:K,2)*G66*(1-$AC$1786)*(1+$AC$1788)),IF(AD66="free","re-planting",IF(G66=0,"",IF($AD$8="",IF(AD66="me","not NVP, by",IF(AD66="",IF(G66&gt;0,(VLOOKUP(A66,'Discount Lookup'!J:K,2)*G66*(1-$AC$1786)*(1+$AC$1788)),""),"")),"not NVP, by"))))))))</f>
        <v/>
      </c>
      <c r="AC66" s="830"/>
      <c r="AD66" s="375" t="str">
        <f>IF(G66=0,"",IF($AD$8="me","me",IF(H66="warranty","free",IF($AD$8="yes","NVP",""))))</f>
        <v/>
      </c>
      <c r="AE66" s="833" t="str">
        <f t="shared" ref="AE66" si="175">IF(G66&gt;0,(CONCATENATE((G66)," quantity, ",(A66)," ",B66)),"")</f>
        <v/>
      </c>
      <c r="AF66" s="833"/>
      <c r="AG66" s="833"/>
      <c r="AH66" s="91">
        <f>IF(AD66="free",0,IF(AD66="me",0,IF(G66&gt;0,(VLOOKUP(A66,'Discount Lookup'!J:K,2)*G66),0)))</f>
        <v>0</v>
      </c>
      <c r="AI66" s="92" t="str">
        <f t="shared" si="122"/>
        <v/>
      </c>
      <c r="AJ66" s="828" t="str">
        <f>IF(G66=0,"",IF(AD66="me","  delivery-only",IF($AD$8="me","  delivery-only",CONCATENATE(" $",ROUND(AI66/G66,2)," each"))))</f>
        <v/>
      </c>
      <c r="AK66" s="828"/>
      <c r="AL66" s="313" t="str">
        <f t="shared" si="1"/>
        <v/>
      </c>
      <c r="AM66" s="312"/>
      <c r="AN66" s="101"/>
      <c r="AO66" s="101"/>
      <c r="AP66" s="101"/>
      <c r="AQ66" s="101"/>
      <c r="AR66" s="101"/>
      <c r="AS66" s="101"/>
      <c r="AT66" s="101"/>
    </row>
    <row r="67" spans="1:46" ht="12.95" customHeight="1">
      <c r="A67" s="419">
        <v>15</v>
      </c>
      <c r="B67" s="87" t="s">
        <v>50</v>
      </c>
      <c r="C67" s="128" t="s">
        <v>1673</v>
      </c>
      <c r="D67" s="129" t="s">
        <v>54</v>
      </c>
      <c r="E67" s="98">
        <v>178.95</v>
      </c>
      <c r="F67" s="705" t="s">
        <v>1306</v>
      </c>
      <c r="G67" s="357">
        <v>0</v>
      </c>
      <c r="H67" s="704" t="str">
        <f>IF(G67=0,"",IF(F67="Qty=",IF(G67=1,"plant","plants"),IF(F67&gt;0.0001,"warranty","Error")))</f>
        <v/>
      </c>
      <c r="I67" s="98">
        <f>IF(F67="Qty=",(E67*G67),((E67*(1-F67))*G67))</f>
        <v>0</v>
      </c>
      <c r="J67" s="98">
        <f>IF(H67="warranty",0,(I67*($J$1782)))</f>
        <v>0</v>
      </c>
      <c r="K67" s="831">
        <f t="shared" ref="K67" si="176">I67+J67</f>
        <v>0</v>
      </c>
      <c r="L67" s="831"/>
      <c r="M67" s="832" t="str">
        <f>IF($H$1784=0,"",IF(G67=0,"",IF(F67="Qty=",CONCATENATE("$",ROUND(K67*(1-$H$1784),2)," with ",($H$1784*100),"% discount"),CONCATENATE("$",ROUND(K67*(1-$H$1784),2)," with ",(($H$1784*100+F67*100)-($H$1784*100*F67)),IF(F67&gt;0,"% discounts",IF($H$1781&gt;0,"% discounts","% discount"))))))</f>
        <v/>
      </c>
      <c r="N67" s="832"/>
      <c r="O67" s="832"/>
      <c r="P67" s="832"/>
      <c r="Q67" s="832"/>
      <c r="R67" s="832"/>
      <c r="S67" s="303">
        <f>E67*G67</f>
        <v>0</v>
      </c>
      <c r="T67" s="541">
        <f>VLOOKUP(A67,'Discount Lookup'!D:E,2,FALSE)*G67</f>
        <v>0</v>
      </c>
      <c r="U67" s="83">
        <f>VLOOKUP(A67,'Discount Lookup'!G:H,2,FALSE)*G67</f>
        <v>0</v>
      </c>
      <c r="V67" s="100">
        <f>E67*($J$1782)*G67</f>
        <v>0</v>
      </c>
      <c r="W67" s="100">
        <f>I67</f>
        <v>0</v>
      </c>
      <c r="X67" s="100" t="b">
        <f>IF(G67&gt;0,IF(AD67="me","",G67))</f>
        <v>0</v>
      </c>
      <c r="Y67" s="201"/>
      <c r="Z67" s="829" t="str">
        <f>IF(G67=0,"",IF(AD67="me","",IF($AD$8="me","",IF(AD67="free","warranty",IF($AD$8="yes","NVP planting:","to NVP install:")))))</f>
        <v/>
      </c>
      <c r="AA67" s="829"/>
      <c r="AB67" s="830" t="str">
        <f>IF(G67=0,"",IF(AD67="free","re-planting",IF(AD67="me","not NVP, by",IF($AD$8="yes",(VLOOKUP(A67,'Discount Lookup'!J:K,2)*G67*(1-$AC$1786)*(1+$AC$1788)),IF(AD67="NVP",(VLOOKUP(A67,'Discount Lookup'!J:K,2)*G67*(1-$AC$1786)*(1+$AC$1788)),IF(AD67="free","re-planting",IF(G67=0,"",IF($AD$8="",IF(AD67="me","not NVP, by",IF(AD67="",IF(G67&gt;0,(VLOOKUP(A67,'Discount Lookup'!J:K,2)*G67*(1-$AC$1786)*(1+$AC$1788)),""),"")),"not NVP, by"))))))))</f>
        <v/>
      </c>
      <c r="AC67" s="830"/>
      <c r="AD67" s="375" t="str">
        <f>IF(G67=0,"",IF($AD$8="me","me",IF(H67="warranty","free",IF($AD$8="yes","NVP",""))))</f>
        <v/>
      </c>
      <c r="AE67" s="833" t="str">
        <f t="shared" si="173"/>
        <v/>
      </c>
      <c r="AF67" s="833"/>
      <c r="AG67" s="833"/>
      <c r="AH67" s="91">
        <f>IF(AD67="free",0,IF(AD67="me",0,IF(G67&gt;0,(VLOOKUP(A67,'Discount Lookup'!J:K,2)*G67),0)))</f>
        <v>0</v>
      </c>
      <c r="AI67" s="92" t="str">
        <f t="shared" si="122"/>
        <v/>
      </c>
      <c r="AJ67" s="828" t="str">
        <f>IF(G67=0,"",IF(AD67="me","  delivery-only",IF($AD$8="me","  delivery-only",CONCATENATE(" $",ROUND(AI67/G67,2)," each"))))</f>
        <v/>
      </c>
      <c r="AK67" s="828"/>
      <c r="AL67" s="313" t="str">
        <f t="shared" si="1"/>
        <v/>
      </c>
      <c r="AM67" s="312"/>
      <c r="AN67" s="101"/>
      <c r="AO67" s="101"/>
      <c r="AP67" s="101"/>
      <c r="AQ67" s="101"/>
      <c r="AR67" s="101"/>
      <c r="AS67" s="101"/>
      <c r="AT67" s="101"/>
    </row>
    <row r="68" spans="1:46" ht="12.95" customHeight="1">
      <c r="A68" s="467"/>
      <c r="B68" s="103" t="s">
        <v>124</v>
      </c>
      <c r="C68" s="117"/>
      <c r="D68" s="118"/>
      <c r="E68" s="119"/>
      <c r="G68" s="356"/>
      <c r="H68" s="745"/>
      <c r="I68" s="119"/>
      <c r="J68" s="119"/>
      <c r="K68" s="609"/>
      <c r="L68" s="609"/>
      <c r="M68" s="121"/>
      <c r="N68" s="122" t="s">
        <v>82</v>
      </c>
      <c r="O68" s="123"/>
      <c r="P68" s="124"/>
      <c r="Q68" s="48"/>
      <c r="R68" s="48"/>
      <c r="S68" s="48"/>
      <c r="T68" s="48"/>
      <c r="Y68" s="132"/>
      <c r="Z68" s="829" t="str">
        <f>IF(G68=0,"",IF(AD68="me","",IF($AD$8="me","",IF(AD68="free","warranty",IF($AD$8="yes","NVP planting:","to NVP install:")))))</f>
        <v/>
      </c>
      <c r="AA68" s="829"/>
      <c r="AB68" s="830" t="str">
        <f>IF(G68=0,"",IF(AD68="free","re-planting",IF(AD68="me","not NVP, by",IF($AD$8="yes",(VLOOKUP(A68,'Discount Lookup'!J:K,2)*G68*(1-$AC$1786)*(1+$AC$1788)),IF(AD68="NVP",(VLOOKUP(A68,'Discount Lookup'!J:K,2)*G68*(1-$AC$1786)*(1+$AC$1788)),IF(AD68="free","re-planting",IF(G68=0,"",IF($AD$8="",IF(AD68="me","not NVP, by",IF(AD68="",IF(G68&gt;0,(VLOOKUP(A68,'Discount Lookup'!J:K,2)*G68*(1-$AC$1786)*(1+$AC$1788)),""),"")),"not NVP, by"))))))))</f>
        <v/>
      </c>
      <c r="AC68" s="830"/>
      <c r="AD68" s="375" t="str">
        <f>IF(G68=0,"",IF($AD$8="me","me",IF(H68="warranty","free",IF($AD$8="yes","NVP",""))))</f>
        <v/>
      </c>
      <c r="AE68" s="833" t="str">
        <f t="shared" si="173"/>
        <v/>
      </c>
      <c r="AF68" s="833"/>
      <c r="AG68" s="833"/>
      <c r="AH68" s="91">
        <f>IF(AD68="free",0,IF(AD68="me",0,IF(G68&gt;0,(VLOOKUP(A68,'Discount Lookup'!J:K,2)*G68),0)))</f>
        <v>0</v>
      </c>
      <c r="AI68" s="92" t="str">
        <f t="shared" si="122"/>
        <v/>
      </c>
      <c r="AJ68" s="828" t="str">
        <f>IF(G68=0,"",IF(AD68="me","  delivery-only",IF($AD$8="me","  delivery-only",CONCATENATE(" $",ROUND(AI68/G68,2)," each"))))</f>
        <v/>
      </c>
      <c r="AK68" s="828"/>
      <c r="AL68" s="313" t="str">
        <f t="shared" si="1"/>
        <v/>
      </c>
      <c r="AM68" s="312"/>
      <c r="AN68" s="101"/>
      <c r="AO68" s="101"/>
      <c r="AP68" s="101"/>
      <c r="AQ68" s="101"/>
      <c r="AR68" s="101"/>
      <c r="AS68" s="101"/>
      <c r="AT68" s="101"/>
    </row>
    <row r="69" spans="1:46" ht="12.95" customHeight="1">
      <c r="A69" s="893" t="s">
        <v>962</v>
      </c>
      <c r="B69" s="848"/>
      <c r="C69" s="848"/>
      <c r="D69" s="848"/>
      <c r="E69" s="848"/>
      <c r="F69" s="848"/>
      <c r="G69" s="848"/>
      <c r="H69" s="773" t="s">
        <v>963</v>
      </c>
      <c r="I69" s="88" t="s">
        <v>79</v>
      </c>
      <c r="J69" s="86"/>
      <c r="K69" s="600" t="s">
        <v>45</v>
      </c>
      <c r="L69" s="601" t="s">
        <v>46</v>
      </c>
      <c r="M69" s="115"/>
      <c r="N69" s="210" t="s">
        <v>157</v>
      </c>
      <c r="O69" s="133"/>
      <c r="P69" s="133"/>
      <c r="Q69" s="133"/>
      <c r="R69" s="88"/>
      <c r="S69" s="125"/>
      <c r="T69" s="543"/>
      <c r="U69" s="112"/>
      <c r="V69" s="100" t="b">
        <f>IF(G69&gt;0,IF(AD69="me","",G69))</f>
        <v>0</v>
      </c>
      <c r="W69" s="100"/>
      <c r="X69" s="100"/>
      <c r="Y69" s="201"/>
      <c r="Z69" s="829" t="str">
        <f t="shared" si="129"/>
        <v/>
      </c>
      <c r="AA69" s="829"/>
      <c r="AB69" s="830" t="str">
        <f>IF(G69=0,"",IF(AD69="free","re-planting",IF(AD69="me","not NVP, by",IF($AD$8="yes",(VLOOKUP(A69,'Discount Lookup'!J:K,2)*G69*(1-$AC$1786)*(1+$AC$1788)),IF(AD69="NVP",(VLOOKUP(A69,'Discount Lookup'!J:K,2)*G69*(1-$AC$1786)*(1+$AC$1788)),IF(AD69="free","re-planting",IF(G69=0,"",IF($AD$8="",IF(AD69="me","not NVP, by",IF(AD69="",IF(G69&gt;0,(VLOOKUP(A69,'Discount Lookup'!J:K,2)*G69*(1-$AC$1786)*(1+$AC$1788)),""),"")),"not NVP, by"))))))))</f>
        <v/>
      </c>
      <c r="AC69" s="830"/>
      <c r="AD69" s="375" t="str">
        <f t="shared" si="138"/>
        <v/>
      </c>
      <c r="AE69" s="833" t="str">
        <f t="shared" si="173"/>
        <v/>
      </c>
      <c r="AF69" s="833"/>
      <c r="AG69" s="833"/>
      <c r="AH69" s="91">
        <f>IF(AD69="free",0,IF(AD69="me",0,IF(G69&gt;0,(VLOOKUP(A69,'Discount Lookup'!J:K,2)*G69),0)))</f>
        <v>0</v>
      </c>
      <c r="AI69" s="92" t="str">
        <f t="shared" si="122"/>
        <v/>
      </c>
      <c r="AJ69" s="828" t="str">
        <f t="shared" si="130"/>
        <v/>
      </c>
      <c r="AK69" s="828"/>
      <c r="AL69" s="313" t="str">
        <f t="shared" si="1"/>
        <v/>
      </c>
      <c r="AM69" s="312"/>
      <c r="AN69" s="101"/>
      <c r="AO69" s="101"/>
      <c r="AP69" s="101"/>
      <c r="AQ69" s="101"/>
      <c r="AR69" s="101"/>
      <c r="AS69" s="101"/>
      <c r="AT69" s="101"/>
    </row>
    <row r="70" spans="1:46" ht="12.95" customHeight="1">
      <c r="A70" s="447">
        <v>7</v>
      </c>
      <c r="B70" s="87" t="s">
        <v>50</v>
      </c>
      <c r="C70" s="128" t="s">
        <v>61</v>
      </c>
      <c r="D70" s="129" t="s">
        <v>62</v>
      </c>
      <c r="E70" s="98">
        <v>56.95</v>
      </c>
      <c r="F70" s="705" t="s">
        <v>1306</v>
      </c>
      <c r="G70" s="357">
        <v>0</v>
      </c>
      <c r="H70" s="704" t="str">
        <f t="shared" ref="H70" si="177">IF(G70=0,"",IF(F70="Qty=",IF(G70=1,"plant","plants"),IF(F70&gt;0.0001,"warranty","Error")))</f>
        <v/>
      </c>
      <c r="I70" s="98">
        <f t="shared" ref="I70" si="178">IF(F70="Qty=",(E70*G70),((E70*(1-F70))*G70))</f>
        <v>0</v>
      </c>
      <c r="J70" s="98">
        <f>IF(H70="warranty",0,(I70*($J$1782)))</f>
        <v>0</v>
      </c>
      <c r="K70" s="831">
        <f t="shared" ref="K70" si="179">I70+J70</f>
        <v>0</v>
      </c>
      <c r="L70" s="831"/>
      <c r="M70" s="832" t="str">
        <f>IF($H$1784=0,"",IF(G70=0,"",IF(F70="Qty=",CONCATENATE("$",ROUND(K70*(1-$H$1784),2)," with ",($H$1784*100),"% discount"),CONCATENATE("$",ROUND(K70*(1-$H$1784),2)," with ",(($H$1784*100+F70*100)-($H$1784*100*F70)),IF(F70&gt;0,"% discounts",IF($H$1781&gt;0,"% discounts","% discount"))))))</f>
        <v/>
      </c>
      <c r="N70" s="832"/>
      <c r="O70" s="832"/>
      <c r="P70" s="832"/>
      <c r="Q70" s="832"/>
      <c r="R70" s="832"/>
      <c r="S70" s="303">
        <f t="shared" ref="S70" si="180">E70*G70</f>
        <v>0</v>
      </c>
      <c r="T70" s="541">
        <f>VLOOKUP(A70,'Discount Lookup'!D:E,2,FALSE)*G70</f>
        <v>0</v>
      </c>
      <c r="U70" s="83">
        <f>VLOOKUP(A70,'Discount Lookup'!G:H,2,FALSE)*G70</f>
        <v>0</v>
      </c>
      <c r="V70" s="100">
        <f>E70*($J$1782)*G70</f>
        <v>0</v>
      </c>
      <c r="W70" s="100">
        <f t="shared" ref="W70" si="181">I70</f>
        <v>0</v>
      </c>
      <c r="X70" s="100" t="b">
        <f>IF(G70&gt;0,IF(AD70="me","",G70))</f>
        <v>0</v>
      </c>
      <c r="Y70" s="201"/>
      <c r="Z70" s="829" t="str">
        <f t="shared" si="129"/>
        <v/>
      </c>
      <c r="AA70" s="829"/>
      <c r="AB70" s="830" t="str">
        <f>IF(G70=0,"",IF(AD70="free","re-planting",IF(AD70="me","not NVP, by",IF($AD$8="yes",(VLOOKUP(A70,'Discount Lookup'!J:K,2)*G70*(1-$AC$1786)*(1+$AC$1788)),IF(AD70="NVP",(VLOOKUP(A70,'Discount Lookup'!J:K,2)*G70*(1-$AC$1786)*(1+$AC$1788)),IF(AD70="free","re-planting",IF(G70=0,"",IF($AD$8="",IF(AD70="me","not NVP, by",IF(AD70="",IF(G70&gt;0,(VLOOKUP(A70,'Discount Lookup'!J:K,2)*G70*(1-$AC$1786)*(1+$AC$1788)),""),"")),"not NVP, by"))))))))</f>
        <v/>
      </c>
      <c r="AC70" s="830"/>
      <c r="AD70" s="375" t="str">
        <f t="shared" si="138"/>
        <v/>
      </c>
      <c r="AE70" s="833" t="str">
        <f t="shared" si="173"/>
        <v/>
      </c>
      <c r="AF70" s="833"/>
      <c r="AG70" s="833"/>
      <c r="AH70" s="91">
        <f>IF(AD70="free",0,IF(AD70="me",0,IF(G70&gt;0,(VLOOKUP(A70,'Discount Lookup'!J:K,2)*G70),0)))</f>
        <v>0</v>
      </c>
      <c r="AI70" s="92" t="str">
        <f t="shared" si="122"/>
        <v/>
      </c>
      <c r="AJ70" s="828" t="str">
        <f t="shared" si="130"/>
        <v/>
      </c>
      <c r="AK70" s="828"/>
      <c r="AL70" s="313" t="str">
        <f t="shared" si="1"/>
        <v/>
      </c>
      <c r="AM70" s="312"/>
      <c r="AN70" s="101"/>
      <c r="AO70" s="101"/>
      <c r="AP70" s="101"/>
      <c r="AQ70" s="101"/>
      <c r="AR70" s="101"/>
      <c r="AS70" s="101"/>
      <c r="AT70" s="101"/>
    </row>
    <row r="71" spans="1:46" ht="12.95" customHeight="1">
      <c r="A71" s="504"/>
      <c r="B71" s="450" t="s">
        <v>964</v>
      </c>
      <c r="D71" s="104"/>
      <c r="E71" s="131"/>
      <c r="F71" s="710"/>
      <c r="G71" s="356"/>
      <c r="H71" s="746"/>
      <c r="J71" s="131"/>
      <c r="K71" s="608"/>
      <c r="L71" s="629"/>
      <c r="M71" s="832" t="str">
        <f>IF($H$1784=0,"",IF(G71=0,"",(CONCATENATE("$",ROUND(K71*(1-$H$1784),2)," with ",(($H$1784*100+F71*100)-($H$1784*100*F71)),IF(F71&gt;0,"% discounts",IF($H$1781&gt;0,"% discounts","% discount"))))))</f>
        <v/>
      </c>
      <c r="N71" s="832"/>
      <c r="O71" s="832"/>
      <c r="P71" s="832"/>
      <c r="Q71" s="832"/>
      <c r="R71" s="832"/>
      <c r="S71" s="82"/>
      <c r="T71" s="540"/>
      <c r="U71" s="83"/>
      <c r="V71" s="100"/>
      <c r="W71" s="100"/>
      <c r="X71" s="100"/>
      <c r="Y71" s="201"/>
      <c r="Z71" s="829" t="str">
        <f t="shared" si="129"/>
        <v/>
      </c>
      <c r="AA71" s="829"/>
      <c r="AB71" s="830" t="str">
        <f>IF(G71=0,"",IF(AD71="free","re-planting",IF(AD71="me","not NVP, by",IF($AD$8="yes",(VLOOKUP(A71,'Discount Lookup'!J:K,2)*G71*(1-$AC$1786)*(1+$AC$1788)),IF(AD71="NVP",(VLOOKUP(A71,'Discount Lookup'!J:K,2)*G71*(1-$AC$1786)*(1+$AC$1788)),IF(AD71="free","re-planting",IF(G71=0,"",IF($AD$8="",IF(AD71="me","not NVP, by",IF(AD71="",IF(G71&gt;0,(VLOOKUP(A71,'Discount Lookup'!J:K,2)*G71*(1-$AC$1786)*(1+$AC$1788)),""),"")),"not NVP, by"))))))))</f>
        <v/>
      </c>
      <c r="AC71" s="830"/>
      <c r="AD71" s="375" t="str">
        <f t="shared" si="138"/>
        <v/>
      </c>
      <c r="AE71" s="833" t="str">
        <f t="shared" si="173"/>
        <v/>
      </c>
      <c r="AF71" s="833"/>
      <c r="AG71" s="833"/>
      <c r="AH71" s="91">
        <f>IF(AD71="free",0,IF(AD71="me",0,IF(G71&gt;0,(VLOOKUP(A71,'Discount Lookup'!J:K,2)*G71),0)))</f>
        <v>0</v>
      </c>
      <c r="AI71" s="92" t="str">
        <f t="shared" si="122"/>
        <v/>
      </c>
      <c r="AJ71" s="828" t="str">
        <f t="shared" si="130"/>
        <v/>
      </c>
      <c r="AK71" s="828"/>
      <c r="AL71" s="313" t="str">
        <f t="shared" si="1"/>
        <v/>
      </c>
      <c r="AM71" s="312"/>
      <c r="AN71" s="101"/>
      <c r="AO71" s="101"/>
      <c r="AP71" s="101"/>
      <c r="AQ71" s="101"/>
      <c r="AR71" s="101"/>
      <c r="AS71" s="101"/>
      <c r="AT71" s="101"/>
    </row>
    <row r="72" spans="1:46" ht="12.95" customHeight="1">
      <c r="A72" s="852" t="s">
        <v>129</v>
      </c>
      <c r="B72" s="844"/>
      <c r="C72" s="844"/>
      <c r="D72" s="844"/>
      <c r="E72" s="844"/>
      <c r="F72" s="844"/>
      <c r="G72" s="844"/>
      <c r="H72" s="770" t="s">
        <v>126</v>
      </c>
      <c r="I72" s="88" t="s">
        <v>79</v>
      </c>
      <c r="J72" s="86"/>
      <c r="K72" s="603" t="s">
        <v>45</v>
      </c>
      <c r="L72" s="601" t="s">
        <v>46</v>
      </c>
      <c r="M72" s="115"/>
      <c r="N72" s="87" t="s">
        <v>130</v>
      </c>
      <c r="O72" s="87"/>
      <c r="P72" s="87"/>
      <c r="Q72" s="87"/>
      <c r="R72" s="88"/>
      <c r="S72" s="125"/>
      <c r="T72" s="543"/>
      <c r="U72" s="89" t="s">
        <v>48</v>
      </c>
      <c r="V72" s="100" t="b">
        <f>IF(G72&gt;0,IF(AD72="me","",G72))</f>
        <v>0</v>
      </c>
      <c r="W72" s="100"/>
      <c r="X72" s="100"/>
      <c r="Y72" s="201"/>
      <c r="Z72" s="829" t="str">
        <f t="shared" si="129"/>
        <v/>
      </c>
      <c r="AA72" s="829"/>
      <c r="AB72" s="830" t="str">
        <f>IF(G72=0,"",IF(AD72="free","re-planting",IF(AD72="me","not NVP, by",IF($AD$8="yes",(VLOOKUP(A72,'Discount Lookup'!J:K,2)*G72*(1-$AC$1786)*(1+$AC$1788)),IF(AD72="NVP",(VLOOKUP(A72,'Discount Lookup'!J:K,2)*G72*(1-$AC$1786)*(1+$AC$1788)),IF(AD72="free","re-planting",IF(G72=0,"",IF($AD$8="",IF(AD72="me","not NVP, by",IF(AD72="",IF(G72&gt;0,(VLOOKUP(A72,'Discount Lookup'!J:K,2)*G72*(1-$AC$1786)*(1+$AC$1788)),""),"")),"not NVP, by"))))))))</f>
        <v/>
      </c>
      <c r="AC72" s="830"/>
      <c r="AD72" s="375" t="str">
        <f t="shared" si="138"/>
        <v/>
      </c>
      <c r="AE72" s="833" t="str">
        <f t="shared" ref="AE72:AE131" si="182">IF(G72&gt;0,(CONCATENATE((G72)," quantity, ",(A72)," ",B72)),"")</f>
        <v/>
      </c>
      <c r="AF72" s="833"/>
      <c r="AG72" s="833"/>
      <c r="AH72" s="91">
        <f>IF(AD72="free",0,IF(AD72="me",0,IF(G72&gt;0,(VLOOKUP(A72,'Discount Lookup'!J:K,2)*G72),0)))</f>
        <v>0</v>
      </c>
      <c r="AI72" s="92" t="str">
        <f t="shared" si="122"/>
        <v/>
      </c>
      <c r="AJ72" s="828" t="str">
        <f t="shared" si="130"/>
        <v/>
      </c>
      <c r="AK72" s="828"/>
      <c r="AL72" s="313" t="str">
        <f t="shared" si="1"/>
        <v/>
      </c>
      <c r="AM72" s="312"/>
      <c r="AN72" s="101"/>
      <c r="AO72" s="101"/>
      <c r="AP72" s="101"/>
      <c r="AQ72" s="101"/>
      <c r="AR72" s="101"/>
      <c r="AS72" s="101"/>
      <c r="AT72" s="101"/>
    </row>
    <row r="73" spans="1:46" ht="12.95" customHeight="1">
      <c r="A73" s="419">
        <v>3</v>
      </c>
      <c r="B73" s="87" t="s">
        <v>50</v>
      </c>
      <c r="C73" s="128" t="s">
        <v>1357</v>
      </c>
      <c r="D73" s="129" t="s">
        <v>52</v>
      </c>
      <c r="E73" s="98">
        <v>25.95</v>
      </c>
      <c r="F73" s="705" t="s">
        <v>1306</v>
      </c>
      <c r="G73" s="357">
        <v>0</v>
      </c>
      <c r="H73" s="704" t="str">
        <f t="shared" ref="H73:H76" si="183">IF(G73=0,"",IF(F73="Qty=",IF(G73=1,"plant","plants"),IF(F73&gt;0.0001,"warranty","Error")))</f>
        <v/>
      </c>
      <c r="I73" s="98">
        <f t="shared" ref="I73:I76" si="184">IF(F73="Qty=",(E73*G73),((E73*(1-F73))*G73))</f>
        <v>0</v>
      </c>
      <c r="J73" s="98">
        <f t="shared" ref="J73:J78" si="185">IF(H73="warranty",0,(I73*($J$1782)))</f>
        <v>0</v>
      </c>
      <c r="K73" s="831">
        <f t="shared" ref="K73:K78" si="186">I73+J73</f>
        <v>0</v>
      </c>
      <c r="L73" s="831"/>
      <c r="M73" s="832" t="str">
        <f t="shared" ref="M73:M78" si="187">IF($H$1784=0,"",IF(G73=0,"",IF(F73="Qty=",CONCATENATE("$",ROUND(K73*(1-$H$1784),2)," with ",($H$1784*100),"% discount"),CONCATENATE("$",ROUND(K73*(1-$H$1784),2)," with ",(($H$1784*100+F73*100)-($H$1784*100*F73)),IF(F73&gt;0,"% discounts",IF($H$1781&gt;0,"% discounts","% discount"))))))</f>
        <v/>
      </c>
      <c r="N73" s="832"/>
      <c r="O73" s="832"/>
      <c r="P73" s="832"/>
      <c r="Q73" s="832"/>
      <c r="R73" s="832"/>
      <c r="S73" s="303">
        <f t="shared" ref="S73:S77" si="188">E73*G73</f>
        <v>0</v>
      </c>
      <c r="T73" s="541">
        <f>VLOOKUP(A73,'Discount Lookup'!D:E,2,FALSE)*G73</f>
        <v>0</v>
      </c>
      <c r="U73" s="83">
        <f>VLOOKUP(A73,'Discount Lookup'!G:H,2,FALSE)*G73</f>
        <v>0</v>
      </c>
      <c r="V73" s="100">
        <f t="shared" ref="V73:V78" si="189">E73*($J$1782)*G73</f>
        <v>0</v>
      </c>
      <c r="W73" s="100">
        <f t="shared" ref="W73:W77" si="190">I73</f>
        <v>0</v>
      </c>
      <c r="X73" s="100" t="b">
        <f t="shared" ref="X73:X76" si="191">IF(G73&gt;0,IF(AD73="me","",G73))</f>
        <v>0</v>
      </c>
      <c r="Y73" s="201"/>
      <c r="Z73" s="829" t="str">
        <f t="shared" si="129"/>
        <v/>
      </c>
      <c r="AA73" s="829"/>
      <c r="AB73" s="830" t="str">
        <f>IF(G73=0,"",IF(AD73="free","re-planting",IF(AD73="me","not NVP, by",IF($AD$8="yes",(VLOOKUP(A73,'Discount Lookup'!J:K,2)*G73*(1-$AC$1786)*(1+$AC$1788)),IF(AD73="NVP",(VLOOKUP(A73,'Discount Lookup'!J:K,2)*G73*(1-$AC$1786)*(1+$AC$1788)),IF(AD73="free","re-planting",IF(G73=0,"",IF($AD$8="",IF(AD73="me","not NVP, by",IF(AD73="",IF(G73&gt;0,(VLOOKUP(A73,'Discount Lookup'!J:K,2)*G73*(1-$AC$1786)*(1+$AC$1788)),""),"")),"not NVP, by"))))))))</f>
        <v/>
      </c>
      <c r="AC73" s="830"/>
      <c r="AD73" s="375" t="str">
        <f t="shared" si="138"/>
        <v/>
      </c>
      <c r="AE73" s="833" t="str">
        <f t="shared" si="182"/>
        <v/>
      </c>
      <c r="AF73" s="833"/>
      <c r="AG73" s="833"/>
      <c r="AH73" s="91">
        <f>IF(AD73="free",0,IF(AD73="me",0,IF(G73&gt;0,(VLOOKUP(A73,'Discount Lookup'!J:K,2)*G73),0)))</f>
        <v>0</v>
      </c>
      <c r="AI73" s="92" t="str">
        <f t="shared" si="122"/>
        <v/>
      </c>
      <c r="AJ73" s="828" t="str">
        <f t="shared" si="130"/>
        <v/>
      </c>
      <c r="AK73" s="828"/>
      <c r="AL73" s="313" t="str">
        <f t="shared" si="1"/>
        <v/>
      </c>
      <c r="AM73" s="312"/>
      <c r="AN73" s="101"/>
      <c r="AO73" s="101"/>
      <c r="AP73" s="101"/>
      <c r="AQ73" s="101"/>
      <c r="AR73" s="101"/>
      <c r="AS73" s="101"/>
      <c r="AT73" s="101"/>
    </row>
    <row r="74" spans="1:46" ht="12.95" customHeight="1">
      <c r="A74" s="419">
        <v>7</v>
      </c>
      <c r="B74" s="87" t="s">
        <v>50</v>
      </c>
      <c r="C74" s="128" t="s">
        <v>61</v>
      </c>
      <c r="D74" s="129" t="s">
        <v>52</v>
      </c>
      <c r="E74" s="98">
        <v>59.95</v>
      </c>
      <c r="F74" s="705" t="s">
        <v>1306</v>
      </c>
      <c r="G74" s="357">
        <v>0</v>
      </c>
      <c r="H74" s="704" t="str">
        <f t="shared" si="183"/>
        <v/>
      </c>
      <c r="I74" s="98">
        <f t="shared" si="184"/>
        <v>0</v>
      </c>
      <c r="J74" s="98">
        <f t="shared" si="185"/>
        <v>0</v>
      </c>
      <c r="K74" s="831">
        <f t="shared" si="186"/>
        <v>0</v>
      </c>
      <c r="L74" s="831"/>
      <c r="M74" s="832" t="str">
        <f t="shared" si="187"/>
        <v/>
      </c>
      <c r="N74" s="832"/>
      <c r="O74" s="832"/>
      <c r="P74" s="832"/>
      <c r="Q74" s="832"/>
      <c r="R74" s="832"/>
      <c r="S74" s="303">
        <f t="shared" si="188"/>
        <v>0</v>
      </c>
      <c r="T74" s="541">
        <f>VLOOKUP(A74,'Discount Lookup'!D:E,2,FALSE)*G74</f>
        <v>0</v>
      </c>
      <c r="U74" s="83">
        <f>VLOOKUP(A74,'Discount Lookup'!G:H,2,FALSE)*G74</f>
        <v>0</v>
      </c>
      <c r="V74" s="100">
        <f t="shared" si="189"/>
        <v>0</v>
      </c>
      <c r="W74" s="100">
        <f t="shared" si="190"/>
        <v>0</v>
      </c>
      <c r="X74" s="100" t="b">
        <f t="shared" si="191"/>
        <v>0</v>
      </c>
      <c r="Y74" s="201"/>
      <c r="Z74" s="829" t="str">
        <f t="shared" si="129"/>
        <v/>
      </c>
      <c r="AA74" s="829"/>
      <c r="AB74" s="830" t="str">
        <f>IF(G74=0,"",IF(AD74="free","re-planting",IF(AD74="me","not NVP, by",IF($AD$8="yes",(VLOOKUP(A74,'Discount Lookup'!J:K,2)*G74*(1-$AC$1786)*(1+$AC$1788)),IF(AD74="NVP",(VLOOKUP(A74,'Discount Lookup'!J:K,2)*G74*(1-$AC$1786)*(1+$AC$1788)),IF(AD74="free","re-planting",IF(G74=0,"",IF($AD$8="",IF(AD74="me","not NVP, by",IF(AD74="",IF(G74&gt;0,(VLOOKUP(A74,'Discount Lookup'!J:K,2)*G74*(1-$AC$1786)*(1+$AC$1788)),""),"")),"not NVP, by"))))))))</f>
        <v/>
      </c>
      <c r="AC74" s="830"/>
      <c r="AD74" s="375" t="str">
        <f t="shared" si="138"/>
        <v/>
      </c>
      <c r="AE74" s="833" t="str">
        <f t="shared" si="182"/>
        <v/>
      </c>
      <c r="AF74" s="833"/>
      <c r="AG74" s="833"/>
      <c r="AH74" s="91">
        <f>IF(AD74="free",0,IF(AD74="me",0,IF(G74&gt;0,(VLOOKUP(A74,'Discount Lookup'!J:K,2)*G74),0)))</f>
        <v>0</v>
      </c>
      <c r="AI74" s="92" t="str">
        <f t="shared" si="122"/>
        <v/>
      </c>
      <c r="AJ74" s="828" t="str">
        <f t="shared" si="130"/>
        <v/>
      </c>
      <c r="AK74" s="828"/>
      <c r="AL74" s="313" t="str">
        <f t="shared" si="1"/>
        <v/>
      </c>
      <c r="AM74" s="312"/>
      <c r="AN74" s="101"/>
      <c r="AO74" s="101"/>
      <c r="AP74" s="101"/>
      <c r="AQ74" s="101"/>
      <c r="AR74" s="101"/>
      <c r="AS74" s="101"/>
      <c r="AT74" s="101"/>
    </row>
    <row r="75" spans="1:46" ht="12.95" customHeight="1">
      <c r="A75" s="419">
        <v>15</v>
      </c>
      <c r="B75" s="87" t="s">
        <v>50</v>
      </c>
      <c r="C75" s="128" t="s">
        <v>1585</v>
      </c>
      <c r="D75" s="129" t="s">
        <v>54</v>
      </c>
      <c r="E75" s="98">
        <v>169.95</v>
      </c>
      <c r="F75" s="705" t="s">
        <v>1306</v>
      </c>
      <c r="G75" s="357">
        <v>0</v>
      </c>
      <c r="H75" s="704" t="str">
        <f t="shared" si="183"/>
        <v/>
      </c>
      <c r="I75" s="98">
        <f t="shared" si="184"/>
        <v>0</v>
      </c>
      <c r="J75" s="98">
        <f t="shared" si="185"/>
        <v>0</v>
      </c>
      <c r="K75" s="831">
        <f t="shared" si="186"/>
        <v>0</v>
      </c>
      <c r="L75" s="831"/>
      <c r="M75" s="832" t="str">
        <f t="shared" si="187"/>
        <v/>
      </c>
      <c r="N75" s="832"/>
      <c r="O75" s="832"/>
      <c r="P75" s="832"/>
      <c r="Q75" s="832"/>
      <c r="R75" s="832"/>
      <c r="S75" s="303">
        <f t="shared" ref="S75" si="192">E75*G75</f>
        <v>0</v>
      </c>
      <c r="T75" s="541">
        <f>VLOOKUP(A75,'Discount Lookup'!D:E,2,FALSE)*G75</f>
        <v>0</v>
      </c>
      <c r="U75" s="83">
        <f>VLOOKUP(A75,'Discount Lookup'!G:H,2,FALSE)*G75</f>
        <v>0</v>
      </c>
      <c r="V75" s="100">
        <f t="shared" si="189"/>
        <v>0</v>
      </c>
      <c r="W75" s="100">
        <f t="shared" ref="W75" si="193">I75</f>
        <v>0</v>
      </c>
      <c r="X75" s="100" t="b">
        <f t="shared" ref="X75" si="194">IF(G75&gt;0,IF(AD75="me","",G75))</f>
        <v>0</v>
      </c>
      <c r="Y75" s="201"/>
      <c r="Z75" s="829" t="str">
        <f t="shared" si="129"/>
        <v/>
      </c>
      <c r="AA75" s="829"/>
      <c r="AB75" s="830" t="str">
        <f>IF(G75=0,"",IF(AD75="free","re-planting",IF(AD75="me","not NVP, by",IF($AD$8="yes",(VLOOKUP(A75,'Discount Lookup'!J:K,2)*G75*(1-$AC$1786)*(1+$AC$1788)),IF(AD75="NVP",(VLOOKUP(A75,'Discount Lookup'!J:K,2)*G75*(1-$AC$1786)*(1+$AC$1788)),IF(AD75="free","re-planting",IF(G75=0,"",IF($AD$8="",IF(AD75="me","not NVP, by",IF(AD75="",IF(G75&gt;0,(VLOOKUP(A75,'Discount Lookup'!J:K,2)*G75*(1-$AC$1786)*(1+$AC$1788)),""),"")),"not NVP, by"))))))))</f>
        <v/>
      </c>
      <c r="AC75" s="830"/>
      <c r="AD75" s="375" t="str">
        <f t="shared" si="138"/>
        <v/>
      </c>
      <c r="AE75" s="833" t="str">
        <f t="shared" ref="AE75" si="195">IF(G75&gt;0,(CONCATENATE((G75)," quantity, ",(A75)," ",B75)),"")</f>
        <v/>
      </c>
      <c r="AF75" s="833"/>
      <c r="AG75" s="833"/>
      <c r="AH75" s="91">
        <f>IF(AD75="free",0,IF(AD75="me",0,IF(G75&gt;0,(VLOOKUP(A75,'Discount Lookup'!J:K,2)*G75),0)))</f>
        <v>0</v>
      </c>
      <c r="AI75" s="92" t="str">
        <f t="shared" si="122"/>
        <v/>
      </c>
      <c r="AJ75" s="828" t="str">
        <f t="shared" si="130"/>
        <v/>
      </c>
      <c r="AK75" s="828"/>
      <c r="AL75" s="313" t="str">
        <f t="shared" ref="AL75:AL138" si="196">IF(AD75="free","      ~ discounts included, no tax or planting fee applies ~",IF(G75=0,"",IF($AD$8="me",CONCATENATE(" $",ROUND(AI75/G75,2)," per plant, with tax &amp; discount"),IF(AD75="me",CONCATENATE(" $",ROUND(AI75/G75,2)," per plant, with tax &amp; discount"),CONCATENATE("= $",ROUND((K75*(1-$H$1784))/G75,2)," per plant + $",AB75/G75,(" per planting      ~ includes tax &amp; discounts ~"))))))</f>
        <v/>
      </c>
      <c r="AM75" s="312"/>
      <c r="AN75" s="101"/>
      <c r="AO75" s="101"/>
      <c r="AP75" s="101"/>
      <c r="AQ75" s="101"/>
      <c r="AR75" s="101"/>
      <c r="AS75" s="101"/>
      <c r="AT75" s="101"/>
    </row>
    <row r="76" spans="1:46" ht="12.95" customHeight="1">
      <c r="A76" s="419">
        <v>25</v>
      </c>
      <c r="B76" s="87" t="s">
        <v>50</v>
      </c>
      <c r="C76" s="128" t="s">
        <v>89</v>
      </c>
      <c r="D76" s="129" t="s">
        <v>62</v>
      </c>
      <c r="E76" s="98">
        <v>249.95</v>
      </c>
      <c r="F76" s="705" t="s">
        <v>1306</v>
      </c>
      <c r="G76" s="357">
        <v>0</v>
      </c>
      <c r="H76" s="704" t="str">
        <f t="shared" si="183"/>
        <v/>
      </c>
      <c r="I76" s="98">
        <f t="shared" si="184"/>
        <v>0</v>
      </c>
      <c r="J76" s="98">
        <f t="shared" si="185"/>
        <v>0</v>
      </c>
      <c r="K76" s="831">
        <f t="shared" si="186"/>
        <v>0</v>
      </c>
      <c r="L76" s="831"/>
      <c r="M76" s="832" t="str">
        <f t="shared" si="187"/>
        <v/>
      </c>
      <c r="N76" s="832"/>
      <c r="O76" s="832"/>
      <c r="P76" s="832"/>
      <c r="Q76" s="832"/>
      <c r="R76" s="832"/>
      <c r="S76" s="303">
        <f t="shared" si="188"/>
        <v>0</v>
      </c>
      <c r="T76" s="541">
        <f>VLOOKUP(A76,'Discount Lookup'!D:E,2,FALSE)*G76</f>
        <v>0</v>
      </c>
      <c r="U76" s="83">
        <f>VLOOKUP(A76,'Discount Lookup'!G:H,2,FALSE)*G76</f>
        <v>0</v>
      </c>
      <c r="V76" s="100">
        <f t="shared" si="189"/>
        <v>0</v>
      </c>
      <c r="W76" s="100">
        <f t="shared" si="190"/>
        <v>0</v>
      </c>
      <c r="X76" s="100" t="b">
        <f t="shared" si="191"/>
        <v>0</v>
      </c>
      <c r="Y76" s="201"/>
      <c r="Z76" s="829" t="str">
        <f t="shared" si="129"/>
        <v/>
      </c>
      <c r="AA76" s="829"/>
      <c r="AB76" s="830" t="str">
        <f>IF(G76=0,"",IF(AD76="free","re-planting",IF(AD76="me","not NVP, by",IF($AD$8="yes",(VLOOKUP(A76,'Discount Lookup'!J:K,2)*G76*(1-$AC$1786)*(1+$AC$1788)),IF(AD76="NVP",(VLOOKUP(A76,'Discount Lookup'!J:K,2)*G76*(1-$AC$1786)*(1+$AC$1788)),IF(AD76="free","re-planting",IF(G76=0,"",IF($AD$8="",IF(AD76="me","not NVP, by",IF(AD76="",IF(G76&gt;0,(VLOOKUP(A76,'Discount Lookup'!J:K,2)*G76*(1-$AC$1786)*(1+$AC$1788)),""),"")),"not NVP, by"))))))))</f>
        <v/>
      </c>
      <c r="AC76" s="830"/>
      <c r="AD76" s="375" t="str">
        <f t="shared" si="138"/>
        <v/>
      </c>
      <c r="AE76" s="833" t="str">
        <f t="shared" si="182"/>
        <v/>
      </c>
      <c r="AF76" s="833"/>
      <c r="AG76" s="833"/>
      <c r="AH76" s="91">
        <f>IF(AD76="free",0,IF(AD76="me",0,IF(G76&gt;0,(VLOOKUP(A76,'Discount Lookup'!J:K,2)*G76),0)))</f>
        <v>0</v>
      </c>
      <c r="AI76" s="92" t="str">
        <f t="shared" si="122"/>
        <v/>
      </c>
      <c r="AJ76" s="828" t="str">
        <f t="shared" si="130"/>
        <v/>
      </c>
      <c r="AK76" s="828"/>
      <c r="AL76" s="313" t="str">
        <f t="shared" si="196"/>
        <v/>
      </c>
      <c r="AM76" s="312"/>
      <c r="AN76" s="101"/>
      <c r="AO76" s="101"/>
      <c r="AP76" s="101"/>
      <c r="AQ76" s="101"/>
      <c r="AR76" s="101"/>
      <c r="AS76" s="101"/>
      <c r="AT76" s="101"/>
    </row>
    <row r="77" spans="1:46" ht="12.95" customHeight="1">
      <c r="A77" s="419">
        <v>30</v>
      </c>
      <c r="B77" s="87" t="s">
        <v>50</v>
      </c>
      <c r="C77" s="128" t="s">
        <v>89</v>
      </c>
      <c r="D77" s="129" t="s">
        <v>63</v>
      </c>
      <c r="E77" s="98">
        <v>311.95</v>
      </c>
      <c r="F77" s="705" t="s">
        <v>1306</v>
      </c>
      <c r="G77" s="357">
        <v>0</v>
      </c>
      <c r="H77" s="704" t="str">
        <f t="shared" ref="H77" si="197">IF(G77=0,"",IF(F77="Qty=",IF(G77=1,"plant","plants"),IF(F77&gt;0.0001,"warranty","Error")))</f>
        <v/>
      </c>
      <c r="I77" s="98">
        <f t="shared" ref="I77" si="198">IF(F77="Qty=",(E77*G77),((E77*(1-F77))*G77))</f>
        <v>0</v>
      </c>
      <c r="J77" s="98">
        <f t="shared" si="185"/>
        <v>0</v>
      </c>
      <c r="K77" s="831">
        <f t="shared" si="186"/>
        <v>0</v>
      </c>
      <c r="L77" s="831"/>
      <c r="M77" s="832" t="str">
        <f t="shared" si="187"/>
        <v/>
      </c>
      <c r="N77" s="832"/>
      <c r="O77" s="832"/>
      <c r="P77" s="832"/>
      <c r="Q77" s="832"/>
      <c r="R77" s="832"/>
      <c r="S77" s="303">
        <f t="shared" si="188"/>
        <v>0</v>
      </c>
      <c r="T77" s="541">
        <f>VLOOKUP(A77,'Discount Lookup'!D:E,2,FALSE)*G77</f>
        <v>0</v>
      </c>
      <c r="U77" s="83">
        <f>VLOOKUP(A77,'Discount Lookup'!G:H,2,FALSE)*G77</f>
        <v>0</v>
      </c>
      <c r="V77" s="100">
        <f t="shared" si="189"/>
        <v>0</v>
      </c>
      <c r="W77" s="100">
        <f t="shared" si="190"/>
        <v>0</v>
      </c>
      <c r="X77" s="100" t="b">
        <f t="shared" ref="X77" si="199">IF(G77&gt;0,IF(AD77="me","",G77))</f>
        <v>0</v>
      </c>
      <c r="Y77" s="201"/>
      <c r="Z77" s="829" t="str">
        <f t="shared" ref="Z77" si="200">IF(G77=0,"",IF(AD77="me","",IF($AD$8="me","",IF(AD77="free","warranty",IF($AD$8="yes","NVP planting:","to NVP install:")))))</f>
        <v/>
      </c>
      <c r="AA77" s="829"/>
      <c r="AB77" s="830" t="str">
        <f>IF(G77=0,"",IF(AD77="free","re-planting",IF(AD77="me","not NVP, by",IF($AD$8="yes",(VLOOKUP(A77,'Discount Lookup'!J:K,2)*G77*(1-$AC$1786)*(1+$AC$1788)),IF(AD77="NVP",(VLOOKUP(A77,'Discount Lookup'!J:K,2)*G77*(1-$AC$1786)*(1+$AC$1788)),IF(AD77="free","re-planting",IF(G77=0,"",IF($AD$8="",IF(AD77="me","not NVP, by",IF(AD77="",IF(G77&gt;0,(VLOOKUP(A77,'Discount Lookup'!J:K,2)*G77*(1-$AC$1786)*(1+$AC$1788)),""),"")),"not NVP, by"))))))))</f>
        <v/>
      </c>
      <c r="AC77" s="830"/>
      <c r="AD77" s="375" t="str">
        <f t="shared" si="138"/>
        <v/>
      </c>
      <c r="AE77" s="833" t="str">
        <f t="shared" ref="AE77" si="201">IF(G77&gt;0,(CONCATENATE((G77)," quantity, ",(A77)," ",B77)),"")</f>
        <v/>
      </c>
      <c r="AF77" s="833"/>
      <c r="AG77" s="833"/>
      <c r="AH77" s="91">
        <f>IF(AD77="free",0,IF(AD77="me",0,IF(G77&gt;0,(VLOOKUP(A77,'Discount Lookup'!J:K,2)*G77),0)))</f>
        <v>0</v>
      </c>
      <c r="AI77" s="92" t="str">
        <f t="shared" si="122"/>
        <v/>
      </c>
      <c r="AJ77" s="828" t="str">
        <f t="shared" ref="AJ77" si="202">IF(G77=0,"",IF(AD77="me","  delivery-only",IF($AD$8="me","  delivery-only",CONCATENATE(" $",ROUND(AI77/G77,2)," each"))))</f>
        <v/>
      </c>
      <c r="AK77" s="828"/>
      <c r="AL77" s="313" t="str">
        <f t="shared" si="196"/>
        <v/>
      </c>
      <c r="AM77" s="312"/>
      <c r="AN77" s="101"/>
      <c r="AO77" s="101"/>
      <c r="AP77" s="101"/>
      <c r="AQ77" s="101"/>
      <c r="AR77" s="101"/>
      <c r="AS77" s="101"/>
      <c r="AT77" s="101"/>
    </row>
    <row r="78" spans="1:46" ht="12.95" customHeight="1">
      <c r="A78" s="419">
        <v>45</v>
      </c>
      <c r="B78" s="87" t="s">
        <v>50</v>
      </c>
      <c r="C78" s="128" t="s">
        <v>211</v>
      </c>
      <c r="D78" s="129" t="s">
        <v>90</v>
      </c>
      <c r="E78" s="98">
        <v>619.95000000000005</v>
      </c>
      <c r="F78" s="705" t="s">
        <v>1306</v>
      </c>
      <c r="G78" s="357">
        <v>0</v>
      </c>
      <c r="H78" s="704" t="str">
        <f t="shared" ref="H78" si="203">IF(G78=0,"",IF(F78="Qty=",IF(G78=1,"plant","plants"),IF(F78&gt;0.0001,"warranty","Error")))</f>
        <v/>
      </c>
      <c r="I78" s="98">
        <f t="shared" ref="I78" si="204">IF(F78="Qty=",(E78*G78),((E78*(1-F78))*G78))</f>
        <v>0</v>
      </c>
      <c r="J78" s="98">
        <f t="shared" si="185"/>
        <v>0</v>
      </c>
      <c r="K78" s="831">
        <f t="shared" si="186"/>
        <v>0</v>
      </c>
      <c r="L78" s="831"/>
      <c r="M78" s="832" t="str">
        <f t="shared" si="187"/>
        <v/>
      </c>
      <c r="N78" s="832"/>
      <c r="O78" s="832"/>
      <c r="P78" s="832"/>
      <c r="Q78" s="832"/>
      <c r="R78" s="832"/>
      <c r="S78" s="303">
        <f t="shared" ref="S78" si="205">E78*G78</f>
        <v>0</v>
      </c>
      <c r="T78" s="541">
        <f>VLOOKUP(A78,'Discount Lookup'!D:E,2,FALSE)*G78</f>
        <v>0</v>
      </c>
      <c r="U78" s="83">
        <f>VLOOKUP(A78,'Discount Lookup'!G:H,2,FALSE)*G78</f>
        <v>0</v>
      </c>
      <c r="V78" s="100">
        <f t="shared" si="189"/>
        <v>0</v>
      </c>
      <c r="W78" s="100">
        <f t="shared" ref="W78" si="206">I78</f>
        <v>0</v>
      </c>
      <c r="X78" s="100" t="b">
        <f t="shared" ref="X78" si="207">IF(G78&gt;0,IF(AD78="me","",G78))</f>
        <v>0</v>
      </c>
      <c r="Y78" s="201"/>
      <c r="Z78" s="829" t="str">
        <f t="shared" ref="Z78" si="208">IF(G78=0,"",IF(AD78="me","",IF($AD$8="me","",IF(AD78="free","warranty",IF($AD$8="yes","NVP planting:","to NVP install:")))))</f>
        <v/>
      </c>
      <c r="AA78" s="829"/>
      <c r="AB78" s="830" t="str">
        <f>IF(G78=0,"",IF(AD78="free","re-planting",IF(AD78="me","not NVP, by",IF($AD$8="yes",(VLOOKUP(A78,'Discount Lookup'!J:K,2)*G78*(1-$AC$1786)*(1+$AC$1788)),IF(AD78="NVP",(VLOOKUP(A78,'Discount Lookup'!J:K,2)*G78*(1-$AC$1786)*(1+$AC$1788)),IF(AD78="free","re-planting",IF(G78=0,"",IF($AD$8="",IF(AD78="me","not NVP, by",IF(AD78="",IF(G78&gt;0,(VLOOKUP(A78,'Discount Lookup'!J:K,2)*G78*(1-$AC$1786)*(1+$AC$1788)),""),"")),"not NVP, by"))))))))</f>
        <v/>
      </c>
      <c r="AC78" s="830"/>
      <c r="AD78" s="375" t="str">
        <f t="shared" si="138"/>
        <v/>
      </c>
      <c r="AE78" s="833" t="str">
        <f t="shared" ref="AE78" si="209">IF(G78&gt;0,(CONCATENATE((G78)," quantity, ",(A78)," ",B78)),"")</f>
        <v/>
      </c>
      <c r="AF78" s="833"/>
      <c r="AG78" s="833"/>
      <c r="AH78" s="91">
        <f>IF(AD78="free",0,IF(AD78="me",0,IF(G78&gt;0,(VLOOKUP(A78,'Discount Lookup'!J:K,2)*G78),0)))</f>
        <v>0</v>
      </c>
      <c r="AI78" s="92" t="str">
        <f t="shared" si="122"/>
        <v/>
      </c>
      <c r="AJ78" s="828" t="str">
        <f t="shared" ref="AJ78" si="210">IF(G78=0,"",IF(AD78="me","  delivery-only",IF($AD$8="me","  delivery-only",CONCATENATE(" $",ROUND(AI78/G78,2)," each"))))</f>
        <v/>
      </c>
      <c r="AK78" s="828"/>
      <c r="AL78" s="313" t="str">
        <f t="shared" si="196"/>
        <v/>
      </c>
      <c r="AM78" s="312"/>
      <c r="AN78" s="101"/>
      <c r="AO78" s="101"/>
      <c r="AP78" s="101"/>
      <c r="AQ78" s="101"/>
      <c r="AR78" s="101"/>
      <c r="AS78" s="101"/>
      <c r="AT78" s="101"/>
    </row>
    <row r="79" spans="1:46" ht="12.95" customHeight="1">
      <c r="A79" s="465"/>
      <c r="B79" s="103" t="s">
        <v>131</v>
      </c>
      <c r="H79" s="363"/>
      <c r="N79" s="163" t="s">
        <v>132</v>
      </c>
      <c r="O79" s="111"/>
      <c r="P79" s="111"/>
      <c r="Q79" s="111"/>
      <c r="R79" s="111"/>
      <c r="S79" s="82">
        <f t="shared" ref="S79" si="211">E79*G79</f>
        <v>0</v>
      </c>
      <c r="T79" s="540"/>
      <c r="U79" s="83"/>
      <c r="V79" s="100" t="b">
        <f>IF(G79&gt;0,IF(AD79="me","",G79))</f>
        <v>0</v>
      </c>
      <c r="W79" s="100"/>
      <c r="X79" s="100"/>
      <c r="Y79" s="201"/>
      <c r="Z79" s="829" t="str">
        <f t="shared" si="129"/>
        <v/>
      </c>
      <c r="AA79" s="829"/>
      <c r="AB79" s="830" t="str">
        <f>IF(G79=0,"",IF(AD79="free","re-planting",IF(AD79="me","not NVP, by",IF($AD$8="yes",(VLOOKUP(A79,'Discount Lookup'!J:K,2)*G79*(1-$AC$1786)*(1+$AC$1788)),IF(AD79="NVP",(VLOOKUP(A79,'Discount Lookup'!J:K,2)*G79*(1-$AC$1786)*(1+$AC$1788)),IF(AD79="free","re-planting",IF(G79=0,"",IF($AD$8="",IF(AD79="me","not NVP, by",IF(AD79="",IF(G79&gt;0,(VLOOKUP(A79,'Discount Lookup'!J:K,2)*G79*(1-$AC$1786)*(1+$AC$1788)),""),"")),"not NVP, by"))))))))</f>
        <v/>
      </c>
      <c r="AC79" s="830"/>
      <c r="AD79" s="375" t="str">
        <f t="shared" si="138"/>
        <v/>
      </c>
      <c r="AE79" s="833" t="str">
        <f t="shared" si="182"/>
        <v/>
      </c>
      <c r="AF79" s="833"/>
      <c r="AG79" s="833"/>
      <c r="AH79" s="91">
        <f>IF(AD79="free",0,IF(AD79="me",0,IF(G79&gt;0,(VLOOKUP(A79,'Discount Lookup'!J:K,2)*G79),0)))</f>
        <v>0</v>
      </c>
      <c r="AI79" s="92" t="str">
        <f t="shared" si="122"/>
        <v/>
      </c>
      <c r="AJ79" s="828" t="str">
        <f t="shared" si="130"/>
        <v/>
      </c>
      <c r="AK79" s="828"/>
      <c r="AL79" s="313" t="str">
        <f t="shared" si="196"/>
        <v/>
      </c>
      <c r="AM79" s="312"/>
      <c r="AN79" s="101"/>
      <c r="AO79" s="101"/>
      <c r="AP79" s="101"/>
      <c r="AQ79" s="101"/>
      <c r="AR79" s="101"/>
      <c r="AS79" s="101"/>
      <c r="AT79" s="101"/>
    </row>
    <row r="80" spans="1:46" ht="12.75" customHeight="1">
      <c r="A80" s="852" t="s">
        <v>133</v>
      </c>
      <c r="B80" s="844"/>
      <c r="C80" s="844"/>
      <c r="D80" s="844"/>
      <c r="E80" s="844"/>
      <c r="F80" s="844"/>
      <c r="G80" s="844"/>
      <c r="H80" s="770" t="s">
        <v>134</v>
      </c>
      <c r="I80" s="88" t="s">
        <v>127</v>
      </c>
      <c r="J80" s="86"/>
      <c r="K80" s="603" t="s">
        <v>45</v>
      </c>
      <c r="L80" s="601" t="s">
        <v>46</v>
      </c>
      <c r="M80" s="86"/>
      <c r="N80" s="87" t="s">
        <v>69</v>
      </c>
      <c r="O80" s="87"/>
      <c r="P80" s="87"/>
      <c r="Q80" s="87"/>
      <c r="R80" s="86"/>
      <c r="S80" s="125"/>
      <c r="T80" s="543"/>
      <c r="U80" s="112"/>
      <c r="V80" s="100" t="b">
        <f>IF(G80&gt;0,IF(AD80="me","",G80))</f>
        <v>0</v>
      </c>
      <c r="W80" s="100"/>
      <c r="X80" s="100"/>
      <c r="Y80" s="201"/>
      <c r="Z80" s="829" t="str">
        <f t="shared" si="129"/>
        <v/>
      </c>
      <c r="AA80" s="829"/>
      <c r="AB80" s="830" t="str">
        <f>IF(G80=0,"",IF(AD80="free","re-planting",IF(AD80="me","not NVP, by",IF($AD$8="yes",(VLOOKUP(A80,'Discount Lookup'!J:K,2)*G80*(1-$AC$1786)*(1+$AC$1788)),IF(AD80="NVP",(VLOOKUP(A80,'Discount Lookup'!J:K,2)*G80*(1-$AC$1786)*(1+$AC$1788)),IF(AD80="free","re-planting",IF(G80=0,"",IF($AD$8="",IF(AD80="me","not NVP, by",IF(AD80="",IF(G80&gt;0,(VLOOKUP(A80,'Discount Lookup'!J:K,2)*G80*(1-$AC$1786)*(1+$AC$1788)),""),"")),"not NVP, by"))))))))</f>
        <v/>
      </c>
      <c r="AC80" s="830"/>
      <c r="AD80" s="375" t="str">
        <f t="shared" si="138"/>
        <v/>
      </c>
      <c r="AE80" s="833" t="str">
        <f t="shared" si="182"/>
        <v/>
      </c>
      <c r="AF80" s="833"/>
      <c r="AG80" s="833"/>
      <c r="AH80" s="91">
        <f>IF(AD80="free",0,IF(AD80="me",0,IF(G80&gt;0,(VLOOKUP(A80,'Discount Lookup'!J:K,2)*G80),0)))</f>
        <v>0</v>
      </c>
      <c r="AI80" s="92" t="str">
        <f t="shared" si="122"/>
        <v/>
      </c>
      <c r="AJ80" s="828" t="str">
        <f t="shared" si="130"/>
        <v/>
      </c>
      <c r="AK80" s="828"/>
      <c r="AL80" s="313" t="str">
        <f t="shared" si="196"/>
        <v/>
      </c>
      <c r="AM80" s="312"/>
      <c r="AN80" s="101"/>
      <c r="AO80" s="101"/>
      <c r="AP80" s="101"/>
      <c r="AQ80" s="101"/>
      <c r="AR80" s="101"/>
      <c r="AS80" s="101"/>
      <c r="AT80" s="101"/>
    </row>
    <row r="81" spans="1:46" ht="12.95" customHeight="1">
      <c r="A81" s="419">
        <v>3</v>
      </c>
      <c r="B81" s="87" t="s">
        <v>50</v>
      </c>
      <c r="C81" s="128" t="s">
        <v>567</v>
      </c>
      <c r="D81" s="129" t="s">
        <v>87</v>
      </c>
      <c r="E81" s="98">
        <v>33.950000000000003</v>
      </c>
      <c r="F81" s="705" t="s">
        <v>1306</v>
      </c>
      <c r="G81" s="357">
        <v>0</v>
      </c>
      <c r="H81" s="704" t="str">
        <f t="shared" ref="H81" si="212">IF(G81=0,"",IF(F81="Qty=",IF(G81=1,"plant","plants"),IF(F81&gt;0.0001,"warranty","Error")))</f>
        <v/>
      </c>
      <c r="I81" s="98">
        <f t="shared" ref="I81" si="213">IF(F81="Qty=",(E81*G81),((E81*(1-F81))*G81))</f>
        <v>0</v>
      </c>
      <c r="J81" s="98">
        <f>IF(H81="warranty",0,(I81*($J$1782)))</f>
        <v>0</v>
      </c>
      <c r="K81" s="831">
        <f t="shared" ref="K81:K85" si="214">I81+J81</f>
        <v>0</v>
      </c>
      <c r="L81" s="831"/>
      <c r="M81" s="832" t="str">
        <f>IF($H$1784=0,"",IF(G81=0,"",IF(F81="Qty=",CONCATENATE("$",ROUND(K81*(1-$H$1784),2)," with ",($H$1784*100),"% discount"),CONCATENATE("$",ROUND(K81*(1-$H$1784),2)," with ",(($H$1784*100+F81*100)-($H$1784*100*F81)),IF(F81&gt;0,"% discounts",IF($H$1781&gt;0,"% discounts","% discount"))))))</f>
        <v/>
      </c>
      <c r="N81" s="832"/>
      <c r="O81" s="832"/>
      <c r="P81" s="832"/>
      <c r="Q81" s="832"/>
      <c r="R81" s="832"/>
      <c r="S81" s="303">
        <f>E81*G81</f>
        <v>0</v>
      </c>
      <c r="T81" s="541">
        <f>VLOOKUP(A81,'Discount Lookup'!D:E,2,FALSE)*G81</f>
        <v>0</v>
      </c>
      <c r="U81" s="83">
        <f>VLOOKUP(A81,'Discount Lookup'!G:H,2,FALSE)*G81</f>
        <v>0</v>
      </c>
      <c r="V81" s="100">
        <f>E81*($J$1782)*G81</f>
        <v>0</v>
      </c>
      <c r="W81" s="100">
        <f>I81</f>
        <v>0</v>
      </c>
      <c r="X81" s="100" t="b">
        <f t="shared" ref="X81" si="215">IF(G81&gt;0,IF(AD81="me","",G81))</f>
        <v>0</v>
      </c>
      <c r="Y81" s="201"/>
      <c r="Z81" s="829" t="str">
        <f t="shared" ref="Z81" si="216">IF(G81=0,"",IF(AD81="me","",IF($AD$8="me","",IF(AD81="free","warranty",IF($AD$8="yes","NVP planting:","to NVP install:")))))</f>
        <v/>
      </c>
      <c r="AA81" s="829"/>
      <c r="AB81" s="830" t="str">
        <f>IF(G81=0,"",IF(AD81="free","re-planting",IF(AD81="me","not NVP, by",IF($AD$8="yes",(VLOOKUP(A81,'Discount Lookup'!J:K,2)*G81*(1-$AC$1786)*(1+$AC$1788)),IF(AD81="NVP",(VLOOKUP(A81,'Discount Lookup'!J:K,2)*G81*(1-$AC$1786)*(1+$AC$1788)),IF(AD81="free","re-planting",IF(G81=0,"",IF($AD$8="",IF(AD81="me","not NVP, by",IF(AD81="",IF(G81&gt;0,(VLOOKUP(A81,'Discount Lookup'!J:K,2)*G81*(1-$AC$1786)*(1+$AC$1788)),""),"")),"not NVP, by"))))))))</f>
        <v/>
      </c>
      <c r="AC81" s="830"/>
      <c r="AD81" s="375" t="str">
        <f t="shared" si="138"/>
        <v/>
      </c>
      <c r="AE81" s="833" t="str">
        <f t="shared" ref="AE81" si="217">IF(G81&gt;0,(CONCATENATE((G81)," quantity, ",(A81)," ",B81)),"")</f>
        <v/>
      </c>
      <c r="AF81" s="833"/>
      <c r="AG81" s="833"/>
      <c r="AH81" s="91">
        <f>IF(AD81="free",0,IF(AD81="me",0,IF(G81&gt;0,(VLOOKUP(A81,'Discount Lookup'!J:K,2)*G81),0)))</f>
        <v>0</v>
      </c>
      <c r="AI81" s="92" t="str">
        <f t="shared" si="122"/>
        <v/>
      </c>
      <c r="AJ81" s="828" t="str">
        <f t="shared" ref="AJ81" si="218">IF(G81=0,"",IF(AD81="me","  delivery-only",IF($AD$8="me","  delivery-only",CONCATENATE(" $",ROUND(AI81/G81,2)," each"))))</f>
        <v/>
      </c>
      <c r="AK81" s="828"/>
      <c r="AL81" s="313" t="str">
        <f t="shared" si="196"/>
        <v/>
      </c>
      <c r="AM81" s="312"/>
      <c r="AN81" s="101"/>
      <c r="AO81" s="101"/>
      <c r="AP81" s="101"/>
      <c r="AQ81" s="101"/>
      <c r="AR81" s="101"/>
      <c r="AS81" s="101"/>
      <c r="AT81" s="101"/>
    </row>
    <row r="82" spans="1:46" ht="12.95" customHeight="1">
      <c r="A82" s="419">
        <v>3</v>
      </c>
      <c r="B82" s="87" t="s">
        <v>50</v>
      </c>
      <c r="C82" s="128" t="s">
        <v>135</v>
      </c>
      <c r="D82" s="129" t="s">
        <v>94</v>
      </c>
      <c r="E82" s="98">
        <v>23.95</v>
      </c>
      <c r="F82" s="705" t="s">
        <v>1306</v>
      </c>
      <c r="G82" s="357">
        <v>0</v>
      </c>
      <c r="H82" s="704" t="str">
        <f t="shared" ref="H82" si="219">IF(G82=0,"",IF(F82="Qty=",IF(G82=1,"plant","plants"),IF(F82&gt;0.0001,"warranty","Error")))</f>
        <v/>
      </c>
      <c r="I82" s="98">
        <f t="shared" ref="I82" si="220">IF(F82="Qty=",(E82*G82),((E82*(1-F82))*G82))</f>
        <v>0</v>
      </c>
      <c r="J82" s="98">
        <f>IF(H82="warranty",0,(I82*($J$1782)))</f>
        <v>0</v>
      </c>
      <c r="K82" s="831">
        <f t="shared" ref="K82" si="221">I82+J82</f>
        <v>0</v>
      </c>
      <c r="L82" s="831"/>
      <c r="M82" s="832" t="str">
        <f>IF($H$1784=0,"",IF(G82=0,"",IF(F82="Qty=",CONCATENATE("$",ROUND(K82*(1-$H$1784),2)," with ",($H$1784*100),"% discount"),CONCATENATE("$",ROUND(K82*(1-$H$1784),2)," with ",(($H$1784*100+F82*100)-($H$1784*100*F82)),IF(F82&gt;0,"% discounts",IF($H$1781&gt;0,"% discounts","% discount"))))))</f>
        <v/>
      </c>
      <c r="N82" s="832"/>
      <c r="O82" s="832"/>
      <c r="P82" s="832"/>
      <c r="Q82" s="832"/>
      <c r="R82" s="832"/>
      <c r="S82" s="303">
        <f>E82*G82</f>
        <v>0</v>
      </c>
      <c r="T82" s="541">
        <f>VLOOKUP(A82,'Discount Lookup'!D:E,2,FALSE)*G82</f>
        <v>0</v>
      </c>
      <c r="U82" s="83">
        <f>VLOOKUP(A82,'Discount Lookup'!G:H,2,FALSE)*G82</f>
        <v>0</v>
      </c>
      <c r="V82" s="100">
        <f>E82*($J$1782)*G82</f>
        <v>0</v>
      </c>
      <c r="W82" s="100">
        <f>I82</f>
        <v>0</v>
      </c>
      <c r="X82" s="100" t="b">
        <f t="shared" ref="X82" si="222">IF(G82&gt;0,IF(AD82="me","",G82))</f>
        <v>0</v>
      </c>
      <c r="Y82" s="201"/>
      <c r="Z82" s="829" t="str">
        <f t="shared" ref="Z82" si="223">IF(G82=0,"",IF(AD82="me","",IF($AD$8="me","",IF(AD82="free","warranty",IF($AD$8="yes","NVP planting:","to NVP install:")))))</f>
        <v/>
      </c>
      <c r="AA82" s="829"/>
      <c r="AB82" s="830" t="str">
        <f>IF(G82=0,"",IF(AD82="free","re-planting",IF(AD82="me","not NVP, by",IF($AD$8="yes",(VLOOKUP(A82,'Discount Lookup'!J:K,2)*G82*(1-$AC$1786)*(1+$AC$1788)),IF(AD82="NVP",(VLOOKUP(A82,'Discount Lookup'!J:K,2)*G82*(1-$AC$1786)*(1+$AC$1788)),IF(AD82="free","re-planting",IF(G82=0,"",IF($AD$8="",IF(AD82="me","not NVP, by",IF(AD82="",IF(G82&gt;0,(VLOOKUP(A82,'Discount Lookup'!J:K,2)*G82*(1-$AC$1786)*(1+$AC$1788)),""),"")),"not NVP, by"))))))))</f>
        <v/>
      </c>
      <c r="AC82" s="830"/>
      <c r="AD82" s="375" t="str">
        <f t="shared" ref="AD82" si="224">IF(G82=0,"",IF($AD$8="me","me",IF(H82="warranty","free",IF($AD$8="yes","NVP",""))))</f>
        <v/>
      </c>
      <c r="AE82" s="833" t="str">
        <f t="shared" ref="AE82" si="225">IF(G82&gt;0,(CONCATENATE((G82)," quantity, ",(A82)," ",B82)),"")</f>
        <v/>
      </c>
      <c r="AF82" s="833"/>
      <c r="AG82" s="833"/>
      <c r="AH82" s="91">
        <f>IF(AD82="free",0,IF(AD82="me",0,IF(G82&gt;0,(VLOOKUP(A82,'Discount Lookup'!J:K,2)*G82),0)))</f>
        <v>0</v>
      </c>
      <c r="AI82" s="92" t="str">
        <f t="shared" si="122"/>
        <v/>
      </c>
      <c r="AJ82" s="828" t="str">
        <f t="shared" ref="AJ82" si="226">IF(G82=0,"",IF(AD82="me","  delivery-only",IF($AD$8="me","  delivery-only",CONCATENATE(" $",ROUND(AI82/G82,2)," each"))))</f>
        <v/>
      </c>
      <c r="AK82" s="828"/>
      <c r="AL82" s="313" t="str">
        <f t="shared" si="196"/>
        <v/>
      </c>
      <c r="AM82" s="312"/>
      <c r="AN82" s="101"/>
      <c r="AO82" s="101"/>
      <c r="AP82" s="101"/>
      <c r="AQ82" s="101"/>
      <c r="AR82" s="101"/>
      <c r="AS82" s="101"/>
      <c r="AT82" s="101"/>
    </row>
    <row r="83" spans="1:46" ht="12.95" customHeight="1">
      <c r="A83" s="419">
        <v>15</v>
      </c>
      <c r="B83" s="87" t="s">
        <v>50</v>
      </c>
      <c r="C83" s="128" t="s">
        <v>53</v>
      </c>
      <c r="D83" s="129" t="s">
        <v>62</v>
      </c>
      <c r="E83" s="98">
        <v>155.94999999999999</v>
      </c>
      <c r="F83" s="705" t="s">
        <v>1306</v>
      </c>
      <c r="G83" s="357">
        <v>0</v>
      </c>
      <c r="H83" s="704" t="str">
        <f t="shared" ref="H83" si="227">IF(G83=0,"",IF(F83="Qty=",IF(G83=1,"plant","plants"),IF(F83&gt;0.0001,"warranty","Error")))</f>
        <v/>
      </c>
      <c r="I83" s="98">
        <f t="shared" ref="I83" si="228">IF(F83="Qty=",(E83*G83),((E83*(1-F83))*G83))</f>
        <v>0</v>
      </c>
      <c r="J83" s="98">
        <f>IF(H83="warranty",0,(I83*($J$1782)))</f>
        <v>0</v>
      </c>
      <c r="K83" s="831">
        <f t="shared" ref="K83" si="229">I83+J83</f>
        <v>0</v>
      </c>
      <c r="L83" s="831"/>
      <c r="M83" s="832" t="str">
        <f>IF($H$1784=0,"",IF(G83=0,"",IF(F83="Qty=",CONCATENATE("$",ROUND(K83*(1-$H$1784),2)," with ",($H$1784*100),"% discount"),CONCATENATE("$",ROUND(K83*(1-$H$1784),2)," with ",(($H$1784*100+F83*100)-($H$1784*100*F83)),IF(F83&gt;0,"% discounts",IF($H$1781&gt;0,"% discounts","% discount"))))))</f>
        <v/>
      </c>
      <c r="N83" s="832"/>
      <c r="O83" s="832"/>
      <c r="P83" s="832"/>
      <c r="Q83" s="832"/>
      <c r="R83" s="832"/>
      <c r="S83" s="303">
        <f t="shared" ref="S83" si="230">E83*G83</f>
        <v>0</v>
      </c>
      <c r="T83" s="541">
        <f>VLOOKUP(A83,'Discount Lookup'!D:E,2,FALSE)*G83</f>
        <v>0</v>
      </c>
      <c r="U83" s="83">
        <f>VLOOKUP(A83,'Discount Lookup'!G:H,2,FALSE)*G83</f>
        <v>0</v>
      </c>
      <c r="V83" s="100">
        <f>E83*($J$1782)*G83</f>
        <v>0</v>
      </c>
      <c r="W83" s="100">
        <f t="shared" ref="W83" si="231">I83</f>
        <v>0</v>
      </c>
      <c r="X83" s="100" t="b">
        <f t="shared" ref="X83" si="232">IF(G83&gt;0,IF(AD83="me","",G83))</f>
        <v>0</v>
      </c>
      <c r="Y83" s="201"/>
      <c r="Z83" s="829" t="str">
        <f t="shared" ref="Z83" si="233">IF(G83=0,"",IF(AD83="me","",IF($AD$8="me","",IF(AD83="free","warranty",IF($AD$8="yes","NVP planting:","to NVP install:")))))</f>
        <v/>
      </c>
      <c r="AA83" s="829"/>
      <c r="AB83" s="830" t="str">
        <f>IF(G83=0,"",IF(AD83="free","re-planting",IF(AD83="me","not NVP, by",IF($AD$8="yes",(VLOOKUP(A83,'Discount Lookup'!J:K,2)*G83*(1-$AC$1786)*(1+$AC$1788)),IF(AD83="NVP",(VLOOKUP(A83,'Discount Lookup'!J:K,2)*G83*(1-$AC$1786)*(1+$AC$1788)),IF(AD83="free","re-planting",IF(G83=0,"",IF($AD$8="",IF(AD83="me","not NVP, by",IF(AD83="",IF(G83&gt;0,(VLOOKUP(A83,'Discount Lookup'!J:K,2)*G83*(1-$AC$1786)*(1+$AC$1788)),""),"")),"not NVP, by"))))))))</f>
        <v/>
      </c>
      <c r="AC83" s="830"/>
      <c r="AD83" s="375" t="str">
        <f t="shared" ref="AD83" si="234">IF(G83=0,"",IF($AD$8="me","me",IF(H83="warranty","free",IF($AD$8="yes","NVP",""))))</f>
        <v/>
      </c>
      <c r="AE83" s="833" t="str">
        <f t="shared" ref="AE83" si="235">IF(G83&gt;0,(CONCATENATE((G83)," quantity, ",(A83)," ",B83)),"")</f>
        <v/>
      </c>
      <c r="AF83" s="833"/>
      <c r="AG83" s="833"/>
      <c r="AH83" s="91">
        <f>IF(AD83="free",0,IF(AD83="me",0,IF(G83&gt;0,(VLOOKUP(A83,'Discount Lookup'!J:K,2)*G83),0)))</f>
        <v>0</v>
      </c>
      <c r="AI83" s="92" t="str">
        <f t="shared" ref="AI83:AI119" si="236">IF(G83=0,"",IF(AD83="free",(K83*(1-$H$1784)),IF($AD$8="me",(K83*(1-$H$1784)),IF(AD83="me",(K83*(1-$H$1784)),(K83*(1-$H$1784))+AB83))))</f>
        <v/>
      </c>
      <c r="AJ83" s="828" t="str">
        <f t="shared" ref="AJ83" si="237">IF(G83=0,"",IF(AD83="me","  delivery-only",IF($AD$8="me","  delivery-only",CONCATENATE(" $",ROUND(AI83/G83,2)," each"))))</f>
        <v/>
      </c>
      <c r="AK83" s="828"/>
      <c r="AL83" s="313" t="str">
        <f t="shared" si="196"/>
        <v/>
      </c>
      <c r="AM83" s="312"/>
      <c r="AN83" s="101"/>
      <c r="AO83" s="101"/>
      <c r="AP83" s="101"/>
      <c r="AQ83" s="101"/>
      <c r="AR83" s="101"/>
      <c r="AS83" s="101"/>
      <c r="AT83" s="101"/>
    </row>
    <row r="84" spans="1:46" ht="12.75" customHeight="1">
      <c r="A84" s="419">
        <v>20</v>
      </c>
      <c r="B84" s="87" t="s">
        <v>50</v>
      </c>
      <c r="C84" s="128" t="s">
        <v>53</v>
      </c>
      <c r="D84" s="129" t="s">
        <v>90</v>
      </c>
      <c r="E84" s="98">
        <v>300.95</v>
      </c>
      <c r="F84" s="705" t="s">
        <v>1306</v>
      </c>
      <c r="G84" s="357">
        <v>0</v>
      </c>
      <c r="H84" s="704" t="str">
        <f t="shared" ref="H84:H85" si="238">IF(G84=0,"",IF(F84="Qty=",IF(G84=1,"plant","plants"),IF(F84&gt;0.0001,"warranty","Error")))</f>
        <v/>
      </c>
      <c r="I84" s="98">
        <f t="shared" ref="I84:I85" si="239">IF(F84="Qty=",(E84*G84),((E84*(1-F84))*G84))</f>
        <v>0</v>
      </c>
      <c r="J84" s="98">
        <f>IF(H84="warranty",0,(I84*($J$1782)))</f>
        <v>0</v>
      </c>
      <c r="K84" s="831">
        <f t="shared" si="214"/>
        <v>0</v>
      </c>
      <c r="L84" s="831"/>
      <c r="M84" s="832" t="str">
        <f>IF($H$1784=0,"",IF(G84=0,"",IF(F84="Qty=",CONCATENATE("$",ROUND(K84*(1-$H$1784),2)," with ",($H$1784*100),"% discount"),CONCATENATE("$",ROUND(K84*(1-$H$1784),2)," with ",(($H$1784*100+F84*100)-($H$1784*100*F84)),IF(F84&gt;0,"% discounts",IF($H$1781&gt;0,"% discounts","% discount"))))))</f>
        <v/>
      </c>
      <c r="N84" s="832"/>
      <c r="O84" s="832"/>
      <c r="P84" s="832"/>
      <c r="Q84" s="832"/>
      <c r="R84" s="832"/>
      <c r="S84" s="303">
        <f t="shared" ref="S84:S85" si="240">E84*G84</f>
        <v>0</v>
      </c>
      <c r="T84" s="541">
        <f>VLOOKUP(A84,'Discount Lookup'!D:E,2,FALSE)*G84</f>
        <v>0</v>
      </c>
      <c r="U84" s="83">
        <f>VLOOKUP(A84,'Discount Lookup'!G:H,2,FALSE)*G84</f>
        <v>0</v>
      </c>
      <c r="V84" s="100">
        <f>E84*($J$1782)*G84</f>
        <v>0</v>
      </c>
      <c r="W84" s="100">
        <f t="shared" ref="W84:W85" si="241">I84</f>
        <v>0</v>
      </c>
      <c r="X84" s="100" t="b">
        <f t="shared" ref="X84:X85" si="242">IF(G84&gt;0,IF(AD84="me","",G84))</f>
        <v>0</v>
      </c>
      <c r="Y84" s="201"/>
      <c r="Z84" s="829" t="str">
        <f t="shared" si="129"/>
        <v/>
      </c>
      <c r="AA84" s="829"/>
      <c r="AB84" s="830" t="str">
        <f>IF(G84=0,"",IF(AD84="free","re-planting",IF(AD84="me","not NVP, by",IF($AD$8="yes",(VLOOKUP(A84,'Discount Lookup'!J:K,2)*G84*(1-$AC$1786)*(1+$AC$1788)),IF(AD84="NVP",(VLOOKUP(A84,'Discount Lookup'!J:K,2)*G84*(1-$AC$1786)*(1+$AC$1788)),IF(AD84="free","re-planting",IF(G84=0,"",IF($AD$8="",IF(AD84="me","not NVP, by",IF(AD84="",IF(G84&gt;0,(VLOOKUP(A84,'Discount Lookup'!J:K,2)*G84*(1-$AC$1786)*(1+$AC$1788)),""),"")),"not NVP, by"))))))))</f>
        <v/>
      </c>
      <c r="AC84" s="830"/>
      <c r="AD84" s="375" t="str">
        <f t="shared" si="138"/>
        <v/>
      </c>
      <c r="AE84" s="833" t="str">
        <f t="shared" ref="AE84:AE85" si="243">IF(G84&gt;0,(CONCATENATE((G84)," quantity, ",(A84)," ",B84)),"")</f>
        <v/>
      </c>
      <c r="AF84" s="833"/>
      <c r="AG84" s="833"/>
      <c r="AH84" s="91">
        <f>IF(AD84="free",0,IF(AD84="me",0,IF(G84&gt;0,(VLOOKUP(A84,'Discount Lookup'!J:K,2)*G84),0)))</f>
        <v>0</v>
      </c>
      <c r="AI84" s="92" t="str">
        <f t="shared" si="236"/>
        <v/>
      </c>
      <c r="AJ84" s="828" t="str">
        <f t="shared" si="130"/>
        <v/>
      </c>
      <c r="AK84" s="828"/>
      <c r="AL84" s="313" t="str">
        <f t="shared" si="196"/>
        <v/>
      </c>
      <c r="AM84" s="312"/>
      <c r="AN84" s="101"/>
      <c r="AO84" s="101"/>
      <c r="AP84" s="101"/>
      <c r="AQ84" s="101"/>
      <c r="AR84" s="101"/>
      <c r="AS84" s="101"/>
      <c r="AT84" s="101"/>
    </row>
    <row r="85" spans="1:46" ht="12.75" customHeight="1">
      <c r="A85" s="419">
        <v>45</v>
      </c>
      <c r="B85" s="87" t="s">
        <v>50</v>
      </c>
      <c r="C85" s="128" t="s">
        <v>211</v>
      </c>
      <c r="D85" s="129" t="s">
        <v>90</v>
      </c>
      <c r="E85" s="98">
        <v>574.95000000000005</v>
      </c>
      <c r="F85" s="705" t="s">
        <v>1306</v>
      </c>
      <c r="G85" s="357">
        <v>0</v>
      </c>
      <c r="H85" s="704" t="str">
        <f t="shared" si="238"/>
        <v/>
      </c>
      <c r="I85" s="98">
        <f t="shared" si="239"/>
        <v>0</v>
      </c>
      <c r="J85" s="98">
        <f>IF(H85="warranty",0,(I85*($J$1782)))</f>
        <v>0</v>
      </c>
      <c r="K85" s="831">
        <f t="shared" si="214"/>
        <v>0</v>
      </c>
      <c r="L85" s="831"/>
      <c r="M85" s="832" t="str">
        <f>IF($H$1784=0,"",IF(G85=0,"",IF(F85="Qty=",CONCATENATE("$",ROUND(K85*(1-$H$1784),2)," with ",($H$1784*100),"% discount"),CONCATENATE("$",ROUND(K85*(1-$H$1784),2)," with ",(($H$1784*100+F85*100)-($H$1784*100*F85)),IF(F85&gt;0,"% discounts",IF($H$1781&gt;0,"% discounts","% discount"))))))</f>
        <v/>
      </c>
      <c r="N85" s="832"/>
      <c r="O85" s="832"/>
      <c r="P85" s="832"/>
      <c r="Q85" s="832"/>
      <c r="R85" s="832"/>
      <c r="S85" s="303">
        <f t="shared" si="240"/>
        <v>0</v>
      </c>
      <c r="T85" s="541">
        <f>VLOOKUP(A85,'Discount Lookup'!D:E,2,FALSE)*G85</f>
        <v>0</v>
      </c>
      <c r="U85" s="83">
        <f>VLOOKUP(A85,'Discount Lookup'!G:H,2,FALSE)*G85</f>
        <v>0</v>
      </c>
      <c r="V85" s="100">
        <f>E85*($J$1782)*G85</f>
        <v>0</v>
      </c>
      <c r="W85" s="100">
        <f t="shared" si="241"/>
        <v>0</v>
      </c>
      <c r="X85" s="100" t="b">
        <f t="shared" si="242"/>
        <v>0</v>
      </c>
      <c r="Y85" s="201"/>
      <c r="Z85" s="829" t="str">
        <f t="shared" si="129"/>
        <v/>
      </c>
      <c r="AA85" s="829"/>
      <c r="AB85" s="830" t="str">
        <f>IF(G85=0,"",IF(AD85="free","re-planting",IF(AD85="me","not NVP, by",IF($AD$8="yes",(VLOOKUP(A85,'Discount Lookup'!J:K,2)*G85*(1-$AC$1786)*(1+$AC$1788)),IF(AD85="NVP",(VLOOKUP(A85,'Discount Lookup'!J:K,2)*G85*(1-$AC$1786)*(1+$AC$1788)),IF(AD85="free","re-planting",IF(G85=0,"",IF($AD$8="",IF(AD85="me","not NVP, by",IF(AD85="",IF(G85&gt;0,(VLOOKUP(A85,'Discount Lookup'!J:K,2)*G85*(1-$AC$1786)*(1+$AC$1788)),""),"")),"not NVP, by"))))))))</f>
        <v/>
      </c>
      <c r="AC85" s="830"/>
      <c r="AD85" s="375" t="str">
        <f t="shared" si="138"/>
        <v/>
      </c>
      <c r="AE85" s="833" t="str">
        <f t="shared" si="243"/>
        <v/>
      </c>
      <c r="AF85" s="833"/>
      <c r="AG85" s="833"/>
      <c r="AH85" s="91">
        <f>IF(AD85="free",0,IF(AD85="me",0,IF(G85&gt;0,(VLOOKUP(A85,'Discount Lookup'!J:K,2)*G85),0)))</f>
        <v>0</v>
      </c>
      <c r="AI85" s="92" t="str">
        <f t="shared" si="236"/>
        <v/>
      </c>
      <c r="AJ85" s="828" t="str">
        <f t="shared" si="130"/>
        <v/>
      </c>
      <c r="AK85" s="828"/>
      <c r="AL85" s="313" t="str">
        <f t="shared" si="196"/>
        <v/>
      </c>
      <c r="AM85" s="312"/>
      <c r="AN85" s="101"/>
      <c r="AO85" s="101"/>
      <c r="AP85" s="101"/>
      <c r="AQ85" s="101"/>
      <c r="AR85" s="101"/>
      <c r="AS85" s="101"/>
      <c r="AT85" s="101"/>
    </row>
    <row r="86" spans="1:46" ht="12.95" customHeight="1">
      <c r="A86" s="465"/>
      <c r="B86" s="103" t="s">
        <v>138</v>
      </c>
      <c r="C86" s="130"/>
      <c r="D86" s="104"/>
      <c r="E86" s="131"/>
      <c r="F86" s="710"/>
      <c r="G86" s="356"/>
      <c r="H86" s="744"/>
      <c r="I86" s="131"/>
      <c r="J86" s="131"/>
      <c r="K86" s="608"/>
      <c r="L86" s="608"/>
      <c r="M86" s="121"/>
      <c r="N86" s="122" t="s">
        <v>82</v>
      </c>
      <c r="O86" s="123"/>
      <c r="P86" s="124"/>
      <c r="Q86" s="124"/>
      <c r="R86" s="83"/>
      <c r="S86" s="82">
        <f t="shared" ref="S86" si="244">E86*G86</f>
        <v>0</v>
      </c>
      <c r="T86" s="540"/>
      <c r="U86" s="83"/>
      <c r="V86" s="100" t="b">
        <f>IF(G86&gt;0,IF(AD86="me","",G86))</f>
        <v>0</v>
      </c>
      <c r="W86" s="100"/>
      <c r="X86" s="100"/>
      <c r="Y86" s="201"/>
      <c r="Z86" s="829" t="str">
        <f t="shared" si="129"/>
        <v/>
      </c>
      <c r="AA86" s="829"/>
      <c r="AB86" s="830" t="str">
        <f>IF(G86=0,"",IF(AD86="free","re-planting",IF(AD86="me","not NVP, by",IF($AD$8="yes",(VLOOKUP(A86,'Discount Lookup'!J:K,2)*G86*(1-$AC$1786)*(1+$AC$1788)),IF(AD86="NVP",(VLOOKUP(A86,'Discount Lookup'!J:K,2)*G86*(1-$AC$1786)*(1+$AC$1788)),IF(AD86="free","re-planting",IF(G86=0,"",IF($AD$8="",IF(AD86="me","not NVP, by",IF(AD86="",IF(G86&gt;0,(VLOOKUP(A86,'Discount Lookup'!J:K,2)*G86*(1-$AC$1786)*(1+$AC$1788)),""),"")),"not NVP, by"))))))))</f>
        <v/>
      </c>
      <c r="AC86" s="830"/>
      <c r="AD86" s="375" t="str">
        <f t="shared" si="138"/>
        <v/>
      </c>
      <c r="AE86" s="833" t="str">
        <f t="shared" si="182"/>
        <v/>
      </c>
      <c r="AF86" s="833"/>
      <c r="AG86" s="833"/>
      <c r="AH86" s="91">
        <f>IF(AD86="free",0,IF(AD86="me",0,IF(G86&gt;0,(VLOOKUP(A86,'Discount Lookup'!J:K,2)*G86),0)))</f>
        <v>0</v>
      </c>
      <c r="AI86" s="92" t="str">
        <f t="shared" si="236"/>
        <v/>
      </c>
      <c r="AJ86" s="828" t="str">
        <f t="shared" si="130"/>
        <v/>
      </c>
      <c r="AK86" s="828"/>
      <c r="AL86" s="313" t="str">
        <f t="shared" si="196"/>
        <v/>
      </c>
      <c r="AM86" s="312"/>
      <c r="AN86" s="101"/>
      <c r="AO86" s="101"/>
      <c r="AP86" s="101"/>
      <c r="AQ86" s="101"/>
      <c r="AR86" s="101"/>
      <c r="AS86" s="101"/>
      <c r="AT86" s="101"/>
    </row>
    <row r="87" spans="1:46" ht="12.95" customHeight="1">
      <c r="A87" s="847" t="s">
        <v>1495</v>
      </c>
      <c r="B87" s="848"/>
      <c r="C87" s="848"/>
      <c r="D87" s="848"/>
      <c r="E87" s="848"/>
      <c r="F87" s="848"/>
      <c r="G87" s="848"/>
      <c r="H87" s="770" t="s">
        <v>134</v>
      </c>
      <c r="I87" s="348" t="s">
        <v>44</v>
      </c>
      <c r="J87" s="93"/>
      <c r="K87" s="600" t="s">
        <v>45</v>
      </c>
      <c r="L87" s="604" t="s">
        <v>46</v>
      </c>
      <c r="M87" s="86"/>
      <c r="N87" s="87" t="s">
        <v>139</v>
      </c>
      <c r="O87" s="87"/>
      <c r="P87" s="88"/>
      <c r="Q87" s="88"/>
      <c r="R87" s="835" t="s">
        <v>49</v>
      </c>
      <c r="S87" s="835"/>
      <c r="T87" s="835"/>
      <c r="U87" s="842"/>
      <c r="V87" s="90" t="b">
        <f>IF(G87&gt;0,IF(AD87="me","",G87))</f>
        <v>0</v>
      </c>
      <c r="W87" s="100"/>
      <c r="X87" s="100"/>
      <c r="Y87" s="201"/>
      <c r="Z87" s="829" t="str">
        <f t="shared" si="129"/>
        <v/>
      </c>
      <c r="AA87" s="829"/>
      <c r="AB87" s="830" t="str">
        <f>IF(G87=0,"",IF(AD87="free","re-planting",IF(AD87="me","not NVP, by",IF($AD$8="yes",(VLOOKUP(A87,'Discount Lookup'!J:K,2)*G87*(1-$AC$1786)*(1+$AC$1788)),IF(AD87="NVP",(VLOOKUP(A87,'Discount Lookup'!J:K,2)*G87*(1-$AC$1786)*(1+$AC$1788)),IF(AD87="free","re-planting",IF(G87=0,"",IF($AD$8="",IF(AD87="me","not NVP, by",IF(AD87="",IF(G87&gt;0,(VLOOKUP(A87,'Discount Lookup'!J:K,2)*G87*(1-$AC$1786)*(1+$AC$1788)),""),"")),"not NVP, by"))))))))</f>
        <v/>
      </c>
      <c r="AC87" s="830"/>
      <c r="AD87" s="375" t="str">
        <f t="shared" si="138"/>
        <v/>
      </c>
      <c r="AE87" s="833" t="str">
        <f t="shared" si="182"/>
        <v/>
      </c>
      <c r="AF87" s="833"/>
      <c r="AG87" s="833"/>
      <c r="AH87" s="91">
        <f>IF(AD87="free",0,IF(AD87="me",0,IF(G87&gt;0,(VLOOKUP(A87,'Discount Lookup'!J:K,2)*G87),0)))</f>
        <v>0</v>
      </c>
      <c r="AI87" s="92" t="str">
        <f t="shared" si="236"/>
        <v/>
      </c>
      <c r="AJ87" s="828" t="str">
        <f t="shared" si="130"/>
        <v/>
      </c>
      <c r="AK87" s="828"/>
      <c r="AL87" s="313" t="str">
        <f t="shared" si="196"/>
        <v/>
      </c>
      <c r="AM87" s="312"/>
      <c r="AN87" s="101"/>
      <c r="AO87" s="101"/>
      <c r="AP87" s="101"/>
      <c r="AQ87" s="101"/>
      <c r="AR87" s="101"/>
      <c r="AS87" s="101"/>
      <c r="AT87" s="101"/>
    </row>
    <row r="88" spans="1:46" ht="12.95" customHeight="1">
      <c r="A88" s="419">
        <v>15</v>
      </c>
      <c r="B88" s="87" t="s">
        <v>50</v>
      </c>
      <c r="C88" s="128" t="s">
        <v>1571</v>
      </c>
      <c r="D88" s="129" t="s">
        <v>63</v>
      </c>
      <c r="E88" s="98">
        <v>194.95</v>
      </c>
      <c r="F88" s="705" t="s">
        <v>1306</v>
      </c>
      <c r="G88" s="357">
        <v>0</v>
      </c>
      <c r="H88" s="704" t="str">
        <f t="shared" ref="H88" si="245">IF(G88=0,"",IF(F88="Qty=",IF(G88=1,"plant","plants"),IF(F88&gt;0.0001,"warranty","Error")))</f>
        <v/>
      </c>
      <c r="I88" s="98">
        <f t="shared" ref="I88" si="246">IF(F88="Qty=",(E88*G88),((E88*(1-F88))*G88))</f>
        <v>0</v>
      </c>
      <c r="J88" s="98">
        <f>IF(H88="warranty",0,(I88*($J$1782)))</f>
        <v>0</v>
      </c>
      <c r="K88" s="831">
        <f t="shared" ref="K88:K90" si="247">I88+J88</f>
        <v>0</v>
      </c>
      <c r="L88" s="831"/>
      <c r="M88" s="832" t="str">
        <f>IF($H$1784=0,"",IF(G88=0,"",IF(F88="Qty=",CONCATENATE("$",ROUND(K88*(1-$H$1784),2)," with ",($H$1784*100),"% discount"),CONCATENATE("$",ROUND(K88*(1-$H$1784),2)," with ",(($H$1784*100+F88*100)-($H$1784*100*F88)),IF(F88&gt;0,"% discounts",IF($H$1781&gt;0,"% discounts","% discount"))))))</f>
        <v/>
      </c>
      <c r="N88" s="832"/>
      <c r="O88" s="832"/>
      <c r="P88" s="832"/>
      <c r="Q88" s="832"/>
      <c r="R88" s="832"/>
      <c r="S88" s="303">
        <f t="shared" ref="S88" si="248">E88*G88</f>
        <v>0</v>
      </c>
      <c r="T88" s="541">
        <f>VLOOKUP(A88,'Discount Lookup'!D:E,2,FALSE)*G88</f>
        <v>0</v>
      </c>
      <c r="U88" s="83">
        <f>VLOOKUP(A88,'Discount Lookup'!G:H,2,FALSE)*G88</f>
        <v>0</v>
      </c>
      <c r="V88" s="100">
        <f>E88*($J$1782)*G88</f>
        <v>0</v>
      </c>
      <c r="W88" s="100">
        <f t="shared" ref="W88" si="249">I88</f>
        <v>0</v>
      </c>
      <c r="X88" s="100" t="b">
        <f>IF(G88&gt;0,IF(AD88="me","",G88))</f>
        <v>0</v>
      </c>
      <c r="Y88" s="201"/>
      <c r="Z88" s="829" t="str">
        <f t="shared" si="129"/>
        <v/>
      </c>
      <c r="AA88" s="829"/>
      <c r="AB88" s="830" t="str">
        <f>IF(G88=0,"",IF(AD88="free","re-planting",IF(AD88="me","not NVP, by",IF($AD$8="yes",(VLOOKUP(A88,'Discount Lookup'!J:K,2)*G88*(1-$AC$1786)*(1+$AC$1788)),IF(AD88="NVP",(VLOOKUP(A88,'Discount Lookup'!J:K,2)*G88*(1-$AC$1786)*(1+$AC$1788)),IF(AD88="free","re-planting",IF(G88=0,"",IF($AD$8="",IF(AD88="me","not NVP, by",IF(AD88="",IF(G88&gt;0,(VLOOKUP(A88,'Discount Lookup'!J:K,2)*G88*(1-$AC$1786)*(1+$AC$1788)),""),"")),"not NVP, by"))))))))</f>
        <v/>
      </c>
      <c r="AC88" s="830"/>
      <c r="AD88" s="375" t="str">
        <f t="shared" si="138"/>
        <v/>
      </c>
      <c r="AE88" s="833" t="str">
        <f t="shared" ref="AE88" si="250">IF(G88&gt;0,(CONCATENATE((G88)," quantity, ",(A88)," ",B88)),"")</f>
        <v/>
      </c>
      <c r="AF88" s="833"/>
      <c r="AG88" s="833"/>
      <c r="AH88" s="91">
        <f>IF(AD88="free",0,IF(AD88="me",0,IF(G88&gt;0,(VLOOKUP(A88,'Discount Lookup'!J:K,2)*G88),0)))</f>
        <v>0</v>
      </c>
      <c r="AI88" s="92" t="str">
        <f t="shared" si="236"/>
        <v/>
      </c>
      <c r="AJ88" s="828" t="str">
        <f t="shared" si="130"/>
        <v/>
      </c>
      <c r="AK88" s="828"/>
      <c r="AL88" s="313" t="str">
        <f t="shared" si="196"/>
        <v/>
      </c>
      <c r="AM88" s="312"/>
      <c r="AN88" s="101"/>
      <c r="AO88" s="101"/>
      <c r="AP88" s="101"/>
      <c r="AQ88" s="101"/>
      <c r="AR88" s="101"/>
      <c r="AS88" s="101"/>
      <c r="AT88" s="101"/>
    </row>
    <row r="89" spans="1:46" ht="12.95" customHeight="1">
      <c r="A89" s="419">
        <v>30</v>
      </c>
      <c r="B89" s="87" t="s">
        <v>50</v>
      </c>
      <c r="C89" s="128" t="s">
        <v>1571</v>
      </c>
      <c r="D89" s="129" t="s">
        <v>63</v>
      </c>
      <c r="E89" s="98">
        <v>395.95</v>
      </c>
      <c r="F89" s="705" t="s">
        <v>1306</v>
      </c>
      <c r="G89" s="357">
        <v>0</v>
      </c>
      <c r="H89" s="704" t="str">
        <f t="shared" ref="H89" si="251">IF(G89=0,"",IF(F89="Qty=",IF(G89=1,"plant","plants"),IF(F89&gt;0.0001,"warranty","Error")))</f>
        <v/>
      </c>
      <c r="I89" s="98">
        <f t="shared" ref="I89" si="252">IF(F89="Qty=",(E89*G89),((E89*(1-F89))*G89))</f>
        <v>0</v>
      </c>
      <c r="J89" s="98">
        <f>IF(H89="warranty",0,(I89*($J$1782)))</f>
        <v>0</v>
      </c>
      <c r="K89" s="831">
        <f t="shared" si="247"/>
        <v>0</v>
      </c>
      <c r="L89" s="831"/>
      <c r="M89" s="832" t="str">
        <f>IF($H$1784=0,"",IF(G89=0,"",IF(F89="Qty=",CONCATENATE("$",ROUND(K89*(1-$H$1784),2)," with ",($H$1784*100),"% discount"),CONCATENATE("$",ROUND(K89*(1-$H$1784),2)," with ",(($H$1784*100+F89*100)-($H$1784*100*F89)),IF(F89&gt;0,"% discounts",IF($H$1781&gt;0,"% discounts","% discount"))))))</f>
        <v/>
      </c>
      <c r="N89" s="832"/>
      <c r="O89" s="832"/>
      <c r="P89" s="832"/>
      <c r="Q89" s="832"/>
      <c r="R89" s="832"/>
      <c r="S89" s="303">
        <f t="shared" ref="S89" si="253">E89*G89</f>
        <v>0</v>
      </c>
      <c r="T89" s="541">
        <f>VLOOKUP(A89,'Discount Lookup'!D:E,2,FALSE)*G89</f>
        <v>0</v>
      </c>
      <c r="U89" s="83">
        <f>VLOOKUP(A89,'Discount Lookup'!G:H,2,FALSE)*G89</f>
        <v>0</v>
      </c>
      <c r="V89" s="100">
        <f>E89*($J$1782)*G89</f>
        <v>0</v>
      </c>
      <c r="W89" s="100">
        <f t="shared" ref="W89" si="254">I89</f>
        <v>0</v>
      </c>
      <c r="X89" s="100" t="b">
        <f>IF(G89&gt;0,IF(AD89="me","",G89))</f>
        <v>0</v>
      </c>
      <c r="Y89" s="201"/>
      <c r="Z89" s="829" t="str">
        <f t="shared" ref="Z89" si="255">IF(G89=0,"",IF(AD89="me","",IF($AD$8="me","",IF(AD89="free","warranty",IF($AD$8="yes","NVP planting:","to NVP install:")))))</f>
        <v/>
      </c>
      <c r="AA89" s="829"/>
      <c r="AB89" s="830" t="str">
        <f>IF(G89=0,"",IF(AD89="free","re-planting",IF(AD89="me","not NVP, by",IF($AD$8="yes",(VLOOKUP(A89,'Discount Lookup'!J:K,2)*G89*(1-$AC$1786)*(1+$AC$1788)),IF(AD89="NVP",(VLOOKUP(A89,'Discount Lookup'!J:K,2)*G89*(1-$AC$1786)*(1+$AC$1788)),IF(AD89="free","re-planting",IF(G89=0,"",IF($AD$8="",IF(AD89="me","not NVP, by",IF(AD89="",IF(G89&gt;0,(VLOOKUP(A89,'Discount Lookup'!J:K,2)*G89*(1-$AC$1786)*(1+$AC$1788)),""),"")),"not NVP, by"))))))))</f>
        <v/>
      </c>
      <c r="AC89" s="830"/>
      <c r="AD89" s="375" t="str">
        <f t="shared" ref="AD89" si="256">IF(G89=0,"",IF($AD$8="me","me",IF(H89="warranty","free",IF($AD$8="yes","NVP",""))))</f>
        <v/>
      </c>
      <c r="AE89" s="833" t="str">
        <f t="shared" ref="AE89" si="257">IF(G89&gt;0,(CONCATENATE((G89)," quantity, ",(A89)," ",B89)),"")</f>
        <v/>
      </c>
      <c r="AF89" s="833"/>
      <c r="AG89" s="833"/>
      <c r="AH89" s="91">
        <f>IF(AD89="free",0,IF(AD89="me",0,IF(G89&gt;0,(VLOOKUP(A89,'Discount Lookup'!J:K,2)*G89),0)))</f>
        <v>0</v>
      </c>
      <c r="AI89" s="92" t="str">
        <f t="shared" si="236"/>
        <v/>
      </c>
      <c r="AJ89" s="828" t="str">
        <f t="shared" ref="AJ89" si="258">IF(G89=0,"",IF(AD89="me","  delivery-only",IF($AD$8="me","  delivery-only",CONCATENATE(" $",ROUND(AI89/G89,2)," each"))))</f>
        <v/>
      </c>
      <c r="AK89" s="828"/>
      <c r="AL89" s="313" t="str">
        <f t="shared" si="196"/>
        <v/>
      </c>
      <c r="AM89" s="312"/>
      <c r="AN89" s="101"/>
      <c r="AO89" s="101"/>
      <c r="AP89" s="101"/>
      <c r="AQ89" s="101"/>
      <c r="AR89" s="101"/>
      <c r="AS89" s="101"/>
      <c r="AT89" s="101"/>
    </row>
    <row r="90" spans="1:46" ht="12.95" customHeight="1">
      <c r="A90" s="419">
        <v>45</v>
      </c>
      <c r="B90" s="87" t="s">
        <v>50</v>
      </c>
      <c r="C90" s="128" t="s">
        <v>1518</v>
      </c>
      <c r="D90" s="129" t="s">
        <v>90</v>
      </c>
      <c r="E90" s="98">
        <v>677.95</v>
      </c>
      <c r="F90" s="705" t="s">
        <v>1306</v>
      </c>
      <c r="G90" s="357">
        <v>0</v>
      </c>
      <c r="H90" s="704" t="str">
        <f t="shared" ref="H90" si="259">IF(G90=0,"",IF(F90="Qty=",IF(G90=1,"plant","plants"),IF(F90&gt;0.0001,"warranty","Error")))</f>
        <v/>
      </c>
      <c r="I90" s="98">
        <f t="shared" ref="I90" si="260">IF(F90="Qty=",(E90*G90),((E90*(1-F90))*G90))</f>
        <v>0</v>
      </c>
      <c r="J90" s="98">
        <f>IF(H90="warranty",0,(I90*($J$1782)))</f>
        <v>0</v>
      </c>
      <c r="K90" s="831">
        <f t="shared" si="247"/>
        <v>0</v>
      </c>
      <c r="L90" s="831"/>
      <c r="M90" s="832" t="str">
        <f>IF($H$1784=0,"",IF(G90=0,"",IF(F90="Qty=",CONCATENATE("$",ROUND(K90*(1-$H$1784),2)," with ",($H$1784*100),"% discount"),CONCATENATE("$",ROUND(K90*(1-$H$1784),2)," with ",(($H$1784*100+F90*100)-($H$1784*100*F90)),IF(F90&gt;0,"% discounts",IF($H$1781&gt;0,"% discounts","% discount"))))))</f>
        <v/>
      </c>
      <c r="N90" s="832"/>
      <c r="O90" s="832"/>
      <c r="P90" s="832"/>
      <c r="Q90" s="832"/>
      <c r="R90" s="832"/>
      <c r="S90" s="303">
        <f t="shared" ref="S90" si="261">E90*G90</f>
        <v>0</v>
      </c>
      <c r="T90" s="541">
        <f>VLOOKUP(A90,'Discount Lookup'!D:E,2,FALSE)*G90</f>
        <v>0</v>
      </c>
      <c r="U90" s="83">
        <f>VLOOKUP(A90,'Discount Lookup'!G:H,2,FALSE)*G90</f>
        <v>0</v>
      </c>
      <c r="V90" s="100">
        <f>E90*($J$1782)*G90</f>
        <v>0</v>
      </c>
      <c r="W90" s="100">
        <f t="shared" ref="W90" si="262">I90</f>
        <v>0</v>
      </c>
      <c r="X90" s="100" t="b">
        <f>IF(G90&gt;0,IF(AD90="me","",G90))</f>
        <v>0</v>
      </c>
      <c r="Y90" s="201"/>
      <c r="Z90" s="829" t="str">
        <f t="shared" si="129"/>
        <v/>
      </c>
      <c r="AA90" s="829"/>
      <c r="AB90" s="830" t="str">
        <f>IF(G90=0,"",IF(AD90="free","re-planting",IF(AD90="me","not NVP, by",IF($AD$8="yes",(VLOOKUP(A90,'Discount Lookup'!J:K,2)*G90*(1-$AC$1786)*(1+$AC$1788)),IF(AD90="NVP",(VLOOKUP(A90,'Discount Lookup'!J:K,2)*G90*(1-$AC$1786)*(1+$AC$1788)),IF(AD90="free","re-planting",IF(G90=0,"",IF($AD$8="",IF(AD90="me","not NVP, by",IF(AD90="",IF(G90&gt;0,(VLOOKUP(A90,'Discount Lookup'!J:K,2)*G90*(1-$AC$1786)*(1+$AC$1788)),""),"")),"not NVP, by"))))))))</f>
        <v/>
      </c>
      <c r="AC90" s="830"/>
      <c r="AD90" s="375" t="str">
        <f t="shared" si="138"/>
        <v/>
      </c>
      <c r="AE90" s="833" t="str">
        <f t="shared" si="182"/>
        <v/>
      </c>
      <c r="AF90" s="833"/>
      <c r="AG90" s="833"/>
      <c r="AH90" s="91">
        <f>IF(AD90="free",0,IF(AD90="me",0,IF(G90&gt;0,(VLOOKUP(A90,'Discount Lookup'!J:K,2)*G90),0)))</f>
        <v>0</v>
      </c>
      <c r="AI90" s="92" t="str">
        <f t="shared" si="236"/>
        <v/>
      </c>
      <c r="AJ90" s="828" t="str">
        <f t="shared" si="130"/>
        <v/>
      </c>
      <c r="AK90" s="828"/>
      <c r="AL90" s="313" t="str">
        <f t="shared" si="196"/>
        <v/>
      </c>
      <c r="AM90" s="312"/>
      <c r="AN90" s="101"/>
      <c r="AO90" s="101"/>
      <c r="AP90" s="101"/>
      <c r="AQ90" s="101"/>
      <c r="AR90" s="101"/>
      <c r="AS90" s="101"/>
      <c r="AT90" s="101"/>
    </row>
    <row r="91" spans="1:46" ht="12.95" customHeight="1">
      <c r="A91" s="468"/>
      <c r="B91" s="103" t="s">
        <v>140</v>
      </c>
      <c r="C91" s="118"/>
      <c r="D91" s="118"/>
      <c r="E91" s="119"/>
      <c r="F91" s="711"/>
      <c r="G91" s="358"/>
      <c r="H91" s="745"/>
      <c r="I91" s="119"/>
      <c r="J91" s="119"/>
      <c r="K91" s="609"/>
      <c r="L91" s="609"/>
      <c r="N91" s="122" t="s">
        <v>82</v>
      </c>
      <c r="R91" s="48"/>
      <c r="S91" s="48"/>
      <c r="T91" s="546"/>
      <c r="V91" s="100" t="b">
        <f>IF(G91&gt;0,IF(AD91="me","",G91))</f>
        <v>0</v>
      </c>
      <c r="W91" s="100"/>
      <c r="X91" s="100"/>
      <c r="Y91" s="201"/>
      <c r="Z91" s="829" t="str">
        <f t="shared" si="129"/>
        <v/>
      </c>
      <c r="AA91" s="829"/>
      <c r="AB91" s="830" t="str">
        <f>IF(G91=0,"",IF(AD91="free","re-planting",IF(AD91="me","not NVP, by",IF($AD$8="yes",(VLOOKUP(A91,'Discount Lookup'!J:K,2)*G91*(1-$AC$1786)*(1+$AC$1788)),IF(AD91="NVP",(VLOOKUP(A91,'Discount Lookup'!J:K,2)*G91*(1-$AC$1786)*(1+$AC$1788)),IF(AD91="free","re-planting",IF(G91=0,"",IF($AD$8="",IF(AD91="me","not NVP, by",IF(AD91="",IF(G91&gt;0,(VLOOKUP(A91,'Discount Lookup'!J:K,2)*G91*(1-$AC$1786)*(1+$AC$1788)),""),"")),"not NVP, by"))))))))</f>
        <v/>
      </c>
      <c r="AC91" s="830"/>
      <c r="AD91" s="375" t="str">
        <f t="shared" si="138"/>
        <v/>
      </c>
      <c r="AE91" s="833" t="str">
        <f t="shared" si="182"/>
        <v/>
      </c>
      <c r="AF91" s="833"/>
      <c r="AG91" s="833"/>
      <c r="AH91" s="91">
        <f>IF(AD91="free",0,IF(AD91="me",0,IF(G91&gt;0,(VLOOKUP(A91,'Discount Lookup'!J:K,2)*G91),0)))</f>
        <v>0</v>
      </c>
      <c r="AI91" s="92" t="str">
        <f t="shared" si="236"/>
        <v/>
      </c>
      <c r="AJ91" s="828" t="str">
        <f t="shared" si="130"/>
        <v/>
      </c>
      <c r="AK91" s="828"/>
      <c r="AL91" s="313" t="str">
        <f t="shared" si="196"/>
        <v/>
      </c>
      <c r="AM91" s="312"/>
      <c r="AN91" s="101"/>
      <c r="AO91" s="101"/>
      <c r="AP91" s="101"/>
      <c r="AQ91" s="101"/>
      <c r="AR91" s="101"/>
      <c r="AS91" s="101"/>
      <c r="AT91" s="101"/>
    </row>
    <row r="92" spans="1:46" ht="12.95" customHeight="1">
      <c r="A92" s="852" t="s">
        <v>141</v>
      </c>
      <c r="B92" s="844"/>
      <c r="C92" s="844"/>
      <c r="D92" s="844"/>
      <c r="E92" s="844"/>
      <c r="F92" s="844"/>
      <c r="G92" s="844"/>
      <c r="H92" s="770" t="s">
        <v>142</v>
      </c>
      <c r="I92" s="88" t="s">
        <v>143</v>
      </c>
      <c r="J92" s="126"/>
      <c r="K92" s="600" t="s">
        <v>45</v>
      </c>
      <c r="L92" s="601" t="s">
        <v>46</v>
      </c>
      <c r="M92" s="115"/>
      <c r="N92" s="87" t="s">
        <v>128</v>
      </c>
      <c r="O92" s="133"/>
      <c r="P92" s="133"/>
      <c r="Q92" s="133"/>
      <c r="R92" s="88"/>
      <c r="S92" s="125"/>
      <c r="T92" s="543"/>
      <c r="U92" s="112"/>
      <c r="V92" s="100" t="b">
        <f>IF(G92&gt;0,IF(AD92="me","",G92))</f>
        <v>0</v>
      </c>
      <c r="W92" s="100"/>
      <c r="X92" s="100"/>
      <c r="Y92" s="201"/>
      <c r="Z92" s="829" t="str">
        <f t="shared" si="129"/>
        <v/>
      </c>
      <c r="AA92" s="829"/>
      <c r="AB92" s="830" t="str">
        <f>IF(G92=0,"",IF(AD92="free","re-planting",IF(AD92="me","not NVP, by",IF($AD$8="yes",(VLOOKUP(A92,'Discount Lookup'!J:K,2)*G92*(1-$AC$1786)*(1+$AC$1788)),IF(AD92="NVP",(VLOOKUP(A92,'Discount Lookup'!J:K,2)*G92*(1-$AC$1786)*(1+$AC$1788)),IF(AD92="free","re-planting",IF(G92=0,"",IF($AD$8="",IF(AD92="me","not NVP, by",IF(AD92="",IF(G92&gt;0,(VLOOKUP(A92,'Discount Lookup'!J:K,2)*G92*(1-$AC$1786)*(1+$AC$1788)),""),"")),"not NVP, by"))))))))</f>
        <v/>
      </c>
      <c r="AC92" s="830"/>
      <c r="AD92" s="375" t="str">
        <f t="shared" si="138"/>
        <v/>
      </c>
      <c r="AE92" s="833" t="str">
        <f t="shared" si="182"/>
        <v/>
      </c>
      <c r="AF92" s="833"/>
      <c r="AG92" s="833"/>
      <c r="AH92" s="91">
        <f>IF(AD92="free",0,IF(AD92="me",0,IF(G92&gt;0,(VLOOKUP(A92,'Discount Lookup'!J:K,2)*G92),0)))</f>
        <v>0</v>
      </c>
      <c r="AI92" s="92" t="str">
        <f t="shared" si="236"/>
        <v/>
      </c>
      <c r="AJ92" s="828" t="str">
        <f t="shared" si="130"/>
        <v/>
      </c>
      <c r="AK92" s="828"/>
      <c r="AL92" s="313" t="str">
        <f t="shared" si="196"/>
        <v/>
      </c>
      <c r="AM92" s="312"/>
      <c r="AN92" s="101"/>
      <c r="AO92" s="101"/>
      <c r="AP92" s="101"/>
      <c r="AQ92" s="101"/>
      <c r="AR92" s="101"/>
      <c r="AS92" s="101"/>
      <c r="AT92" s="101"/>
    </row>
    <row r="93" spans="1:46" ht="12.95" customHeight="1">
      <c r="A93" s="419">
        <v>3</v>
      </c>
      <c r="B93" s="87" t="s">
        <v>50</v>
      </c>
      <c r="C93" s="397" t="s">
        <v>144</v>
      </c>
      <c r="D93" s="129" t="s">
        <v>52</v>
      </c>
      <c r="E93" s="98">
        <v>42.95</v>
      </c>
      <c r="F93" s="705" t="s">
        <v>1306</v>
      </c>
      <c r="G93" s="357">
        <v>0</v>
      </c>
      <c r="H93" s="704" t="str">
        <f t="shared" ref="H93:H98" si="263">IF(G93=0,"",IF(F93="Qty=",IF(G93=1,"plant","plants"),IF(F93&gt;0.0001,"warranty","Error")))</f>
        <v/>
      </c>
      <c r="I93" s="98">
        <f t="shared" ref="I93:I98" si="264">IF(F93="Qty=",(E93*G93),((E93*(1-F93))*G93))</f>
        <v>0</v>
      </c>
      <c r="J93" s="98">
        <f t="shared" ref="J93:J99" si="265">IF(H93="warranty",0,(I93*($J$1782)))</f>
        <v>0</v>
      </c>
      <c r="K93" s="831">
        <f t="shared" ref="K93:K99" si="266">I93+J93</f>
        <v>0</v>
      </c>
      <c r="L93" s="831"/>
      <c r="M93" s="832" t="str">
        <f t="shared" ref="M93:M99" si="267">IF($H$1784=0,"",IF(G93=0,"",IF(F93="Qty=",CONCATENATE("$",ROUND(K93*(1-$H$1784),2)," with ",($H$1784*100),"% discount"),CONCATENATE("$",ROUND(K93*(1-$H$1784),2)," with ",(($H$1784*100+F93*100)-($H$1784*100*F93)),IF(F93&gt;0,"% discounts",IF($H$1781&gt;0,"% discounts","% discount"))))))</f>
        <v/>
      </c>
      <c r="N93" s="832"/>
      <c r="O93" s="832"/>
      <c r="P93" s="832"/>
      <c r="Q93" s="832"/>
      <c r="R93" s="832"/>
      <c r="S93" s="303">
        <f t="shared" ref="S93:S97" si="268">E93*G93</f>
        <v>0</v>
      </c>
      <c r="T93" s="541">
        <f>VLOOKUP(A93,'Discount Lookup'!D:E,2,FALSE)*G93</f>
        <v>0</v>
      </c>
      <c r="U93" s="83">
        <f>VLOOKUP(A93,'Discount Lookup'!G:H,2,FALSE)*G93</f>
        <v>0</v>
      </c>
      <c r="V93" s="100">
        <f t="shared" ref="V93:V99" si="269">E93*($J$1782)*G93</f>
        <v>0</v>
      </c>
      <c r="W93" s="100">
        <f t="shared" ref="W93:W97" si="270">I93</f>
        <v>0</v>
      </c>
      <c r="X93" s="100" t="b">
        <f t="shared" ref="X93:X96" si="271">IF(G93&gt;0,IF(AD93="me","",G93))</f>
        <v>0</v>
      </c>
      <c r="Y93" s="201"/>
      <c r="Z93" s="829" t="str">
        <f t="shared" si="129"/>
        <v/>
      </c>
      <c r="AA93" s="829"/>
      <c r="AB93" s="830" t="str">
        <f>IF(G93=0,"",IF(AD93="free","re-planting",IF(AD93="me","not NVP, by",IF($AD$8="yes",(VLOOKUP(A93,'Discount Lookup'!J:K,2)*G93*(1-$AC$1786)*(1+$AC$1788)),IF(AD93="NVP",(VLOOKUP(A93,'Discount Lookup'!J:K,2)*G93*(1-$AC$1786)*(1+$AC$1788)),IF(AD93="free","re-planting",IF(G93=0,"",IF($AD$8="",IF(AD93="me","not NVP, by",IF(AD93="",IF(G93&gt;0,(VLOOKUP(A93,'Discount Lookup'!J:K,2)*G93*(1-$AC$1786)*(1+$AC$1788)),""),"")),"not NVP, by"))))))))</f>
        <v/>
      </c>
      <c r="AC93" s="830"/>
      <c r="AD93" s="375" t="str">
        <f t="shared" si="138"/>
        <v/>
      </c>
      <c r="AE93" s="833" t="str">
        <f t="shared" ref="AE93:AE97" si="272">IF(G93&gt;0,(CONCATENATE((G93)," quantity, ",(A93)," ",B93)),"")</f>
        <v/>
      </c>
      <c r="AF93" s="833"/>
      <c r="AG93" s="833"/>
      <c r="AH93" s="91">
        <f>IF(AD93="free",0,IF(AD93="me",0,IF(G93&gt;0,(VLOOKUP(A93,'Discount Lookup'!J:K,2)*G93),0)))</f>
        <v>0</v>
      </c>
      <c r="AI93" s="92" t="str">
        <f t="shared" si="236"/>
        <v/>
      </c>
      <c r="AJ93" s="828" t="str">
        <f t="shared" si="130"/>
        <v/>
      </c>
      <c r="AK93" s="828"/>
      <c r="AL93" s="313" t="str">
        <f t="shared" si="196"/>
        <v/>
      </c>
      <c r="AM93" s="312"/>
      <c r="AN93" s="101"/>
      <c r="AO93" s="101"/>
      <c r="AP93" s="101"/>
      <c r="AQ93" s="101"/>
      <c r="AR93" s="101"/>
      <c r="AS93" s="101"/>
      <c r="AT93" s="101"/>
    </row>
    <row r="94" spans="1:46" ht="12.95" customHeight="1">
      <c r="A94" s="419">
        <v>7</v>
      </c>
      <c r="B94" s="87" t="s">
        <v>50</v>
      </c>
      <c r="C94" s="128" t="s">
        <v>61</v>
      </c>
      <c r="D94" s="129" t="s">
        <v>62</v>
      </c>
      <c r="E94" s="98">
        <v>83.95</v>
      </c>
      <c r="F94" s="705" t="s">
        <v>1306</v>
      </c>
      <c r="G94" s="357">
        <v>0</v>
      </c>
      <c r="H94" s="704" t="str">
        <f t="shared" ref="H94" si="273">IF(G94=0,"",IF(F94="Qty=",IF(G94=1,"plant","plants"),IF(F94&gt;0.0001,"warranty","Error")))</f>
        <v/>
      </c>
      <c r="I94" s="98">
        <f t="shared" ref="I94" si="274">IF(F94="Qty=",(E94*G94),((E94*(1-F94))*G94))</f>
        <v>0</v>
      </c>
      <c r="J94" s="98">
        <f t="shared" si="265"/>
        <v>0</v>
      </c>
      <c r="K94" s="831">
        <f t="shared" ref="K94" si="275">I94+J94</f>
        <v>0</v>
      </c>
      <c r="L94" s="831"/>
      <c r="M94" s="832" t="str">
        <f t="shared" si="267"/>
        <v/>
      </c>
      <c r="N94" s="832"/>
      <c r="O94" s="832"/>
      <c r="P94" s="832"/>
      <c r="Q94" s="832"/>
      <c r="R94" s="832"/>
      <c r="S94" s="303">
        <f>E94*G94</f>
        <v>0</v>
      </c>
      <c r="T94" s="541">
        <f>VLOOKUP(A94,'Discount Lookup'!D:E,2,FALSE)*G94</f>
        <v>0</v>
      </c>
      <c r="U94" s="83">
        <f>VLOOKUP(A94,'Discount Lookup'!G:H,2,FALSE)*G94</f>
        <v>0</v>
      </c>
      <c r="V94" s="100">
        <f t="shared" si="269"/>
        <v>0</v>
      </c>
      <c r="W94" s="100">
        <f>I94</f>
        <v>0</v>
      </c>
      <c r="X94" s="100" t="b">
        <f t="shared" ref="X94" si="276">IF(G94&gt;0,IF(AD94="me","",G94))</f>
        <v>0</v>
      </c>
      <c r="Y94" s="201"/>
      <c r="Z94" s="829" t="str">
        <f t="shared" ref="Z94" si="277">IF(G94=0,"",IF(AD94="me","",IF($AD$8="me","",IF(AD94="free","warranty",IF($AD$8="yes","NVP planting:","to NVP install:")))))</f>
        <v/>
      </c>
      <c r="AA94" s="829"/>
      <c r="AB94" s="830" t="str">
        <f>IF(G94=0,"",IF(AD94="free","re-planting",IF(AD94="me","not NVP, by",IF($AD$8="yes",(VLOOKUP(A94,'Discount Lookup'!J:K,2)*G94*(1-$AC$1786)*(1+$AC$1788)),IF(AD94="NVP",(VLOOKUP(A94,'Discount Lookup'!J:K,2)*G94*(1-$AC$1786)*(1+$AC$1788)),IF(AD94="free","re-planting",IF(G94=0,"",IF($AD$8="",IF(AD94="me","not NVP, by",IF(AD94="",IF(G94&gt;0,(VLOOKUP(A94,'Discount Lookup'!J:K,2)*G94*(1-$AC$1786)*(1+$AC$1788)),""),"")),"not NVP, by"))))))))</f>
        <v/>
      </c>
      <c r="AC94" s="830"/>
      <c r="AD94" s="375" t="str">
        <f t="shared" ref="AD94" si="278">IF(G94=0,"",IF($AD$8="me","me",IF(H94="warranty","free",IF($AD$8="yes","NVP",""))))</f>
        <v/>
      </c>
      <c r="AE94" s="833" t="str">
        <f t="shared" ref="AE94" si="279">IF(G94&gt;0,(CONCATENATE((G94)," quantity, ",(A94)," ",B94)),"")</f>
        <v/>
      </c>
      <c r="AF94" s="833"/>
      <c r="AG94" s="833"/>
      <c r="AH94" s="91">
        <f>IF(AD94="free",0,IF(AD94="me",0,IF(G94&gt;0,(VLOOKUP(A94,'Discount Lookup'!J:K,2)*G94),0)))</f>
        <v>0</v>
      </c>
      <c r="AI94" s="92" t="str">
        <f t="shared" si="236"/>
        <v/>
      </c>
      <c r="AJ94" s="828" t="str">
        <f t="shared" ref="AJ94" si="280">IF(G94=0,"",IF(AD94="me","  delivery-only",IF($AD$8="me","  delivery-only",CONCATENATE(" $",ROUND(AI94/G94,2)," each"))))</f>
        <v/>
      </c>
      <c r="AK94" s="828"/>
      <c r="AL94" s="313" t="str">
        <f t="shared" si="196"/>
        <v/>
      </c>
      <c r="AM94" s="312"/>
      <c r="AN94" s="101"/>
      <c r="AO94" s="101"/>
      <c r="AP94" s="101"/>
      <c r="AQ94" s="101"/>
      <c r="AR94" s="101"/>
      <c r="AS94" s="101"/>
      <c r="AT94" s="101"/>
    </row>
    <row r="95" spans="1:46" ht="12.95" customHeight="1">
      <c r="A95" s="419">
        <v>7</v>
      </c>
      <c r="B95" s="87" t="s">
        <v>50</v>
      </c>
      <c r="C95" s="128" t="s">
        <v>170</v>
      </c>
      <c r="D95" s="129" t="s">
        <v>52</v>
      </c>
      <c r="E95" s="98">
        <v>107.95</v>
      </c>
      <c r="F95" s="705" t="s">
        <v>1306</v>
      </c>
      <c r="G95" s="357">
        <v>0</v>
      </c>
      <c r="H95" s="704" t="str">
        <f t="shared" si="263"/>
        <v/>
      </c>
      <c r="I95" s="98">
        <f t="shared" si="264"/>
        <v>0</v>
      </c>
      <c r="J95" s="98">
        <f t="shared" si="265"/>
        <v>0</v>
      </c>
      <c r="K95" s="831">
        <f t="shared" si="266"/>
        <v>0</v>
      </c>
      <c r="L95" s="831"/>
      <c r="M95" s="832" t="str">
        <f t="shared" si="267"/>
        <v/>
      </c>
      <c r="N95" s="832"/>
      <c r="O95" s="832"/>
      <c r="P95" s="832"/>
      <c r="Q95" s="832"/>
      <c r="R95" s="832"/>
      <c r="S95" s="303">
        <f>E95*G95</f>
        <v>0</v>
      </c>
      <c r="T95" s="541">
        <f>VLOOKUP(A95,'Discount Lookup'!D:E,2,FALSE)*G95</f>
        <v>0</v>
      </c>
      <c r="U95" s="83">
        <f>VLOOKUP(A95,'Discount Lookup'!G:H,2,FALSE)*G95</f>
        <v>0</v>
      </c>
      <c r="V95" s="100">
        <f t="shared" si="269"/>
        <v>0</v>
      </c>
      <c r="W95" s="100">
        <f>I95</f>
        <v>0</v>
      </c>
      <c r="X95" s="100" t="b">
        <f t="shared" si="271"/>
        <v>0</v>
      </c>
      <c r="Y95" s="201"/>
      <c r="Z95" s="829" t="str">
        <f t="shared" si="129"/>
        <v/>
      </c>
      <c r="AA95" s="829"/>
      <c r="AB95" s="830" t="str">
        <f>IF(G95=0,"",IF(AD95="free","re-planting",IF(AD95="me","not NVP, by",IF($AD$8="yes",(VLOOKUP(A95,'Discount Lookup'!J:K,2)*G95*(1-$AC$1786)*(1+$AC$1788)),IF(AD95="NVP",(VLOOKUP(A95,'Discount Lookup'!J:K,2)*G95*(1-$AC$1786)*(1+$AC$1788)),IF(AD95="free","re-planting",IF(G95=0,"",IF($AD$8="",IF(AD95="me","not NVP, by",IF(AD95="",IF(G95&gt;0,(VLOOKUP(A95,'Discount Lookup'!J:K,2)*G95*(1-$AC$1786)*(1+$AC$1788)),""),"")),"not NVP, by"))))))))</f>
        <v/>
      </c>
      <c r="AC95" s="830"/>
      <c r="AD95" s="375" t="str">
        <f t="shared" ref="AD95" si="281">IF(G95=0,"",IF($AD$8="me","me",IF(H95="warranty","free",IF($AD$8="yes","NVP",""))))</f>
        <v/>
      </c>
      <c r="AE95" s="833" t="str">
        <f t="shared" si="272"/>
        <v/>
      </c>
      <c r="AF95" s="833"/>
      <c r="AG95" s="833"/>
      <c r="AH95" s="91">
        <f>IF(AD95="free",0,IF(AD95="me",0,IF(G95&gt;0,(VLOOKUP(A95,'Discount Lookup'!J:K,2)*G95),0)))</f>
        <v>0</v>
      </c>
      <c r="AI95" s="92" t="str">
        <f t="shared" si="236"/>
        <v/>
      </c>
      <c r="AJ95" s="828" t="str">
        <f t="shared" si="130"/>
        <v/>
      </c>
      <c r="AK95" s="828"/>
      <c r="AL95" s="313" t="str">
        <f t="shared" si="196"/>
        <v/>
      </c>
      <c r="AM95" s="312"/>
      <c r="AN95" s="101"/>
      <c r="AO95" s="101"/>
      <c r="AP95" s="101"/>
      <c r="AQ95" s="101"/>
      <c r="AR95" s="101"/>
      <c r="AS95" s="101"/>
      <c r="AT95" s="101"/>
    </row>
    <row r="96" spans="1:46" ht="12.95" customHeight="1">
      <c r="A96" s="419">
        <v>10</v>
      </c>
      <c r="B96" s="87" t="s">
        <v>50</v>
      </c>
      <c r="C96" s="397" t="s">
        <v>70</v>
      </c>
      <c r="D96" s="129" t="s">
        <v>90</v>
      </c>
      <c r="E96" s="98">
        <v>195.95</v>
      </c>
      <c r="F96" s="705" t="s">
        <v>1306</v>
      </c>
      <c r="G96" s="357">
        <v>0</v>
      </c>
      <c r="H96" s="704" t="str">
        <f t="shared" si="263"/>
        <v/>
      </c>
      <c r="I96" s="98">
        <f t="shared" si="264"/>
        <v>0</v>
      </c>
      <c r="J96" s="98">
        <f t="shared" si="265"/>
        <v>0</v>
      </c>
      <c r="K96" s="831">
        <f t="shared" si="266"/>
        <v>0</v>
      </c>
      <c r="L96" s="831"/>
      <c r="M96" s="832" t="str">
        <f t="shared" si="267"/>
        <v/>
      </c>
      <c r="N96" s="832"/>
      <c r="O96" s="832"/>
      <c r="P96" s="832"/>
      <c r="Q96" s="832"/>
      <c r="R96" s="832"/>
      <c r="S96" s="303">
        <f t="shared" si="268"/>
        <v>0</v>
      </c>
      <c r="T96" s="541">
        <f>VLOOKUP(A96,'Discount Lookup'!D:E,2,FALSE)*G96</f>
        <v>0</v>
      </c>
      <c r="U96" s="83">
        <f>VLOOKUP(A96,'Discount Lookup'!G:H,2,FALSE)*G96</f>
        <v>0</v>
      </c>
      <c r="V96" s="100">
        <f t="shared" si="269"/>
        <v>0</v>
      </c>
      <c r="W96" s="100">
        <f t="shared" si="270"/>
        <v>0</v>
      </c>
      <c r="X96" s="100" t="b">
        <f t="shared" si="271"/>
        <v>0</v>
      </c>
      <c r="Y96" s="201"/>
      <c r="Z96" s="829" t="str">
        <f t="shared" si="129"/>
        <v/>
      </c>
      <c r="AA96" s="829"/>
      <c r="AB96" s="830" t="str">
        <f>IF(G96=0,"",IF(AD96="free","re-planting",IF(AD96="me","not NVP, by",IF($AD$8="yes",(VLOOKUP(A96,'Discount Lookup'!J:K,2)*G96*(1-$AC$1786)*(1+$AC$1788)),IF(AD96="NVP",(VLOOKUP(A96,'Discount Lookup'!J:K,2)*G96*(1-$AC$1786)*(1+$AC$1788)),IF(AD96="free","re-planting",IF(G96=0,"",IF($AD$8="",IF(AD96="me","not NVP, by",IF(AD96="",IF(G96&gt;0,(VLOOKUP(A96,'Discount Lookup'!J:K,2)*G96*(1-$AC$1786)*(1+$AC$1788)),""),"")),"not NVP, by"))))))))</f>
        <v/>
      </c>
      <c r="AC96" s="830"/>
      <c r="AD96" s="375" t="str">
        <f t="shared" si="138"/>
        <v/>
      </c>
      <c r="AE96" s="833" t="str">
        <f t="shared" si="272"/>
        <v/>
      </c>
      <c r="AF96" s="833"/>
      <c r="AG96" s="833"/>
      <c r="AH96" s="91">
        <f>IF(AD96="free",0,IF(AD96="me",0,IF(G96&gt;0,(VLOOKUP(A96,'Discount Lookup'!J:K,2)*G96),0)))</f>
        <v>0</v>
      </c>
      <c r="AI96" s="92" t="str">
        <f t="shared" si="236"/>
        <v/>
      </c>
      <c r="AJ96" s="828" t="str">
        <f t="shared" si="130"/>
        <v/>
      </c>
      <c r="AK96" s="828"/>
      <c r="AL96" s="313" t="str">
        <f t="shared" si="196"/>
        <v/>
      </c>
      <c r="AM96" s="312"/>
      <c r="AN96" s="101"/>
      <c r="AO96" s="101"/>
      <c r="AP96" s="101"/>
      <c r="AQ96" s="101"/>
      <c r="AR96" s="101"/>
      <c r="AS96" s="101"/>
      <c r="AT96" s="101"/>
    </row>
    <row r="97" spans="1:46" ht="12.95" customHeight="1">
      <c r="A97" s="419">
        <v>15</v>
      </c>
      <c r="B97" s="87" t="s">
        <v>50</v>
      </c>
      <c r="C97" s="397" t="s">
        <v>88</v>
      </c>
      <c r="D97" s="129" t="s">
        <v>87</v>
      </c>
      <c r="E97" s="98">
        <v>269.95</v>
      </c>
      <c r="F97" s="705" t="s">
        <v>1306</v>
      </c>
      <c r="G97" s="357">
        <v>0</v>
      </c>
      <c r="H97" s="704" t="str">
        <f t="shared" ref="H97" si="282">IF(G97=0,"",IF(F97="Qty=",IF(G97=1,"plant","plants"),IF(F97&gt;0.0001,"warranty","Error")))</f>
        <v/>
      </c>
      <c r="I97" s="98">
        <f t="shared" ref="I97" si="283">IF(F97="Qty=",(E97*G97),((E97*(1-F97))*G97))</f>
        <v>0</v>
      </c>
      <c r="J97" s="98">
        <f t="shared" si="265"/>
        <v>0</v>
      </c>
      <c r="K97" s="831">
        <f t="shared" ref="K97" si="284">I97+J97</f>
        <v>0</v>
      </c>
      <c r="L97" s="831"/>
      <c r="M97" s="832" t="str">
        <f t="shared" si="267"/>
        <v/>
      </c>
      <c r="N97" s="832"/>
      <c r="O97" s="832"/>
      <c r="P97" s="832"/>
      <c r="Q97" s="832"/>
      <c r="R97" s="832"/>
      <c r="S97" s="303">
        <f t="shared" si="268"/>
        <v>0</v>
      </c>
      <c r="T97" s="541">
        <f>VLOOKUP(A97,'Discount Lookup'!D:E,2,FALSE)*G97</f>
        <v>0</v>
      </c>
      <c r="U97" s="83">
        <f>VLOOKUP(A97,'Discount Lookup'!G:H,2,FALSE)*G97</f>
        <v>0</v>
      </c>
      <c r="V97" s="100">
        <f t="shared" si="269"/>
        <v>0</v>
      </c>
      <c r="W97" s="100">
        <f t="shared" si="270"/>
        <v>0</v>
      </c>
      <c r="X97" s="100" t="b">
        <f>IF(G97&gt;0,IF(AD97="me","",G97))</f>
        <v>0</v>
      </c>
      <c r="Y97" s="201"/>
      <c r="Z97" s="829" t="str">
        <f t="shared" ref="Z97" si="285">IF(G97=0,"",IF(AD97="me","",IF($AD$8="me","",IF(AD97="free","warranty",IF($AD$8="yes","NVP planting:","to NVP install:")))))</f>
        <v/>
      </c>
      <c r="AA97" s="829"/>
      <c r="AB97" s="830" t="str">
        <f>IF(G97=0,"",IF(AD97="free","re-planting",IF(AD97="me","not NVP, by",IF($AD$8="yes",(VLOOKUP(A97,'Discount Lookup'!J:K,2)*G97*(1-$AC$1786)*(1+$AC$1788)),IF(AD97="NVP",(VLOOKUP(A97,'Discount Lookup'!J:K,2)*G97*(1-$AC$1786)*(1+$AC$1788)),IF(AD97="free","re-planting",IF(G97=0,"",IF($AD$8="",IF(AD97="me","not NVP, by",IF(AD97="",IF(G97&gt;0,(VLOOKUP(A97,'Discount Lookup'!J:K,2)*G97*(1-$AC$1786)*(1+$AC$1788)),""),"")),"not NVP, by"))))))))</f>
        <v/>
      </c>
      <c r="AC97" s="830"/>
      <c r="AD97" s="375" t="str">
        <f t="shared" ref="AD97" si="286">IF(G97=0,"",IF($AD$8="me","me",IF(H97="warranty","free",IF($AD$8="yes","NVP",""))))</f>
        <v/>
      </c>
      <c r="AE97" s="833" t="str">
        <f t="shared" si="272"/>
        <v/>
      </c>
      <c r="AF97" s="833"/>
      <c r="AG97" s="833"/>
      <c r="AH97" s="91">
        <f>IF(AD97="free",0,IF(AD97="me",0,IF(G97&gt;0,(VLOOKUP(A97,'Discount Lookup'!J:K,2)*G97),0)))</f>
        <v>0</v>
      </c>
      <c r="AI97" s="92" t="str">
        <f t="shared" si="236"/>
        <v/>
      </c>
      <c r="AJ97" s="828" t="str">
        <f t="shared" ref="AJ97" si="287">IF(G97=0,"",IF(AD97="me","  delivery-only",IF($AD$8="me","  delivery-only",CONCATENATE(" $",ROUND(AI97/G97,2)," each"))))</f>
        <v/>
      </c>
      <c r="AK97" s="828"/>
      <c r="AL97" s="313" t="str">
        <f t="shared" si="196"/>
        <v/>
      </c>
      <c r="AM97" s="312"/>
      <c r="AN97" s="101"/>
      <c r="AO97" s="101"/>
      <c r="AP97" s="101"/>
      <c r="AQ97" s="101"/>
      <c r="AR97" s="101"/>
      <c r="AS97" s="101"/>
      <c r="AT97" s="101"/>
    </row>
    <row r="98" spans="1:46" ht="12.95" customHeight="1">
      <c r="A98" s="419">
        <v>15</v>
      </c>
      <c r="B98" s="87" t="s">
        <v>50</v>
      </c>
      <c r="C98" s="397" t="s">
        <v>88</v>
      </c>
      <c r="D98" s="129" t="s">
        <v>52</v>
      </c>
      <c r="E98" s="98">
        <v>227.95</v>
      </c>
      <c r="F98" s="705" t="s">
        <v>1306</v>
      </c>
      <c r="G98" s="357">
        <v>0</v>
      </c>
      <c r="H98" s="704" t="str">
        <f t="shared" si="263"/>
        <v/>
      </c>
      <c r="I98" s="98">
        <f t="shared" si="264"/>
        <v>0</v>
      </c>
      <c r="J98" s="98">
        <f t="shared" si="265"/>
        <v>0</v>
      </c>
      <c r="K98" s="831">
        <f t="shared" si="266"/>
        <v>0</v>
      </c>
      <c r="L98" s="831"/>
      <c r="M98" s="832" t="str">
        <f t="shared" si="267"/>
        <v/>
      </c>
      <c r="N98" s="832"/>
      <c r="O98" s="832"/>
      <c r="P98" s="832"/>
      <c r="Q98" s="832"/>
      <c r="R98" s="832"/>
      <c r="S98" s="303">
        <f t="shared" ref="S98" si="288">E98*G98</f>
        <v>0</v>
      </c>
      <c r="T98" s="541">
        <f>VLOOKUP(A98,'Discount Lookup'!D:E,2,FALSE)*G98</f>
        <v>0</v>
      </c>
      <c r="U98" s="83">
        <f>VLOOKUP(A98,'Discount Lookup'!G:H,2,FALSE)*G98</f>
        <v>0</v>
      </c>
      <c r="V98" s="100">
        <f t="shared" si="269"/>
        <v>0</v>
      </c>
      <c r="W98" s="100">
        <f t="shared" ref="W98" si="289">I98</f>
        <v>0</v>
      </c>
      <c r="X98" s="100" t="b">
        <f>IF(G98&gt;0,IF(AD98="me","",G98))</f>
        <v>0</v>
      </c>
      <c r="Y98" s="201"/>
      <c r="Z98" s="829" t="str">
        <f t="shared" si="129"/>
        <v/>
      </c>
      <c r="AA98" s="829"/>
      <c r="AB98" s="830" t="str">
        <f>IF(G98=0,"",IF(AD98="free","re-planting",IF(AD98="me","not NVP, by",IF($AD$8="yes",(VLOOKUP(A98,'Discount Lookup'!J:K,2)*G98*(1-$AC$1786)*(1+$AC$1788)),IF(AD98="NVP",(VLOOKUP(A98,'Discount Lookup'!J:K,2)*G98*(1-$AC$1786)*(1+$AC$1788)),IF(AD98="free","re-planting",IF(G98=0,"",IF($AD$8="",IF(AD98="me","not NVP, by",IF(AD98="",IF(G98&gt;0,(VLOOKUP(A98,'Discount Lookup'!J:K,2)*G98*(1-$AC$1786)*(1+$AC$1788)),""),"")),"not NVP, by"))))))))</f>
        <v/>
      </c>
      <c r="AC98" s="830"/>
      <c r="AD98" s="375" t="str">
        <f t="shared" si="138"/>
        <v/>
      </c>
      <c r="AE98" s="833" t="str">
        <f t="shared" si="182"/>
        <v/>
      </c>
      <c r="AF98" s="833"/>
      <c r="AG98" s="833"/>
      <c r="AH98" s="91">
        <f>IF(AD98="free",0,IF(AD98="me",0,IF(G98&gt;0,(VLOOKUP(A98,'Discount Lookup'!J:K,2)*G98),0)))</f>
        <v>0</v>
      </c>
      <c r="AI98" s="92" t="str">
        <f t="shared" si="236"/>
        <v/>
      </c>
      <c r="AJ98" s="828" t="str">
        <f t="shared" si="130"/>
        <v/>
      </c>
      <c r="AK98" s="828"/>
      <c r="AL98" s="313" t="str">
        <f t="shared" si="196"/>
        <v/>
      </c>
      <c r="AM98" s="312"/>
      <c r="AN98" s="101"/>
      <c r="AO98" s="101"/>
      <c r="AP98" s="101"/>
      <c r="AQ98" s="101"/>
      <c r="AR98" s="101"/>
      <c r="AS98" s="101"/>
      <c r="AT98" s="101"/>
    </row>
    <row r="99" spans="1:46" ht="12.95" customHeight="1">
      <c r="A99" s="419">
        <v>25</v>
      </c>
      <c r="B99" s="87" t="s">
        <v>50</v>
      </c>
      <c r="C99" s="397" t="s">
        <v>119</v>
      </c>
      <c r="D99" s="129" t="s">
        <v>52</v>
      </c>
      <c r="E99" s="98">
        <v>335.95</v>
      </c>
      <c r="F99" s="705" t="s">
        <v>1306</v>
      </c>
      <c r="G99" s="357">
        <v>0</v>
      </c>
      <c r="H99" s="704" t="str">
        <f t="shared" ref="H99" si="290">IF(G99=0,"",IF(F99="Qty=",IF(G99=1,"plant","plants"),IF(F99&gt;0.0001,"warranty","Error")))</f>
        <v/>
      </c>
      <c r="I99" s="98">
        <f t="shared" ref="I99" si="291">IF(F99="Qty=",(E99*G99),((E99*(1-F99))*G99))</f>
        <v>0</v>
      </c>
      <c r="J99" s="98">
        <f t="shared" si="265"/>
        <v>0</v>
      </c>
      <c r="K99" s="831">
        <f t="shared" si="266"/>
        <v>0</v>
      </c>
      <c r="L99" s="831"/>
      <c r="M99" s="832" t="str">
        <f t="shared" si="267"/>
        <v/>
      </c>
      <c r="N99" s="832"/>
      <c r="O99" s="832"/>
      <c r="P99" s="832"/>
      <c r="Q99" s="832"/>
      <c r="R99" s="832"/>
      <c r="S99" s="303">
        <f t="shared" ref="S99" si="292">E99*G99</f>
        <v>0</v>
      </c>
      <c r="T99" s="541">
        <f>VLOOKUP(A99,'Discount Lookup'!D:E,2,FALSE)*G99</f>
        <v>0</v>
      </c>
      <c r="U99" s="83">
        <f>VLOOKUP(A99,'Discount Lookup'!G:H,2,FALSE)*G99</f>
        <v>0</v>
      </c>
      <c r="V99" s="100">
        <f t="shared" si="269"/>
        <v>0</v>
      </c>
      <c r="W99" s="100">
        <f t="shared" ref="W99" si="293">I99</f>
        <v>0</v>
      </c>
      <c r="X99" s="100" t="b">
        <f>IF(G99&gt;0,IF(AD99="me","",G99))</f>
        <v>0</v>
      </c>
      <c r="Y99" s="201"/>
      <c r="Z99" s="829" t="str">
        <f t="shared" ref="Z99" si="294">IF(G99=0,"",IF(AD99="me","",IF($AD$8="me","",IF(AD99="free","warranty",IF($AD$8="yes","NVP planting:","to NVP install:")))))</f>
        <v/>
      </c>
      <c r="AA99" s="829"/>
      <c r="AB99" s="830" t="str">
        <f>IF(G99=0,"",IF(AD99="free","re-planting",IF(AD99="me","not NVP, by",IF($AD$8="yes",(VLOOKUP(A99,'Discount Lookup'!J:K,2)*G99*(1-$AC$1786)*(1+$AC$1788)),IF(AD99="NVP",(VLOOKUP(A99,'Discount Lookup'!J:K,2)*G99*(1-$AC$1786)*(1+$AC$1788)),IF(AD99="free","re-planting",IF(G99=0,"",IF($AD$8="",IF(AD99="me","not NVP, by",IF(AD99="",IF(G99&gt;0,(VLOOKUP(A99,'Discount Lookup'!J:K,2)*G99*(1-$AC$1786)*(1+$AC$1788)),""),"")),"not NVP, by"))))))))</f>
        <v/>
      </c>
      <c r="AC99" s="830"/>
      <c r="AD99" s="375" t="str">
        <f t="shared" si="138"/>
        <v/>
      </c>
      <c r="AE99" s="833" t="str">
        <f t="shared" ref="AE99" si="295">IF(G99&gt;0,(CONCATENATE((G99)," quantity, ",(A99)," ",B99)),"")</f>
        <v/>
      </c>
      <c r="AF99" s="833"/>
      <c r="AG99" s="833"/>
      <c r="AH99" s="91">
        <f>IF(AD99="free",0,IF(AD99="me",0,IF(G99&gt;0,(VLOOKUP(A99,'Discount Lookup'!J:K,2)*G99),0)))</f>
        <v>0</v>
      </c>
      <c r="AI99" s="92" t="str">
        <f t="shared" si="236"/>
        <v/>
      </c>
      <c r="AJ99" s="828" t="str">
        <f t="shared" ref="AJ99" si="296">IF(G99=0,"",IF(AD99="me","  delivery-only",IF($AD$8="me","  delivery-only",CONCATENATE(" $",ROUND(AI99/G99,2)," each"))))</f>
        <v/>
      </c>
      <c r="AK99" s="828"/>
      <c r="AL99" s="313" t="str">
        <f t="shared" si="196"/>
        <v/>
      </c>
      <c r="AM99" s="312"/>
      <c r="AN99" s="101"/>
      <c r="AO99" s="101"/>
      <c r="AP99" s="101"/>
      <c r="AQ99" s="101"/>
      <c r="AR99" s="101"/>
      <c r="AS99" s="101"/>
      <c r="AT99" s="101"/>
    </row>
    <row r="100" spans="1:46" ht="12.95" customHeight="1">
      <c r="A100" s="469"/>
      <c r="B100" s="103" t="s">
        <v>145</v>
      </c>
      <c r="H100" s="363"/>
      <c r="S100" s="82">
        <f>E100*G100</f>
        <v>0</v>
      </c>
      <c r="T100" s="540"/>
      <c r="U100" s="83"/>
      <c r="V100" s="100" t="b">
        <f>IF(G100&gt;0,IF(AD100="me","",G100))</f>
        <v>0</v>
      </c>
      <c r="W100" s="100"/>
      <c r="X100" s="100"/>
      <c r="Y100" s="201"/>
      <c r="Z100" s="829" t="str">
        <f t="shared" ref="Z100:Z163" si="297">IF(G100=0,"",IF(AD100="me","",IF($AD$8="me","",IF(AD100="free","warranty",IF($AD$8="yes","NVP planting:","to NVP install:")))))</f>
        <v/>
      </c>
      <c r="AA100" s="829"/>
      <c r="AB100" s="830" t="str">
        <f>IF(G100=0,"",IF(AD100="free","re-planting",IF(AD100="me","not NVP, by",IF($AD$8="yes",(VLOOKUP(A100,'Discount Lookup'!J:K,2)*G100*(1-$AC$1786)*(1+$AC$1788)),IF(AD100="NVP",(VLOOKUP(A100,'Discount Lookup'!J:K,2)*G100*(1-$AC$1786)*(1+$AC$1788)),IF(AD100="free","re-planting",IF(G100=0,"",IF($AD$8="",IF(AD100="me","not NVP, by",IF(AD100="",IF(G100&gt;0,(VLOOKUP(A100,'Discount Lookup'!J:K,2)*G100*(1-$AC$1786)*(1+$AC$1788)),""),"")),"not NVP, by"))))))))</f>
        <v/>
      </c>
      <c r="AC100" s="830"/>
      <c r="AD100" s="375" t="str">
        <f t="shared" si="138"/>
        <v/>
      </c>
      <c r="AE100" s="833" t="str">
        <f t="shared" si="182"/>
        <v/>
      </c>
      <c r="AF100" s="833"/>
      <c r="AG100" s="833"/>
      <c r="AH100" s="91">
        <f>IF(AD100="free",0,IF(AD100="me",0,IF(G100&gt;0,(VLOOKUP(A100,'Discount Lookup'!J:K,2)*G100),0)))</f>
        <v>0</v>
      </c>
      <c r="AI100" s="92" t="str">
        <f t="shared" si="236"/>
        <v/>
      </c>
      <c r="AJ100" s="828" t="str">
        <f t="shared" ref="AJ100:AJ163" si="298">IF(G100=0,"",IF(AD100="me","  delivery-only",IF($AD$8="me","  delivery-only",CONCATENATE(" $",ROUND(AI100/G100,2)," each"))))</f>
        <v/>
      </c>
      <c r="AK100" s="828"/>
      <c r="AL100" s="313" t="str">
        <f t="shared" si="196"/>
        <v/>
      </c>
      <c r="AM100" s="312"/>
      <c r="AN100" s="101"/>
      <c r="AO100" s="101"/>
      <c r="AP100" s="101"/>
      <c r="AQ100" s="101"/>
      <c r="AR100" s="101"/>
      <c r="AS100" s="101"/>
      <c r="AT100" s="101"/>
    </row>
    <row r="101" spans="1:46" ht="12.95" customHeight="1">
      <c r="A101" s="847" t="s">
        <v>146</v>
      </c>
      <c r="B101" s="848"/>
      <c r="C101" s="848"/>
      <c r="D101" s="848"/>
      <c r="E101" s="848"/>
      <c r="F101" s="848"/>
      <c r="G101" s="848"/>
      <c r="H101" s="773" t="s">
        <v>147</v>
      </c>
      <c r="I101" s="348" t="s">
        <v>44</v>
      </c>
      <c r="J101" s="93"/>
      <c r="K101" s="600" t="s">
        <v>45</v>
      </c>
      <c r="L101" s="601" t="s">
        <v>46</v>
      </c>
      <c r="M101" s="86"/>
      <c r="N101" s="87" t="s">
        <v>148</v>
      </c>
      <c r="O101" s="87"/>
      <c r="P101" s="88"/>
      <c r="Q101" s="89" t="s">
        <v>48</v>
      </c>
      <c r="R101" s="835" t="s">
        <v>49</v>
      </c>
      <c r="S101" s="835"/>
      <c r="T101" s="835"/>
      <c r="U101" s="835"/>
      <c r="V101" s="100" t="b">
        <f>IF(G101&gt;0,IF(AD101="me","",G101))</f>
        <v>0</v>
      </c>
      <c r="W101" s="100"/>
      <c r="X101" s="100"/>
      <c r="Y101" s="201"/>
      <c r="Z101" s="829" t="str">
        <f t="shared" si="297"/>
        <v/>
      </c>
      <c r="AA101" s="829"/>
      <c r="AB101" s="830" t="str">
        <f>IF(G101=0,"",IF(AD101="free","re-planting",IF(AD101="me","not NVP, by",IF($AD$8="yes",(VLOOKUP(A101,'Discount Lookup'!J:K,2)*G101*(1-$AC$1786)*(1+$AC$1788)),IF(AD101="NVP",(VLOOKUP(A101,'Discount Lookup'!J:K,2)*G101*(1-$AC$1786)*(1+$AC$1788)),IF(AD101="free","re-planting",IF(G101=0,"",IF($AD$8="",IF(AD101="me","not NVP, by",IF(AD101="",IF(G101&gt;0,(VLOOKUP(A101,'Discount Lookup'!J:K,2)*G101*(1-$AC$1786)*(1+$AC$1788)),""),"")),"not NVP, by"))))))))</f>
        <v/>
      </c>
      <c r="AC101" s="830"/>
      <c r="AD101" s="375" t="str">
        <f t="shared" si="138"/>
        <v/>
      </c>
      <c r="AE101" s="833" t="str">
        <f t="shared" si="182"/>
        <v/>
      </c>
      <c r="AF101" s="833"/>
      <c r="AG101" s="833"/>
      <c r="AH101" s="91">
        <f>IF(AD101="free",0,IF(AD101="me",0,IF(G101&gt;0,(VLOOKUP(A101,'Discount Lookup'!J:K,2)*G101),0)))</f>
        <v>0</v>
      </c>
      <c r="AI101" s="92" t="str">
        <f t="shared" si="236"/>
        <v/>
      </c>
      <c r="AJ101" s="828" t="str">
        <f t="shared" si="298"/>
        <v/>
      </c>
      <c r="AK101" s="828"/>
      <c r="AL101" s="313" t="str">
        <f t="shared" si="196"/>
        <v/>
      </c>
      <c r="AM101" s="312"/>
      <c r="AN101" s="101"/>
      <c r="AO101" s="101"/>
      <c r="AP101" s="101"/>
      <c r="AQ101" s="101"/>
      <c r="AR101" s="101"/>
      <c r="AS101" s="101"/>
      <c r="AT101" s="101"/>
    </row>
    <row r="102" spans="1:46" ht="12.95" customHeight="1">
      <c r="A102" s="419">
        <v>15</v>
      </c>
      <c r="B102" s="87" t="s">
        <v>50</v>
      </c>
      <c r="C102" s="128" t="s">
        <v>149</v>
      </c>
      <c r="D102" s="129" t="s">
        <v>54</v>
      </c>
      <c r="E102" s="98">
        <v>401.95</v>
      </c>
      <c r="F102" s="705" t="s">
        <v>1306</v>
      </c>
      <c r="G102" s="357">
        <v>0</v>
      </c>
      <c r="H102" s="704" t="str">
        <f t="shared" ref="H102:H103" si="299">IF(G102=0,"",IF(F102="Qty=",IF(G102=1,"plant","plants"),IF(F102&gt;0.0001,"warranty","Error")))</f>
        <v/>
      </c>
      <c r="I102" s="98">
        <f t="shared" ref="I102:I103" si="300">IF(F102="Qty=",(E102*G102),((E102*(1-F102))*G102))</f>
        <v>0</v>
      </c>
      <c r="J102" s="98">
        <f>IF(H102="warranty",0,(I102*($J$1782)))</f>
        <v>0</v>
      </c>
      <c r="K102" s="831">
        <f t="shared" ref="K102:K103" si="301">I102+J102</f>
        <v>0</v>
      </c>
      <c r="L102" s="831"/>
      <c r="M102" s="832" t="str">
        <f>IF($H$1784=0,"",IF(G102=0,"",IF(F102="Qty=",CONCATENATE("$",ROUND(K102*(1-$H$1784),2)," with ",($H$1784*100),"% discount"),CONCATENATE("$",ROUND(K102*(1-$H$1784),2)," with ",(($H$1784*100+F102*100)-($H$1784*100*F102)),IF(F102&gt;0,"% discounts",IF($H$1781&gt;0,"% discounts","% discount"))))))</f>
        <v/>
      </c>
      <c r="N102" s="832"/>
      <c r="O102" s="832"/>
      <c r="P102" s="832"/>
      <c r="Q102" s="832"/>
      <c r="R102" s="832"/>
      <c r="S102" s="303">
        <f t="shared" ref="S102:S103" si="302">E102*G102</f>
        <v>0</v>
      </c>
      <c r="T102" s="541">
        <f>VLOOKUP(A102,'Discount Lookup'!D:E,2,FALSE)*G102</f>
        <v>0</v>
      </c>
      <c r="U102" s="83">
        <f>VLOOKUP(A102,'Discount Lookup'!G:H,2,FALSE)*G102</f>
        <v>0</v>
      </c>
      <c r="V102" s="100">
        <f>E102*($J$1782)*G102</f>
        <v>0</v>
      </c>
      <c r="W102" s="100">
        <f t="shared" ref="W102:W103" si="303">I102</f>
        <v>0</v>
      </c>
      <c r="X102" s="100" t="b">
        <f>IF(G102&gt;0,IF(AD102="me","",G102))</f>
        <v>0</v>
      </c>
      <c r="Y102" s="201"/>
      <c r="Z102" s="829" t="str">
        <f t="shared" si="297"/>
        <v/>
      </c>
      <c r="AA102" s="829"/>
      <c r="AB102" s="830" t="str">
        <f>IF(G102=0,"",IF(AD102="free","re-planting",IF(AD102="me","not NVP, by",IF($AD$8="yes",(VLOOKUP(A102,'Discount Lookup'!J:K,2)*G102*(1-$AC$1786)*(1+$AC$1788)),IF(AD102="NVP",(VLOOKUP(A102,'Discount Lookup'!J:K,2)*G102*(1-$AC$1786)*(1+$AC$1788)),IF(AD102="free","re-planting",IF(G102=0,"",IF($AD$8="",IF(AD102="me","not NVP, by",IF(AD102="",IF(G102&gt;0,(VLOOKUP(A102,'Discount Lookup'!J:K,2)*G102*(1-$AC$1786)*(1+$AC$1788)),""),"")),"not NVP, by"))))))))</f>
        <v/>
      </c>
      <c r="AC102" s="830"/>
      <c r="AD102" s="375" t="str">
        <f t="shared" si="138"/>
        <v/>
      </c>
      <c r="AE102" s="833" t="str">
        <f t="shared" si="182"/>
        <v/>
      </c>
      <c r="AF102" s="833"/>
      <c r="AG102" s="833"/>
      <c r="AH102" s="91">
        <f>IF(AD102="free",0,IF(AD102="me",0,IF(G102&gt;0,(VLOOKUP(A102,'Discount Lookup'!J:K,2)*G102),0)))</f>
        <v>0</v>
      </c>
      <c r="AI102" s="92" t="str">
        <f t="shared" si="236"/>
        <v/>
      </c>
      <c r="AJ102" s="828" t="str">
        <f t="shared" si="298"/>
        <v/>
      </c>
      <c r="AK102" s="828"/>
      <c r="AL102" s="313" t="str">
        <f t="shared" si="196"/>
        <v/>
      </c>
      <c r="AM102" s="312"/>
      <c r="AN102" s="101"/>
      <c r="AO102" s="101"/>
      <c r="AP102" s="101"/>
      <c r="AQ102" s="101"/>
      <c r="AR102" s="101"/>
      <c r="AS102" s="101"/>
      <c r="AT102" s="101"/>
    </row>
    <row r="103" spans="1:46" ht="12.95" customHeight="1">
      <c r="A103" s="419">
        <v>25</v>
      </c>
      <c r="B103" s="87" t="s">
        <v>50</v>
      </c>
      <c r="C103" s="128" t="s">
        <v>150</v>
      </c>
      <c r="D103" s="129" t="s">
        <v>54</v>
      </c>
      <c r="E103" s="98">
        <v>620.95000000000005</v>
      </c>
      <c r="F103" s="705" t="s">
        <v>1306</v>
      </c>
      <c r="G103" s="357">
        <v>0</v>
      </c>
      <c r="H103" s="704" t="str">
        <f t="shared" si="299"/>
        <v/>
      </c>
      <c r="I103" s="98">
        <f t="shared" si="300"/>
        <v>0</v>
      </c>
      <c r="J103" s="98">
        <f>IF(H103="warranty",0,(I103*($J$1782)))</f>
        <v>0</v>
      </c>
      <c r="K103" s="831">
        <f t="shared" si="301"/>
        <v>0</v>
      </c>
      <c r="L103" s="831"/>
      <c r="M103" s="832" t="str">
        <f>IF($H$1784=0,"",IF(G103=0,"",IF(F103="Qty=",CONCATENATE("$",ROUND(K103*(1-$H$1784),2)," with ",($H$1784*100),"% discount"),CONCATENATE("$",ROUND(K103*(1-$H$1784),2)," with ",(($H$1784*100+F103*100)-($H$1784*100*F103)),IF(F103&gt;0,"% discounts",IF($H$1781&gt;0,"% discounts","% discount"))))))</f>
        <v/>
      </c>
      <c r="N103" s="832"/>
      <c r="O103" s="832"/>
      <c r="P103" s="832"/>
      <c r="Q103" s="832"/>
      <c r="R103" s="832"/>
      <c r="S103" s="303">
        <f t="shared" si="302"/>
        <v>0</v>
      </c>
      <c r="T103" s="541">
        <f>VLOOKUP(A103,'Discount Lookup'!D:E,2,FALSE)*G103</f>
        <v>0</v>
      </c>
      <c r="U103" s="83">
        <f>VLOOKUP(A103,'Discount Lookup'!G:H,2,FALSE)*G103</f>
        <v>0</v>
      </c>
      <c r="V103" s="100">
        <f>E103*($J$1782)*G103</f>
        <v>0</v>
      </c>
      <c r="W103" s="100">
        <f t="shared" si="303"/>
        <v>0</v>
      </c>
      <c r="X103" s="100" t="b">
        <f>IF(G103&gt;0,IF(AD103="me","",G103))</f>
        <v>0</v>
      </c>
      <c r="Y103" s="201"/>
      <c r="Z103" s="829" t="str">
        <f t="shared" si="297"/>
        <v/>
      </c>
      <c r="AA103" s="829"/>
      <c r="AB103" s="830" t="str">
        <f>IF(G103=0,"",IF(AD103="free","re-planting",IF(AD103="me","not NVP, by",IF($AD$8="yes",(VLOOKUP(A103,'Discount Lookup'!J:K,2)*G103*(1-$AC$1786)*(1+$AC$1788)),IF(AD103="NVP",(VLOOKUP(A103,'Discount Lookup'!J:K,2)*G103*(1-$AC$1786)*(1+$AC$1788)),IF(AD103="free","re-planting",IF(G103=0,"",IF($AD$8="",IF(AD103="me","not NVP, by",IF(AD103="",IF(G103&gt;0,(VLOOKUP(A103,'Discount Lookup'!J:K,2)*G103*(1-$AC$1786)*(1+$AC$1788)),""),"")),"not NVP, by"))))))))</f>
        <v/>
      </c>
      <c r="AC103" s="830"/>
      <c r="AD103" s="375" t="str">
        <f t="shared" si="138"/>
        <v/>
      </c>
      <c r="AE103" s="833" t="str">
        <f t="shared" si="182"/>
        <v/>
      </c>
      <c r="AF103" s="833"/>
      <c r="AG103" s="833"/>
      <c r="AH103" s="91">
        <f>IF(AD103="free",0,IF(AD103="me",0,IF(G103&gt;0,(VLOOKUP(A103,'Discount Lookup'!J:K,2)*G103),0)))</f>
        <v>0</v>
      </c>
      <c r="AI103" s="92" t="str">
        <f t="shared" si="236"/>
        <v/>
      </c>
      <c r="AJ103" s="828" t="str">
        <f t="shared" si="298"/>
        <v/>
      </c>
      <c r="AK103" s="828"/>
      <c r="AL103" s="313" t="str">
        <f t="shared" si="196"/>
        <v/>
      </c>
      <c r="AM103" s="312"/>
      <c r="AN103" s="101"/>
      <c r="AO103" s="101"/>
      <c r="AP103" s="101"/>
      <c r="AQ103" s="101"/>
      <c r="AR103" s="101"/>
      <c r="AS103" s="101"/>
      <c r="AT103" s="101"/>
    </row>
    <row r="104" spans="1:46" ht="12.95" customHeight="1">
      <c r="A104" s="465"/>
      <c r="B104" s="103" t="s">
        <v>151</v>
      </c>
      <c r="D104" s="104"/>
      <c r="E104" s="131"/>
      <c r="G104" s="356"/>
      <c r="H104" s="744"/>
      <c r="I104" s="131"/>
      <c r="J104" s="131"/>
      <c r="K104" s="608"/>
      <c r="L104" s="608"/>
      <c r="M104" s="121"/>
      <c r="N104" s="121"/>
      <c r="O104" s="123"/>
      <c r="P104" s="124"/>
      <c r="Q104" s="124"/>
      <c r="R104" s="83"/>
      <c r="S104" s="82">
        <f>E104*G104</f>
        <v>0</v>
      </c>
      <c r="T104" s="540"/>
      <c r="U104" s="83"/>
      <c r="V104" s="100" t="b">
        <f>IF(G104&gt;0,IF(AD104="me","",G104))</f>
        <v>0</v>
      </c>
      <c r="W104" s="100"/>
      <c r="X104" s="100"/>
      <c r="Y104" s="201"/>
      <c r="Z104" s="829" t="str">
        <f t="shared" si="297"/>
        <v/>
      </c>
      <c r="AA104" s="829"/>
      <c r="AB104" s="830" t="str">
        <f>IF(G104=0,"",IF(AD104="free","re-planting",IF(AD104="me","not NVP, by",IF($AD$8="yes",(VLOOKUP(A104,'Discount Lookup'!J:K,2)*G104*(1-$AC$1786)*(1+$AC$1788)),IF(AD104="NVP",(VLOOKUP(A104,'Discount Lookup'!J:K,2)*G104*(1-$AC$1786)*(1+$AC$1788)),IF(AD104="free","re-planting",IF(G104=0,"",IF($AD$8="",IF(AD104="me","not NVP, by",IF(AD104="",IF(G104&gt;0,(VLOOKUP(A104,'Discount Lookup'!J:K,2)*G104*(1-$AC$1786)*(1+$AC$1788)),""),"")),"not NVP, by"))))))))</f>
        <v/>
      </c>
      <c r="AC104" s="830"/>
      <c r="AD104" s="375" t="str">
        <f t="shared" si="138"/>
        <v/>
      </c>
      <c r="AE104" s="833" t="str">
        <f t="shared" si="182"/>
        <v/>
      </c>
      <c r="AF104" s="833"/>
      <c r="AG104" s="833"/>
      <c r="AH104" s="91">
        <f>IF(AD104="free",0,IF(AD104="me",0,IF(G104&gt;0,(VLOOKUP(A104,'Discount Lookup'!J:K,2)*G104),0)))</f>
        <v>0</v>
      </c>
      <c r="AI104" s="92" t="str">
        <f t="shared" si="236"/>
        <v/>
      </c>
      <c r="AJ104" s="828" t="str">
        <f t="shared" si="298"/>
        <v/>
      </c>
      <c r="AK104" s="828"/>
      <c r="AL104" s="313" t="str">
        <f t="shared" si="196"/>
        <v/>
      </c>
      <c r="AM104" s="312"/>
      <c r="AN104" s="101"/>
      <c r="AO104" s="101"/>
      <c r="AP104" s="101"/>
      <c r="AQ104" s="101"/>
      <c r="AR104" s="101"/>
      <c r="AS104" s="101"/>
      <c r="AT104" s="101"/>
    </row>
    <row r="105" spans="1:46" ht="12.95" customHeight="1">
      <c r="A105" s="852" t="s">
        <v>152</v>
      </c>
      <c r="B105" s="844"/>
      <c r="C105" s="844"/>
      <c r="D105" s="844"/>
      <c r="E105" s="844"/>
      <c r="F105" s="844"/>
      <c r="G105" s="844"/>
      <c r="H105" s="770" t="s">
        <v>147</v>
      </c>
      <c r="I105" s="88" t="s">
        <v>79</v>
      </c>
      <c r="J105" s="86"/>
      <c r="K105" s="600" t="s">
        <v>45</v>
      </c>
      <c r="L105" s="601" t="s">
        <v>46</v>
      </c>
      <c r="M105" s="115"/>
      <c r="N105" s="87" t="s">
        <v>69</v>
      </c>
      <c r="O105" s="87"/>
      <c r="P105" s="87"/>
      <c r="Q105" s="87"/>
      <c r="R105" s="88"/>
      <c r="S105" s="125"/>
      <c r="T105" s="543"/>
      <c r="U105" s="112"/>
      <c r="V105" s="100" t="b">
        <f>IF(G105&gt;0,IF(AD105="me","",G105))</f>
        <v>0</v>
      </c>
      <c r="W105" s="100"/>
      <c r="X105" s="100"/>
      <c r="Y105" s="201"/>
      <c r="Z105" s="829" t="str">
        <f t="shared" si="297"/>
        <v/>
      </c>
      <c r="AA105" s="829"/>
      <c r="AB105" s="830" t="str">
        <f>IF(G105=0,"",IF(AD105="free","re-planting",IF(AD105="me","not NVP, by",IF($AD$8="yes",(VLOOKUP(A105,'Discount Lookup'!J:K,2)*G105*(1-$AC$1786)*(1+$AC$1788)),IF(AD105="NVP",(VLOOKUP(A105,'Discount Lookup'!J:K,2)*G105*(1-$AC$1786)*(1+$AC$1788)),IF(AD105="free","re-planting",IF(G105=0,"",IF($AD$8="",IF(AD105="me","not NVP, by",IF(AD105="",IF(G105&gt;0,(VLOOKUP(A105,'Discount Lookup'!J:K,2)*G105*(1-$AC$1786)*(1+$AC$1788)),""),"")),"not NVP, by"))))))))</f>
        <v/>
      </c>
      <c r="AC105" s="830"/>
      <c r="AD105" s="375" t="str">
        <f t="shared" si="138"/>
        <v/>
      </c>
      <c r="AE105" s="833" t="str">
        <f t="shared" si="182"/>
        <v/>
      </c>
      <c r="AF105" s="833"/>
      <c r="AG105" s="833"/>
      <c r="AH105" s="91">
        <f>IF(AD105="free",0,IF(AD105="me",0,IF(G105&gt;0,(VLOOKUP(A105,'Discount Lookup'!J:K,2)*G105),0)))</f>
        <v>0</v>
      </c>
      <c r="AI105" s="92" t="str">
        <f t="shared" si="236"/>
        <v/>
      </c>
      <c r="AJ105" s="828" t="str">
        <f t="shared" si="298"/>
        <v/>
      </c>
      <c r="AK105" s="828"/>
      <c r="AL105" s="313" t="str">
        <f t="shared" si="196"/>
        <v/>
      </c>
      <c r="AM105" s="312"/>
      <c r="AN105" s="101"/>
      <c r="AO105" s="101"/>
      <c r="AP105" s="101"/>
      <c r="AQ105" s="101"/>
      <c r="AR105" s="101"/>
      <c r="AS105" s="101"/>
      <c r="AT105" s="101"/>
    </row>
    <row r="106" spans="1:46" ht="12.95" customHeight="1">
      <c r="A106" s="419">
        <v>7</v>
      </c>
      <c r="B106" s="87" t="s">
        <v>50</v>
      </c>
      <c r="C106" s="128" t="s">
        <v>1233</v>
      </c>
      <c r="D106" s="129" t="s">
        <v>54</v>
      </c>
      <c r="E106" s="98">
        <v>79.95</v>
      </c>
      <c r="F106" s="705" t="s">
        <v>1306</v>
      </c>
      <c r="G106" s="357">
        <v>0</v>
      </c>
      <c r="H106" s="704" t="str">
        <f t="shared" ref="H106" si="304">IF(G106=0,"",IF(F106="Qty=",IF(G106=1,"plant","plants"),IF(F106&gt;0.0001,"warranty","Error")))</f>
        <v/>
      </c>
      <c r="I106" s="98">
        <f t="shared" ref="I106" si="305">IF(F106="Qty=",(E106*G106),((E106*(1-F106))*G106))</f>
        <v>0</v>
      </c>
      <c r="J106" s="98">
        <f>IF(H106="warranty",0,(I106*($J$1782)))</f>
        <v>0</v>
      </c>
      <c r="K106" s="831">
        <f t="shared" ref="K106" si="306">I106+J106</f>
        <v>0</v>
      </c>
      <c r="L106" s="831"/>
      <c r="M106" s="832" t="str">
        <f>IF($H$1784=0,"",IF(G106=0,"",IF(F106="Qty=",CONCATENATE("$",ROUND(K106*(1-$H$1784),2)," with ",($H$1784*100),"% discount"),CONCATENATE("$",ROUND(K106*(1-$H$1784),2)," with ",(($H$1784*100+F106*100)-($H$1784*100*F106)),IF(F106&gt;0,"% discounts",IF($H$1781&gt;0,"% discounts","% discount"))))))</f>
        <v/>
      </c>
      <c r="N106" s="832"/>
      <c r="O106" s="832"/>
      <c r="P106" s="832"/>
      <c r="Q106" s="832"/>
      <c r="R106" s="832"/>
      <c r="S106" s="303">
        <f t="shared" ref="S106" si="307">E106*G106</f>
        <v>0</v>
      </c>
      <c r="T106" s="541">
        <f>VLOOKUP(A106,'Discount Lookup'!D:E,2,FALSE)*G106</f>
        <v>0</v>
      </c>
      <c r="U106" s="83">
        <f>VLOOKUP(A106,'Discount Lookup'!G:H,2,FALSE)*G106</f>
        <v>0</v>
      </c>
      <c r="V106" s="100">
        <f>E106*($J$1782)*G106</f>
        <v>0</v>
      </c>
      <c r="W106" s="100">
        <f t="shared" ref="W106" si="308">I106</f>
        <v>0</v>
      </c>
      <c r="X106" s="100" t="b">
        <f>IF(G106&gt;0,IF(AD106="me","",G106))</f>
        <v>0</v>
      </c>
      <c r="Y106" s="201"/>
      <c r="Z106" s="829" t="str">
        <f t="shared" si="297"/>
        <v/>
      </c>
      <c r="AA106" s="829"/>
      <c r="AB106" s="830" t="str">
        <f>IF(G106=0,"",IF(AD106="free","re-planting",IF(AD106="me","not NVP, by",IF($AD$8="yes",(VLOOKUP(A106,'Discount Lookup'!J:K,2)*G106*(1-$AC$1786)*(1+$AC$1788)),IF(AD106="NVP",(VLOOKUP(A106,'Discount Lookup'!J:K,2)*G106*(1-$AC$1786)*(1+$AC$1788)),IF(AD106="free","re-planting",IF(G106=0,"",IF($AD$8="",IF(AD106="me","not NVP, by",IF(AD106="",IF(G106&gt;0,(VLOOKUP(A106,'Discount Lookup'!J:K,2)*G106*(1-$AC$1786)*(1+$AC$1788)),""),"")),"not NVP, by"))))))))</f>
        <v/>
      </c>
      <c r="AC106" s="830"/>
      <c r="AD106" s="375" t="str">
        <f t="shared" si="138"/>
        <v/>
      </c>
      <c r="AE106" s="833" t="str">
        <f t="shared" si="182"/>
        <v/>
      </c>
      <c r="AF106" s="833"/>
      <c r="AG106" s="833"/>
      <c r="AH106" s="91">
        <f>IF(AD106="free",0,IF(AD106="me",0,IF(G106&gt;0,(VLOOKUP(A106,'Discount Lookup'!J:K,2)*G106),0)))</f>
        <v>0</v>
      </c>
      <c r="AI106" s="92" t="str">
        <f t="shared" si="236"/>
        <v/>
      </c>
      <c r="AJ106" s="828" t="str">
        <f t="shared" si="298"/>
        <v/>
      </c>
      <c r="AK106" s="828"/>
      <c r="AL106" s="313" t="str">
        <f t="shared" si="196"/>
        <v/>
      </c>
      <c r="AM106" s="312"/>
      <c r="AN106" s="101"/>
      <c r="AO106" s="101"/>
      <c r="AP106" s="101"/>
      <c r="AQ106" s="101"/>
      <c r="AR106" s="101"/>
      <c r="AS106" s="101"/>
      <c r="AT106" s="101"/>
    </row>
    <row r="107" spans="1:46" ht="12.95" customHeight="1">
      <c r="A107" s="469"/>
      <c r="B107" s="103" t="s">
        <v>154</v>
      </c>
      <c r="C107" s="396"/>
      <c r="H107" s="363"/>
      <c r="N107" s="145"/>
      <c r="S107" s="82">
        <f>E107*G107</f>
        <v>0</v>
      </c>
      <c r="T107" s="540"/>
      <c r="U107" s="83"/>
      <c r="V107" s="100" t="b">
        <f>IF(G107&gt;0,IF(AD107="me","",G107))</f>
        <v>0</v>
      </c>
      <c r="W107" s="100"/>
      <c r="X107" s="100"/>
      <c r="Y107" s="201"/>
      <c r="Z107" s="829" t="str">
        <f t="shared" si="297"/>
        <v/>
      </c>
      <c r="AA107" s="829"/>
      <c r="AB107" s="830" t="str">
        <f>IF(G107=0,"",IF(AD107="free","re-planting",IF(AD107="me","not NVP, by",IF($AD$8="yes",(VLOOKUP(A107,'Discount Lookup'!J:K,2)*G107*(1-$AC$1786)*(1+$AC$1788)),IF(AD107="NVP",(VLOOKUP(A107,'Discount Lookup'!J:K,2)*G107*(1-$AC$1786)*(1+$AC$1788)),IF(AD107="free","re-planting",IF(G107=0,"",IF($AD$8="",IF(AD107="me","not NVP, by",IF(AD107="",IF(G107&gt;0,(VLOOKUP(A107,'Discount Lookup'!J:K,2)*G107*(1-$AC$1786)*(1+$AC$1788)),""),"")),"not NVP, by"))))))))</f>
        <v/>
      </c>
      <c r="AC107" s="830"/>
      <c r="AD107" s="375" t="str">
        <f t="shared" si="138"/>
        <v/>
      </c>
      <c r="AE107" s="833" t="str">
        <f t="shared" si="182"/>
        <v/>
      </c>
      <c r="AF107" s="833"/>
      <c r="AG107" s="833"/>
      <c r="AH107" s="91">
        <f>IF(AD107="free",0,IF(AD107="me",0,IF(G107&gt;0,(VLOOKUP(A107,'Discount Lookup'!J:K,2)*G107),0)))</f>
        <v>0</v>
      </c>
      <c r="AI107" s="92" t="str">
        <f t="shared" si="236"/>
        <v/>
      </c>
      <c r="AJ107" s="828" t="str">
        <f t="shared" si="298"/>
        <v/>
      </c>
      <c r="AK107" s="828"/>
      <c r="AL107" s="313" t="str">
        <f t="shared" si="196"/>
        <v/>
      </c>
      <c r="AM107" s="312"/>
      <c r="AN107" s="101"/>
      <c r="AO107" s="101"/>
      <c r="AP107" s="101"/>
      <c r="AQ107" s="101"/>
      <c r="AR107" s="101"/>
      <c r="AS107" s="101"/>
      <c r="AT107" s="101"/>
    </row>
    <row r="108" spans="1:46" ht="12.75" customHeight="1">
      <c r="A108" s="852" t="s">
        <v>155</v>
      </c>
      <c r="B108" s="844"/>
      <c r="C108" s="844"/>
      <c r="D108" s="844"/>
      <c r="E108" s="844"/>
      <c r="F108" s="844"/>
      <c r="G108" s="844"/>
      <c r="H108" s="770" t="s">
        <v>156</v>
      </c>
      <c r="I108" s="88" t="s">
        <v>79</v>
      </c>
      <c r="J108" s="86"/>
      <c r="K108" s="603" t="s">
        <v>45</v>
      </c>
      <c r="L108" s="601" t="s">
        <v>46</v>
      </c>
      <c r="M108" s="86"/>
      <c r="N108" s="87" t="s">
        <v>157</v>
      </c>
      <c r="O108" s="87"/>
      <c r="P108" s="87"/>
      <c r="Q108" s="87"/>
      <c r="R108" s="88"/>
      <c r="S108" s="125"/>
      <c r="T108" s="543"/>
      <c r="U108" s="112"/>
      <c r="V108" s="100" t="b">
        <f>IF(G108&gt;0,IF(AD108="me","",G108))</f>
        <v>0</v>
      </c>
      <c r="W108" s="100"/>
      <c r="X108" s="100"/>
      <c r="Y108" s="201"/>
      <c r="Z108" s="829" t="str">
        <f t="shared" si="297"/>
        <v/>
      </c>
      <c r="AA108" s="829"/>
      <c r="AB108" s="830" t="str">
        <f>IF(G108=0,"",IF(AD108="free","re-planting",IF(AD108="me","not NVP, by",IF($AD$8="yes",(VLOOKUP(A108,'Discount Lookup'!J:K,2)*G108*(1-$AC$1786)*(1+$AC$1788)),IF(AD108="NVP",(VLOOKUP(A108,'Discount Lookup'!J:K,2)*G108*(1-$AC$1786)*(1+$AC$1788)),IF(AD108="free","re-planting",IF(G108=0,"",IF($AD$8="",IF(AD108="me","not NVP, by",IF(AD108="",IF(G108&gt;0,(VLOOKUP(A108,'Discount Lookup'!J:K,2)*G108*(1-$AC$1786)*(1+$AC$1788)),""),"")),"not NVP, by"))))))))</f>
        <v/>
      </c>
      <c r="AC108" s="830"/>
      <c r="AD108" s="375" t="str">
        <f t="shared" si="138"/>
        <v/>
      </c>
      <c r="AE108" s="833" t="str">
        <f t="shared" si="182"/>
        <v/>
      </c>
      <c r="AF108" s="833"/>
      <c r="AG108" s="833"/>
      <c r="AH108" s="91">
        <f>IF(AD108="free",0,IF(AD108="me",0,IF(G108&gt;0,(VLOOKUP(A108,'Discount Lookup'!J:K,2)*G108),0)))</f>
        <v>0</v>
      </c>
      <c r="AI108" s="92" t="str">
        <f t="shared" si="236"/>
        <v/>
      </c>
      <c r="AJ108" s="828" t="str">
        <f t="shared" si="298"/>
        <v/>
      </c>
      <c r="AK108" s="828"/>
      <c r="AL108" s="313" t="str">
        <f t="shared" si="196"/>
        <v/>
      </c>
      <c r="AM108" s="312"/>
      <c r="AN108" s="101"/>
      <c r="AO108" s="101"/>
      <c r="AP108" s="101"/>
      <c r="AQ108" s="101"/>
      <c r="AR108" s="101"/>
      <c r="AS108" s="101"/>
      <c r="AT108" s="101"/>
    </row>
    <row r="109" spans="1:46" ht="12.95" customHeight="1">
      <c r="A109" s="419">
        <v>3</v>
      </c>
      <c r="B109" s="87" t="s">
        <v>50</v>
      </c>
      <c r="C109" s="397" t="s">
        <v>1536</v>
      </c>
      <c r="D109" s="129" t="s">
        <v>87</v>
      </c>
      <c r="E109" s="98">
        <v>33.950000000000003</v>
      </c>
      <c r="F109" s="705" t="s">
        <v>1306</v>
      </c>
      <c r="G109" s="357">
        <v>0</v>
      </c>
      <c r="H109" s="704" t="str">
        <f t="shared" ref="H109" si="309">IF(G109=0,"",IF(F109="Qty=",IF(G109=1,"plant","plants"),IF(F109&gt;0.0001,"warranty","Error")))</f>
        <v/>
      </c>
      <c r="I109" s="98">
        <f t="shared" ref="I109" si="310">IF(F109="Qty=",(E109*G109),((E109*(1-F109))*G109))</f>
        <v>0</v>
      </c>
      <c r="J109" s="98">
        <f>IF(H109="warranty",0,(I109*($J$1782)))</f>
        <v>0</v>
      </c>
      <c r="K109" s="831">
        <f t="shared" ref="K109:K110" si="311">I109+J109</f>
        <v>0</v>
      </c>
      <c r="L109" s="831"/>
      <c r="M109" s="832" t="str">
        <f>IF($H$1784=0,"",IF(G109=0,"",IF(F109="Qty=",CONCATENATE("$",ROUND(K109*(1-$H$1784),2)," with ",($H$1784*100),"% discount"),CONCATENATE("$",ROUND(K109*(1-$H$1784),2)," with ",(($H$1784*100+F109*100)-($H$1784*100*F109)),IF(F109&gt;0,"% discounts",IF($H$1781&gt;0,"% discounts","% discount"))))))</f>
        <v/>
      </c>
      <c r="N109" s="832"/>
      <c r="O109" s="832"/>
      <c r="P109" s="832"/>
      <c r="Q109" s="832"/>
      <c r="R109" s="832"/>
      <c r="S109" s="303">
        <f t="shared" ref="S109" si="312">E109*G109</f>
        <v>0</v>
      </c>
      <c r="T109" s="541">
        <f>VLOOKUP(A109,'Discount Lookup'!D:E,2,FALSE)*G109</f>
        <v>0</v>
      </c>
      <c r="U109" s="83">
        <f>VLOOKUP(A109,'Discount Lookup'!G:H,2,FALSE)*G109</f>
        <v>0</v>
      </c>
      <c r="V109" s="100">
        <f>E109*($J$1782)*G109</f>
        <v>0</v>
      </c>
      <c r="W109" s="100">
        <f t="shared" ref="W109" si="313">I109</f>
        <v>0</v>
      </c>
      <c r="X109" s="100" t="b">
        <f t="shared" ref="X109" si="314">IF(G109&gt;0,IF(AD109="me","",G109))</f>
        <v>0</v>
      </c>
      <c r="Y109" s="201"/>
      <c r="Z109" s="829" t="str">
        <f t="shared" si="297"/>
        <v/>
      </c>
      <c r="AA109" s="829"/>
      <c r="AB109" s="830" t="str">
        <f>IF(G109=0,"",IF(AD109="free","re-planting",IF(AD109="me","not NVP, by",IF($AD$8="yes",(VLOOKUP(A109,'Discount Lookup'!J:K,2)*G109*(1-$AC$1786)*(1+$AC$1788)),IF(AD109="NVP",(VLOOKUP(A109,'Discount Lookup'!J:K,2)*G109*(1-$AC$1786)*(1+$AC$1788)),IF(AD109="free","re-planting",IF(G109=0,"",IF($AD$8="",IF(AD109="me","not NVP, by",IF(AD109="",IF(G109&gt;0,(VLOOKUP(A109,'Discount Lookup'!J:K,2)*G109*(1-$AC$1786)*(1+$AC$1788)),""),"")),"not NVP, by"))))))))</f>
        <v/>
      </c>
      <c r="AC109" s="830"/>
      <c r="AD109" s="375" t="str">
        <f t="shared" ref="AD109" si="315">IF(G109=0,"",IF($AD$8="me","me",IF(H109="warranty","free",IF($AD$8="yes","NVP",""))))</f>
        <v/>
      </c>
      <c r="AE109" s="833" t="str">
        <f t="shared" si="182"/>
        <v/>
      </c>
      <c r="AF109" s="833"/>
      <c r="AG109" s="833"/>
      <c r="AH109" s="91">
        <f>IF(AD109="free",0,IF(AD109="me",0,IF(G109&gt;0,(VLOOKUP(A109,'Discount Lookup'!J:K,2)*G109),0)))</f>
        <v>0</v>
      </c>
      <c r="AI109" s="92" t="str">
        <f t="shared" si="236"/>
        <v/>
      </c>
      <c r="AJ109" s="828" t="str">
        <f t="shared" si="298"/>
        <v/>
      </c>
      <c r="AK109" s="828"/>
      <c r="AL109" s="313" t="str">
        <f t="shared" si="196"/>
        <v/>
      </c>
      <c r="AM109" s="312"/>
      <c r="AN109" s="101"/>
      <c r="AO109" s="101"/>
      <c r="AP109" s="101"/>
      <c r="AQ109" s="101"/>
      <c r="AR109" s="101"/>
      <c r="AS109" s="101"/>
      <c r="AT109" s="101"/>
    </row>
    <row r="110" spans="1:46" ht="12.95" customHeight="1">
      <c r="A110" s="419">
        <v>15</v>
      </c>
      <c r="B110" s="87" t="s">
        <v>50</v>
      </c>
      <c r="C110" s="128" t="s">
        <v>70</v>
      </c>
      <c r="D110" s="129" t="s">
        <v>90</v>
      </c>
      <c r="E110" s="98">
        <v>251.95</v>
      </c>
      <c r="F110" s="705" t="s">
        <v>1306</v>
      </c>
      <c r="G110" s="357">
        <v>0</v>
      </c>
      <c r="H110" s="704" t="str">
        <f t="shared" ref="H110" si="316">IF(G110=0,"",IF(F110="Qty=",IF(G110=1,"plant","plants"),IF(F110&gt;0.0001,"warranty","Error")))</f>
        <v/>
      </c>
      <c r="I110" s="98">
        <f t="shared" ref="I110" si="317">IF(F110="Qty=",(E110*G110),((E110*(1-F110))*G110))</f>
        <v>0</v>
      </c>
      <c r="J110" s="98">
        <f>IF(H110="warranty",0,(I110*($J$1782)))</f>
        <v>0</v>
      </c>
      <c r="K110" s="831">
        <f t="shared" si="311"/>
        <v>0</v>
      </c>
      <c r="L110" s="831"/>
      <c r="M110" s="832" t="str">
        <f>IF($H$1784=0,"",IF(G110=0,"",IF(F110="Qty=",CONCATENATE("$",ROUND(K110*(1-$H$1784),2)," with ",($H$1784*100),"% discount"),CONCATENATE("$",ROUND(K110*(1-$H$1784),2)," with ",(($H$1784*100+F110*100)-($H$1784*100*F110)),IF(F110&gt;0,"% discounts",IF($H$1781&gt;0,"% discounts","% discount"))))))</f>
        <v/>
      </c>
      <c r="N110" s="832"/>
      <c r="O110" s="832"/>
      <c r="P110" s="832"/>
      <c r="Q110" s="832"/>
      <c r="R110" s="832"/>
      <c r="S110" s="303">
        <f t="shared" ref="S110" si="318">E110*G110</f>
        <v>0</v>
      </c>
      <c r="T110" s="541">
        <f>VLOOKUP(A110,'Discount Lookup'!D:E,2,FALSE)*G110</f>
        <v>0</v>
      </c>
      <c r="U110" s="83">
        <f>VLOOKUP(A110,'Discount Lookup'!G:H,2,FALSE)*G110</f>
        <v>0</v>
      </c>
      <c r="V110" s="100">
        <f>E110*($J$1782)*G110</f>
        <v>0</v>
      </c>
      <c r="W110" s="100">
        <f t="shared" ref="W110" si="319">I110</f>
        <v>0</v>
      </c>
      <c r="X110" s="100" t="b">
        <f t="shared" ref="X110" si="320">IF(G110&gt;0,IF(AD110="me","",G110))</f>
        <v>0</v>
      </c>
      <c r="Y110" s="201"/>
      <c r="Z110" s="829" t="str">
        <f t="shared" si="297"/>
        <v/>
      </c>
      <c r="AA110" s="829"/>
      <c r="AB110" s="830" t="str">
        <f>IF(G110=0,"",IF(AD110="free","re-planting",IF(AD110="me","not NVP, by",IF($AD$8="yes",(VLOOKUP(A110,'Discount Lookup'!J:K,2)*G110*(1-$AC$1786)*(1+$AC$1788)),IF(AD110="NVP",(VLOOKUP(A110,'Discount Lookup'!J:K,2)*G110*(1-$AC$1786)*(1+$AC$1788)),IF(AD110="free","re-planting",IF(G110=0,"",IF($AD$8="",IF(AD110="me","not NVP, by",IF(AD110="",IF(G110&gt;0,(VLOOKUP(A110,'Discount Lookup'!J:K,2)*G110*(1-$AC$1786)*(1+$AC$1788)),""),"")),"not NVP, by"))))))))</f>
        <v/>
      </c>
      <c r="AC110" s="830"/>
      <c r="AD110" s="375" t="str">
        <f t="shared" si="138"/>
        <v/>
      </c>
      <c r="AE110" s="833" t="str">
        <f t="shared" si="182"/>
        <v/>
      </c>
      <c r="AF110" s="833"/>
      <c r="AG110" s="833"/>
      <c r="AH110" s="91">
        <f>IF(AD110="free",0,IF(AD110="me",0,IF(G110&gt;0,(VLOOKUP(A110,'Discount Lookup'!J:K,2)*G110),0)))</f>
        <v>0</v>
      </c>
      <c r="AI110" s="92" t="str">
        <f t="shared" si="236"/>
        <v/>
      </c>
      <c r="AJ110" s="828" t="str">
        <f t="shared" si="298"/>
        <v/>
      </c>
      <c r="AK110" s="828"/>
      <c r="AL110" s="313" t="str">
        <f t="shared" si="196"/>
        <v/>
      </c>
      <c r="AM110" s="312"/>
      <c r="AN110" s="101"/>
      <c r="AO110" s="101"/>
      <c r="AP110" s="101"/>
      <c r="AQ110" s="101"/>
      <c r="AR110" s="101"/>
      <c r="AS110" s="101"/>
      <c r="AT110" s="101"/>
    </row>
    <row r="111" spans="1:46" ht="12.95" customHeight="1">
      <c r="A111" s="467"/>
      <c r="B111" s="103" t="s">
        <v>158</v>
      </c>
      <c r="C111" s="117"/>
      <c r="D111" s="118"/>
      <c r="E111" s="119"/>
      <c r="F111" s="711"/>
      <c r="G111" s="356"/>
      <c r="H111" s="745"/>
      <c r="I111" s="119"/>
      <c r="M111" s="48"/>
      <c r="N111" s="122"/>
      <c r="O111" s="123"/>
      <c r="P111" s="124"/>
      <c r="Q111" s="124"/>
      <c r="R111" s="83"/>
      <c r="S111" s="82">
        <f t="shared" ref="S111" si="321">E111*G111</f>
        <v>0</v>
      </c>
      <c r="T111" s="540"/>
      <c r="U111" s="83"/>
      <c r="V111" s="100" t="b">
        <f>IF(G111&gt;0,IF(AD111="me","",G111))</f>
        <v>0</v>
      </c>
      <c r="W111" s="100"/>
      <c r="X111" s="100"/>
      <c r="Y111" s="201"/>
      <c r="Z111" s="829" t="str">
        <f t="shared" si="297"/>
        <v/>
      </c>
      <c r="AA111" s="829"/>
      <c r="AB111" s="830" t="str">
        <f>IF(G111=0,"",IF(AD111="free","re-planting",IF(AD111="me","not NVP, by",IF($AD$8="yes",(VLOOKUP(A111,'Discount Lookup'!J:K,2)*G111*(1-$AC$1786)*(1+$AC$1788)),IF(AD111="NVP",(VLOOKUP(A111,'Discount Lookup'!J:K,2)*G111*(1-$AC$1786)*(1+$AC$1788)),IF(AD111="free","re-planting",IF(G111=0,"",IF($AD$8="",IF(AD111="me","not NVP, by",IF(AD111="",IF(G111&gt;0,(VLOOKUP(A111,'Discount Lookup'!J:K,2)*G111*(1-$AC$1786)*(1+$AC$1788)),""),"")),"not NVP, by"))))))))</f>
        <v/>
      </c>
      <c r="AC111" s="830"/>
      <c r="AD111" s="375" t="str">
        <f t="shared" ref="AD111:AD176" si="322">IF(G111=0,"",IF($AD$8="me","me",IF(H111="warranty","free",IF($AD$8="yes","NVP",""))))</f>
        <v/>
      </c>
      <c r="AE111" s="833" t="str">
        <f t="shared" si="182"/>
        <v/>
      </c>
      <c r="AF111" s="833"/>
      <c r="AG111" s="833"/>
      <c r="AH111" s="91">
        <f>IF(AD111="free",0,IF(AD111="me",0,IF(G111&gt;0,(VLOOKUP(A111,'Discount Lookup'!J:K,2)*G111),0)))</f>
        <v>0</v>
      </c>
      <c r="AI111" s="92" t="str">
        <f t="shared" si="236"/>
        <v/>
      </c>
      <c r="AJ111" s="828" t="str">
        <f t="shared" si="298"/>
        <v/>
      </c>
      <c r="AK111" s="828"/>
      <c r="AL111" s="313" t="str">
        <f t="shared" si="196"/>
        <v/>
      </c>
      <c r="AM111" s="312"/>
      <c r="AN111" s="101"/>
      <c r="AO111" s="101"/>
      <c r="AP111" s="101"/>
      <c r="AQ111" s="101"/>
      <c r="AR111" s="101"/>
      <c r="AS111" s="101"/>
      <c r="AT111" s="101"/>
    </row>
    <row r="112" spans="1:46" ht="12.95" customHeight="1">
      <c r="A112" s="852" t="s">
        <v>1578</v>
      </c>
      <c r="B112" s="844"/>
      <c r="C112" s="844"/>
      <c r="D112" s="844"/>
      <c r="E112" s="844"/>
      <c r="F112" s="844"/>
      <c r="G112" s="844"/>
      <c r="H112" s="770" t="s">
        <v>159</v>
      </c>
      <c r="I112" s="88" t="s">
        <v>79</v>
      </c>
      <c r="J112" s="86"/>
      <c r="K112" s="603" t="s">
        <v>45</v>
      </c>
      <c r="L112" s="601" t="s">
        <v>46</v>
      </c>
      <c r="M112" s="86"/>
      <c r="N112" s="87" t="s">
        <v>69</v>
      </c>
      <c r="O112" s="87"/>
      <c r="P112" s="87"/>
      <c r="Q112" s="87"/>
      <c r="R112" s="835" t="s">
        <v>49</v>
      </c>
      <c r="S112" s="835"/>
      <c r="T112" s="835"/>
      <c r="U112" s="835"/>
      <c r="V112" s="100" t="b">
        <f>IF(G112&gt;0,IF(AD112="me","",G112))</f>
        <v>0</v>
      </c>
      <c r="W112" s="100"/>
      <c r="X112" s="100"/>
      <c r="Y112" s="201"/>
      <c r="Z112" s="829" t="str">
        <f t="shared" si="297"/>
        <v/>
      </c>
      <c r="AA112" s="829"/>
      <c r="AB112" s="830" t="str">
        <f>IF(G112=0,"",IF(AD112="free","re-planting",IF(AD112="me","not NVP, by",IF($AD$8="yes",(VLOOKUP(A112,'Discount Lookup'!J:K,2)*G112*(1-$AC$1786)*(1+$AC$1788)),IF(AD112="NVP",(VLOOKUP(A112,'Discount Lookup'!J:K,2)*G112*(1-$AC$1786)*(1+$AC$1788)),IF(AD112="free","re-planting",IF(G112=0,"",IF($AD$8="",IF(AD112="me","not NVP, by",IF(AD112="",IF(G112&gt;0,(VLOOKUP(A112,'Discount Lookup'!J:K,2)*G112*(1-$AC$1786)*(1+$AC$1788)),""),"")),"not NVP, by"))))))))</f>
        <v/>
      </c>
      <c r="AC112" s="830"/>
      <c r="AD112" s="375" t="str">
        <f t="shared" si="322"/>
        <v/>
      </c>
      <c r="AE112" s="833" t="str">
        <f t="shared" si="182"/>
        <v/>
      </c>
      <c r="AF112" s="833"/>
      <c r="AG112" s="833"/>
      <c r="AH112" s="91">
        <f>IF(AD112="free",0,IF(AD112="me",0,IF(G112&gt;0,(VLOOKUP(A112,'Discount Lookup'!J:K,2)*G112),0)))</f>
        <v>0</v>
      </c>
      <c r="AI112" s="92" t="str">
        <f t="shared" si="236"/>
        <v/>
      </c>
      <c r="AJ112" s="828" t="str">
        <f t="shared" si="298"/>
        <v/>
      </c>
      <c r="AK112" s="828"/>
      <c r="AL112" s="313" t="str">
        <f t="shared" si="196"/>
        <v/>
      </c>
      <c r="AM112" s="312"/>
      <c r="AN112" s="101"/>
      <c r="AO112" s="101"/>
      <c r="AP112" s="101"/>
      <c r="AQ112" s="101"/>
      <c r="AR112" s="101"/>
      <c r="AS112" s="101"/>
      <c r="AT112" s="101"/>
    </row>
    <row r="113" spans="1:46" ht="12.95" customHeight="1">
      <c r="A113" s="419">
        <v>3</v>
      </c>
      <c r="B113" s="87" t="s">
        <v>50</v>
      </c>
      <c r="C113" s="128" t="s">
        <v>556</v>
      </c>
      <c r="D113" s="129" t="s">
        <v>86</v>
      </c>
      <c r="E113" s="98">
        <v>24.95</v>
      </c>
      <c r="F113" s="705" t="s">
        <v>1306</v>
      </c>
      <c r="G113" s="357">
        <v>0</v>
      </c>
      <c r="H113" s="704" t="str">
        <f t="shared" ref="H113" si="323">IF(G113=0,"",IF(F113="Qty=",IF(G113=1,"plant","plants"),IF(F113&gt;0.0001,"warranty","Error")))</f>
        <v/>
      </c>
      <c r="I113" s="98">
        <f t="shared" ref="I113" si="324">IF(F113="Qty=",(E113*G113),((E113*(1-F113))*G113))</f>
        <v>0</v>
      </c>
      <c r="J113" s="98">
        <f t="shared" ref="J113:J118" si="325">IF(H113="warranty",0,(I113*($J$1782)))</f>
        <v>0</v>
      </c>
      <c r="K113" s="831">
        <f t="shared" ref="K113:K118" si="326">I113+J113</f>
        <v>0</v>
      </c>
      <c r="L113" s="831"/>
      <c r="M113" s="832" t="str">
        <f t="shared" ref="M113:M118" si="327">IF($H$1784=0,"",IF(G113=0,"",IF(F113="Qty=",CONCATENATE("$",ROUND(K113*(1-$H$1784),2)," with ",($H$1784*100),"% discount"),CONCATENATE("$",ROUND(K113*(1-$H$1784),2)," with ",(($H$1784*100+F113*100)-($H$1784*100*F113)),IF(F113&gt;0,"% discounts",IF($H$1781&gt;0,"% discounts","% discount"))))))</f>
        <v/>
      </c>
      <c r="N113" s="832"/>
      <c r="O113" s="832"/>
      <c r="P113" s="832"/>
      <c r="Q113" s="832"/>
      <c r="R113" s="832"/>
      <c r="S113" s="303">
        <f t="shared" ref="S113" si="328">E113*G113</f>
        <v>0</v>
      </c>
      <c r="T113" s="541">
        <f>VLOOKUP(A113,'Discount Lookup'!D:E,2,FALSE)*G113</f>
        <v>0</v>
      </c>
      <c r="U113" s="83">
        <f>VLOOKUP(A113,'Discount Lookup'!G:H,2,FALSE)*G113</f>
        <v>0</v>
      </c>
      <c r="V113" s="100">
        <f t="shared" ref="V113:V118" si="329">E113*($J$1782)*G113</f>
        <v>0</v>
      </c>
      <c r="W113" s="100">
        <f t="shared" ref="W113" si="330">I113</f>
        <v>0</v>
      </c>
      <c r="X113" s="100" t="b">
        <f>IF(G113&gt;0,IF(AD113="me","",G113))</f>
        <v>0</v>
      </c>
      <c r="Y113" s="201"/>
      <c r="Z113" s="829" t="str">
        <f t="shared" ref="Z113" si="331">IF(G113=0,"",IF(AD113="me","",IF($AD$8="me","",IF(AD113="free","warranty",IF($AD$8="yes","NVP planting:","to NVP install:")))))</f>
        <v/>
      </c>
      <c r="AA113" s="829"/>
      <c r="AB113" s="830" t="str">
        <f>IF(G113=0,"",IF(AD113="free","re-planting",IF(AD113="me","not NVP, by",IF($AD$8="yes",(VLOOKUP(A113,'Discount Lookup'!J:K,2)*G113*(1-$AC$1786)*(1+$AC$1788)),IF(AD113="NVP",(VLOOKUP(A113,'Discount Lookup'!J:K,2)*G113*(1-$AC$1786)*(1+$AC$1788)),IF(AD113="free","re-planting",IF(G113=0,"",IF($AD$8="",IF(AD113="me","not NVP, by",IF(AD113="",IF(G113&gt;0,(VLOOKUP(A113,'Discount Lookup'!J:K,2)*G113*(1-$AC$1786)*(1+$AC$1788)),""),"")),"not NVP, by"))))))))</f>
        <v/>
      </c>
      <c r="AC113" s="830"/>
      <c r="AD113" s="375" t="str">
        <f t="shared" si="322"/>
        <v/>
      </c>
      <c r="AE113" s="833" t="str">
        <f t="shared" ref="AE113" si="332">IF(G113&gt;0,(CONCATENATE((G113)," quantity, ",(A113)," ",B113)),"")</f>
        <v/>
      </c>
      <c r="AF113" s="833"/>
      <c r="AG113" s="833"/>
      <c r="AH113" s="91">
        <f>IF(AD113="free",0,IF(AD113="me",0,IF(G113&gt;0,(VLOOKUP(A113,'Discount Lookup'!J:K,2)*G113),0)))</f>
        <v>0</v>
      </c>
      <c r="AI113" s="92" t="str">
        <f t="shared" si="236"/>
        <v/>
      </c>
      <c r="AJ113" s="828" t="str">
        <f t="shared" ref="AJ113" si="333">IF(G113=0,"",IF(AD113="me","  delivery-only",IF($AD$8="me","  delivery-only",CONCATENATE(" $",ROUND(AI113/G113,2)," each"))))</f>
        <v/>
      </c>
      <c r="AK113" s="828"/>
      <c r="AL113" s="313" t="str">
        <f t="shared" si="196"/>
        <v/>
      </c>
      <c r="AM113" s="312"/>
      <c r="AN113" s="101"/>
      <c r="AO113" s="101"/>
      <c r="AP113" s="101"/>
      <c r="AQ113" s="101"/>
      <c r="AR113" s="101"/>
      <c r="AS113" s="101"/>
      <c r="AT113" s="101"/>
    </row>
    <row r="114" spans="1:46" ht="12.95" customHeight="1">
      <c r="A114" s="419">
        <v>3</v>
      </c>
      <c r="B114" s="87" t="s">
        <v>50</v>
      </c>
      <c r="C114" s="128" t="s">
        <v>135</v>
      </c>
      <c r="D114" s="129" t="s">
        <v>62</v>
      </c>
      <c r="E114" s="98">
        <v>20.95</v>
      </c>
      <c r="F114" s="705" t="s">
        <v>1306</v>
      </c>
      <c r="G114" s="357">
        <v>0</v>
      </c>
      <c r="H114" s="704" t="str">
        <f t="shared" ref="H114" si="334">IF(G114=0,"",IF(F114="Qty=",IF(G114=1,"plant","plants"),IF(F114&gt;0.0001,"warranty","Error")))</f>
        <v/>
      </c>
      <c r="I114" s="98">
        <f t="shared" ref="I114" si="335">IF(F114="Qty=",(E114*G114),((E114*(1-F114))*G114))</f>
        <v>0</v>
      </c>
      <c r="J114" s="98">
        <f t="shared" si="325"/>
        <v>0</v>
      </c>
      <c r="K114" s="831">
        <f t="shared" ref="K114" si="336">I114+J114</f>
        <v>0</v>
      </c>
      <c r="L114" s="831"/>
      <c r="M114" s="832" t="str">
        <f t="shared" si="327"/>
        <v/>
      </c>
      <c r="N114" s="832"/>
      <c r="O114" s="832"/>
      <c r="P114" s="832"/>
      <c r="Q114" s="832"/>
      <c r="R114" s="832"/>
      <c r="S114" s="303">
        <f t="shared" ref="S114" si="337">E114*G114</f>
        <v>0</v>
      </c>
      <c r="T114" s="541">
        <f>VLOOKUP(A114,'Discount Lookup'!D:E,2,FALSE)*G114</f>
        <v>0</v>
      </c>
      <c r="U114" s="83">
        <f>VLOOKUP(A114,'Discount Lookup'!G:H,2,FALSE)*G114</f>
        <v>0</v>
      </c>
      <c r="V114" s="100">
        <f t="shared" si="329"/>
        <v>0</v>
      </c>
      <c r="W114" s="100">
        <f t="shared" ref="W114" si="338">I114</f>
        <v>0</v>
      </c>
      <c r="X114" s="100" t="b">
        <f>IF(G114&gt;0,IF(AD114="me","",G114))</f>
        <v>0</v>
      </c>
      <c r="Y114" s="201"/>
      <c r="Z114" s="829" t="str">
        <f t="shared" ref="Z114" si="339">IF(G114=0,"",IF(AD114="me","",IF($AD$8="me","",IF(AD114="free","warranty",IF($AD$8="yes","NVP planting:","to NVP install:")))))</f>
        <v/>
      </c>
      <c r="AA114" s="829"/>
      <c r="AB114" s="830" t="str">
        <f>IF(G114=0,"",IF(AD114="free","re-planting",IF(AD114="me","not NVP, by",IF($AD$8="yes",(VLOOKUP(A114,'Discount Lookup'!J:K,2)*G114*(1-$AC$1786)*(1+$AC$1788)),IF(AD114="NVP",(VLOOKUP(A114,'Discount Lookup'!J:K,2)*G114*(1-$AC$1786)*(1+$AC$1788)),IF(AD114="free","re-planting",IF(G114=0,"",IF($AD$8="",IF(AD114="me","not NVP, by",IF(AD114="",IF(G114&gt;0,(VLOOKUP(A114,'Discount Lookup'!J:K,2)*G114*(1-$AC$1786)*(1+$AC$1788)),""),"")),"not NVP, by"))))))))</f>
        <v/>
      </c>
      <c r="AC114" s="830"/>
      <c r="AD114" s="375" t="str">
        <f t="shared" ref="AD114" si="340">IF(G114=0,"",IF($AD$8="me","me",IF(H114="warranty","free",IF($AD$8="yes","NVP",""))))</f>
        <v/>
      </c>
      <c r="AE114" s="833" t="str">
        <f t="shared" ref="AE114" si="341">IF(G114&gt;0,(CONCATENATE((G114)," quantity, ",(A114)," ",B114)),"")</f>
        <v/>
      </c>
      <c r="AF114" s="833"/>
      <c r="AG114" s="833"/>
      <c r="AH114" s="91">
        <f>IF(AD114="free",0,IF(AD114="me",0,IF(G114&gt;0,(VLOOKUP(A114,'Discount Lookup'!J:K,2)*G114),0)))</f>
        <v>0</v>
      </c>
      <c r="AI114" s="92" t="str">
        <f t="shared" si="236"/>
        <v/>
      </c>
      <c r="AJ114" s="828" t="str">
        <f t="shared" ref="AJ114" si="342">IF(G114=0,"",IF(AD114="me","  delivery-only",IF($AD$8="me","  delivery-only",CONCATENATE(" $",ROUND(AI114/G114,2)," each"))))</f>
        <v/>
      </c>
      <c r="AK114" s="828"/>
      <c r="AL114" s="313" t="str">
        <f t="shared" si="196"/>
        <v/>
      </c>
      <c r="AM114" s="312"/>
      <c r="AN114" s="101"/>
      <c r="AO114" s="101"/>
      <c r="AP114" s="101"/>
      <c r="AQ114" s="101"/>
      <c r="AR114" s="101"/>
      <c r="AS114" s="101"/>
      <c r="AT114" s="101"/>
    </row>
    <row r="115" spans="1:46" ht="12.95" customHeight="1">
      <c r="A115" s="419">
        <v>3</v>
      </c>
      <c r="B115" s="87" t="s">
        <v>50</v>
      </c>
      <c r="C115" s="128" t="s">
        <v>85</v>
      </c>
      <c r="D115" s="129" t="s">
        <v>63</v>
      </c>
      <c r="E115" s="98">
        <v>27.95</v>
      </c>
      <c r="F115" s="705" t="s">
        <v>1306</v>
      </c>
      <c r="G115" s="357">
        <v>0</v>
      </c>
      <c r="H115" s="704" t="str">
        <f t="shared" ref="H115:H118" si="343">IF(G115=0,"",IF(F115="Qty=",IF(G115=1,"plant","plants"),IF(F115&gt;0.0001,"warranty","Error")))</f>
        <v/>
      </c>
      <c r="I115" s="98">
        <f t="shared" ref="I115:I118" si="344">IF(F115="Qty=",(E115*G115),((E115*(1-F115))*G115))</f>
        <v>0</v>
      </c>
      <c r="J115" s="98">
        <f t="shared" si="325"/>
        <v>0</v>
      </c>
      <c r="K115" s="831">
        <f t="shared" si="326"/>
        <v>0</v>
      </c>
      <c r="L115" s="831"/>
      <c r="M115" s="832" t="str">
        <f t="shared" si="327"/>
        <v/>
      </c>
      <c r="N115" s="832"/>
      <c r="O115" s="832"/>
      <c r="P115" s="832"/>
      <c r="Q115" s="832"/>
      <c r="R115" s="832"/>
      <c r="S115" s="303">
        <f t="shared" ref="S115:S117" si="345">E115*G115</f>
        <v>0</v>
      </c>
      <c r="T115" s="541">
        <f>VLOOKUP(A115,'Discount Lookup'!D:E,2,FALSE)*G115</f>
        <v>0</v>
      </c>
      <c r="U115" s="83">
        <f>VLOOKUP(A115,'Discount Lookup'!G:H,2,FALSE)*G115</f>
        <v>0</v>
      </c>
      <c r="V115" s="100">
        <f t="shared" si="329"/>
        <v>0</v>
      </c>
      <c r="W115" s="100">
        <f t="shared" ref="W115:W117" si="346">I115</f>
        <v>0</v>
      </c>
      <c r="X115" s="100" t="b">
        <f>IF(G115&gt;0,IF(AD115="me","",G115))</f>
        <v>0</v>
      </c>
      <c r="Y115" s="201"/>
      <c r="Z115" s="829" t="str">
        <f t="shared" si="297"/>
        <v/>
      </c>
      <c r="AA115" s="829"/>
      <c r="AB115" s="830" t="str">
        <f>IF(G115=0,"",IF(AD115="free","re-planting",IF(AD115="me","not NVP, by",IF($AD$8="yes",(VLOOKUP(A115,'Discount Lookup'!J:K,2)*G115*(1-$AC$1786)*(1+$AC$1788)),IF(AD115="NVP",(VLOOKUP(A115,'Discount Lookup'!J:K,2)*G115*(1-$AC$1786)*(1+$AC$1788)),IF(AD115="free","re-planting",IF(G115=0,"",IF($AD$8="",IF(AD115="me","not NVP, by",IF(AD115="",IF(G115&gt;0,(VLOOKUP(A115,'Discount Lookup'!J:K,2)*G115*(1-$AC$1786)*(1+$AC$1788)),""),"")),"not NVP, by"))))))))</f>
        <v/>
      </c>
      <c r="AC115" s="830"/>
      <c r="AD115" s="375" t="str">
        <f t="shared" si="322"/>
        <v/>
      </c>
      <c r="AE115" s="833" t="str">
        <f t="shared" si="182"/>
        <v/>
      </c>
      <c r="AF115" s="833"/>
      <c r="AG115" s="833"/>
      <c r="AH115" s="91">
        <f>IF(AD115="free",0,IF(AD115="me",0,IF(G115&gt;0,(VLOOKUP(A115,'Discount Lookup'!J:K,2)*G115),0)))</f>
        <v>0</v>
      </c>
      <c r="AI115" s="92" t="str">
        <f t="shared" si="236"/>
        <v/>
      </c>
      <c r="AJ115" s="828" t="str">
        <f t="shared" si="298"/>
        <v/>
      </c>
      <c r="AK115" s="828"/>
      <c r="AL115" s="313" t="str">
        <f t="shared" si="196"/>
        <v/>
      </c>
      <c r="AM115" s="312"/>
      <c r="AN115" s="101"/>
      <c r="AO115" s="101"/>
      <c r="AP115" s="101"/>
      <c r="AQ115" s="101"/>
      <c r="AR115" s="101"/>
      <c r="AS115" s="101"/>
      <c r="AT115" s="101"/>
    </row>
    <row r="116" spans="1:46" ht="12.95" customHeight="1">
      <c r="A116" s="419">
        <v>5</v>
      </c>
      <c r="B116" s="87" t="s">
        <v>50</v>
      </c>
      <c r="C116" s="128" t="s">
        <v>153</v>
      </c>
      <c r="D116" s="129" t="s">
        <v>90</v>
      </c>
      <c r="E116" s="98">
        <v>31.95</v>
      </c>
      <c r="F116" s="705" t="s">
        <v>1306</v>
      </c>
      <c r="G116" s="357">
        <v>0</v>
      </c>
      <c r="H116" s="704" t="str">
        <f t="shared" si="343"/>
        <v/>
      </c>
      <c r="I116" s="98">
        <f t="shared" si="344"/>
        <v>0</v>
      </c>
      <c r="J116" s="98">
        <f t="shared" si="325"/>
        <v>0</v>
      </c>
      <c r="K116" s="831">
        <f t="shared" si="326"/>
        <v>0</v>
      </c>
      <c r="L116" s="831"/>
      <c r="M116" s="832" t="str">
        <f t="shared" si="327"/>
        <v/>
      </c>
      <c r="N116" s="832"/>
      <c r="O116" s="832"/>
      <c r="P116" s="832"/>
      <c r="Q116" s="832"/>
      <c r="R116" s="832"/>
      <c r="S116" s="303">
        <f t="shared" ref="S116" si="347">E116*G116</f>
        <v>0</v>
      </c>
      <c r="T116" s="541">
        <f>VLOOKUP(A116,'Discount Lookup'!D:E,2,FALSE)*G116</f>
        <v>0</v>
      </c>
      <c r="U116" s="83">
        <f>VLOOKUP(A116,'Discount Lookup'!G:H,2,FALSE)*G116</f>
        <v>0</v>
      </c>
      <c r="V116" s="100">
        <f t="shared" si="329"/>
        <v>0</v>
      </c>
      <c r="W116" s="100">
        <f t="shared" ref="W116" si="348">I116</f>
        <v>0</v>
      </c>
      <c r="X116" s="100" t="b">
        <f>IF(G116&gt;0,IF(AD116="me","",G116))</f>
        <v>0</v>
      </c>
      <c r="Y116" s="201"/>
      <c r="Z116" s="829" t="str">
        <f t="shared" si="297"/>
        <v/>
      </c>
      <c r="AA116" s="829"/>
      <c r="AB116" s="830" t="str">
        <f>IF(G116=0,"",IF(AD116="free","re-planting",IF(AD116="me","not NVP, by",IF($AD$8="yes",(VLOOKUP(A116,'Discount Lookup'!J:K,2)*G116*(1-$AC$1786)*(1+$AC$1788)),IF(AD116="NVP",(VLOOKUP(A116,'Discount Lookup'!J:K,2)*G116*(1-$AC$1786)*(1+$AC$1788)),IF(AD116="free","re-planting",IF(G116=0,"",IF($AD$8="",IF(AD116="me","not NVP, by",IF(AD116="",IF(G116&gt;0,(VLOOKUP(A116,'Discount Lookup'!J:K,2)*G116*(1-$AC$1786)*(1+$AC$1788)),""),"")),"not NVP, by"))))))))</f>
        <v/>
      </c>
      <c r="AC116" s="830"/>
      <c r="AD116" s="375" t="str">
        <f t="shared" si="322"/>
        <v/>
      </c>
      <c r="AE116" s="833" t="str">
        <f t="shared" ref="AE116" si="349">IF(G116&gt;0,(CONCATENATE((G116)," quantity, ",(A116)," ",B116)),"")</f>
        <v/>
      </c>
      <c r="AF116" s="833"/>
      <c r="AG116" s="833"/>
      <c r="AH116" s="91">
        <f>IF(AD116="free",0,IF(AD116="me",0,IF(G116&gt;0,(VLOOKUP(A116,'Discount Lookup'!J:K,2)*G116),0)))</f>
        <v>0</v>
      </c>
      <c r="AI116" s="92" t="str">
        <f t="shared" si="236"/>
        <v/>
      </c>
      <c r="AJ116" s="828" t="str">
        <f t="shared" si="298"/>
        <v/>
      </c>
      <c r="AK116" s="828"/>
      <c r="AL116" s="313" t="str">
        <f t="shared" si="196"/>
        <v/>
      </c>
      <c r="AM116" s="312"/>
      <c r="AN116" s="101"/>
      <c r="AO116" s="101"/>
      <c r="AP116" s="101"/>
      <c r="AQ116" s="101"/>
      <c r="AR116" s="101"/>
      <c r="AS116" s="101"/>
      <c r="AT116" s="101"/>
    </row>
    <row r="117" spans="1:46" ht="12.95" customHeight="1">
      <c r="A117" s="419">
        <v>7</v>
      </c>
      <c r="B117" s="87" t="s">
        <v>50</v>
      </c>
      <c r="C117" s="128" t="s">
        <v>137</v>
      </c>
      <c r="D117" s="129" t="s">
        <v>86</v>
      </c>
      <c r="E117" s="98">
        <v>56.95</v>
      </c>
      <c r="F117" s="705" t="s">
        <v>1306</v>
      </c>
      <c r="G117" s="357">
        <v>0</v>
      </c>
      <c r="H117" s="704" t="str">
        <f t="shared" si="343"/>
        <v/>
      </c>
      <c r="I117" s="98">
        <f t="shared" si="344"/>
        <v>0</v>
      </c>
      <c r="J117" s="98">
        <f t="shared" si="325"/>
        <v>0</v>
      </c>
      <c r="K117" s="831">
        <f t="shared" si="326"/>
        <v>0</v>
      </c>
      <c r="L117" s="831"/>
      <c r="M117" s="832" t="str">
        <f t="shared" si="327"/>
        <v/>
      </c>
      <c r="N117" s="832"/>
      <c r="O117" s="832"/>
      <c r="P117" s="832"/>
      <c r="Q117" s="832"/>
      <c r="R117" s="832"/>
      <c r="S117" s="303">
        <f t="shared" si="345"/>
        <v>0</v>
      </c>
      <c r="T117" s="541">
        <f>VLOOKUP(A117,'Discount Lookup'!D:E,2,FALSE)*G117</f>
        <v>0</v>
      </c>
      <c r="U117" s="83">
        <f>VLOOKUP(A117,'Discount Lookup'!G:H,2,FALSE)*G117</f>
        <v>0</v>
      </c>
      <c r="V117" s="100">
        <f t="shared" si="329"/>
        <v>0</v>
      </c>
      <c r="W117" s="100">
        <f t="shared" si="346"/>
        <v>0</v>
      </c>
      <c r="X117" s="100" t="b">
        <f>IF(G117&gt;0,IF(AD117="me","",G117))</f>
        <v>0</v>
      </c>
      <c r="Y117" s="201"/>
      <c r="Z117" s="829" t="str">
        <f t="shared" si="297"/>
        <v/>
      </c>
      <c r="AA117" s="829"/>
      <c r="AB117" s="830" t="str">
        <f>IF(G117=0,"",IF(AD117="free","re-planting",IF(AD117="me","not NVP, by",IF($AD$8="yes",(VLOOKUP(A117,'Discount Lookup'!J:K,2)*G117*(1-$AC$1786)*(1+$AC$1788)),IF(AD117="NVP",(VLOOKUP(A117,'Discount Lookup'!J:K,2)*G117*(1-$AC$1786)*(1+$AC$1788)),IF(AD117="free","re-planting",IF(G117=0,"",IF($AD$8="",IF(AD117="me","not NVP, by",IF(AD117="",IF(G117&gt;0,(VLOOKUP(A117,'Discount Lookup'!J:K,2)*G117*(1-$AC$1786)*(1+$AC$1788)),""),"")),"not NVP, by"))))))))</f>
        <v/>
      </c>
      <c r="AC117" s="830"/>
      <c r="AD117" s="375" t="str">
        <f t="shared" si="322"/>
        <v/>
      </c>
      <c r="AE117" s="833" t="str">
        <f t="shared" si="182"/>
        <v/>
      </c>
      <c r="AF117" s="833"/>
      <c r="AG117" s="833"/>
      <c r="AH117" s="91">
        <f>IF(AD117="free",0,IF(AD117="me",0,IF(G117&gt;0,(VLOOKUP(A117,'Discount Lookup'!J:K,2)*G117),0)))</f>
        <v>0</v>
      </c>
      <c r="AI117" s="92" t="str">
        <f t="shared" si="236"/>
        <v/>
      </c>
      <c r="AJ117" s="828" t="str">
        <f t="shared" si="298"/>
        <v/>
      </c>
      <c r="AK117" s="828"/>
      <c r="AL117" s="313" t="str">
        <f t="shared" si="196"/>
        <v/>
      </c>
      <c r="AM117" s="312"/>
      <c r="AN117" s="101"/>
      <c r="AO117" s="101"/>
      <c r="AP117" s="101"/>
      <c r="AQ117" s="101"/>
      <c r="AR117" s="101"/>
      <c r="AS117" s="101"/>
      <c r="AT117" s="101"/>
    </row>
    <row r="118" spans="1:46" ht="12.95" customHeight="1">
      <c r="A118" s="419">
        <v>15</v>
      </c>
      <c r="B118" s="87" t="s">
        <v>50</v>
      </c>
      <c r="C118" s="128" t="s">
        <v>1451</v>
      </c>
      <c r="D118" s="129" t="s">
        <v>63</v>
      </c>
      <c r="E118" s="98">
        <v>155.94999999999999</v>
      </c>
      <c r="F118" s="705" t="s">
        <v>1306</v>
      </c>
      <c r="G118" s="357">
        <v>0</v>
      </c>
      <c r="H118" s="704" t="str">
        <f t="shared" si="343"/>
        <v/>
      </c>
      <c r="I118" s="98">
        <f t="shared" si="344"/>
        <v>0</v>
      </c>
      <c r="J118" s="98">
        <f t="shared" si="325"/>
        <v>0</v>
      </c>
      <c r="K118" s="831">
        <f t="shared" si="326"/>
        <v>0</v>
      </c>
      <c r="L118" s="831"/>
      <c r="M118" s="832" t="str">
        <f t="shared" si="327"/>
        <v/>
      </c>
      <c r="N118" s="832"/>
      <c r="O118" s="832"/>
      <c r="P118" s="832"/>
      <c r="Q118" s="832"/>
      <c r="R118" s="832"/>
      <c r="S118" s="303">
        <f t="shared" ref="S118" si="350">E118*G118</f>
        <v>0</v>
      </c>
      <c r="T118" s="541">
        <f>VLOOKUP(A118,'Discount Lookup'!D:E,2,FALSE)*G118</f>
        <v>0</v>
      </c>
      <c r="U118" s="83">
        <f>VLOOKUP(A118,'Discount Lookup'!G:H,2,FALSE)*G118</f>
        <v>0</v>
      </c>
      <c r="V118" s="100">
        <f t="shared" si="329"/>
        <v>0</v>
      </c>
      <c r="W118" s="100">
        <f t="shared" ref="W118" si="351">I118</f>
        <v>0</v>
      </c>
      <c r="X118" s="100" t="b">
        <f t="shared" ref="X118" si="352">IF(G118&gt;0,IF(AD118="me","",G118))</f>
        <v>0</v>
      </c>
      <c r="Y118" s="201"/>
      <c r="Z118" s="829" t="str">
        <f t="shared" si="297"/>
        <v/>
      </c>
      <c r="AA118" s="829"/>
      <c r="AB118" s="830" t="str">
        <f>IF(G118=0,"",IF(AD118="free","re-planting",IF(AD118="me","not NVP, by",IF($AD$8="yes",(VLOOKUP(A118,'Discount Lookup'!J:K,2)*G118*(1-$AC$1786)*(1+$AC$1788)),IF(AD118="NVP",(VLOOKUP(A118,'Discount Lookup'!J:K,2)*G118*(1-$AC$1786)*(1+$AC$1788)),IF(AD118="free","re-planting",IF(G118=0,"",IF($AD$8="",IF(AD118="me","not NVP, by",IF(AD118="",IF(G118&gt;0,(VLOOKUP(A118,'Discount Lookup'!J:K,2)*G118*(1-$AC$1786)*(1+$AC$1788)),""),"")),"not NVP, by"))))))))</f>
        <v/>
      </c>
      <c r="AC118" s="830"/>
      <c r="AD118" s="375" t="str">
        <f t="shared" si="322"/>
        <v/>
      </c>
      <c r="AE118" s="833" t="str">
        <f t="shared" ref="AE118" si="353">IF(G118&gt;0,(CONCATENATE((G118)," quantity, ",(A118)," ",B118)),"")</f>
        <v/>
      </c>
      <c r="AF118" s="833"/>
      <c r="AG118" s="833"/>
      <c r="AH118" s="91">
        <f>IF(AD118="free",0,IF(AD118="me",0,IF(G118&gt;0,(VLOOKUP(A118,'Discount Lookup'!J:K,2)*G118),0)))</f>
        <v>0</v>
      </c>
      <c r="AI118" s="92" t="str">
        <f t="shared" si="236"/>
        <v/>
      </c>
      <c r="AJ118" s="828" t="str">
        <f t="shared" si="298"/>
        <v/>
      </c>
      <c r="AK118" s="828"/>
      <c r="AL118" s="313" t="str">
        <f t="shared" si="196"/>
        <v/>
      </c>
      <c r="AM118" s="312"/>
      <c r="AN118" s="101"/>
      <c r="AO118" s="101"/>
      <c r="AP118" s="101"/>
      <c r="AQ118" s="101"/>
      <c r="AR118" s="101"/>
      <c r="AS118" s="101"/>
      <c r="AT118" s="101"/>
    </row>
    <row r="119" spans="1:46" ht="12.95" customHeight="1">
      <c r="A119" s="469"/>
      <c r="B119" s="103" t="s">
        <v>161</v>
      </c>
      <c r="G119" s="361"/>
      <c r="H119" s="746"/>
      <c r="M119" s="48"/>
      <c r="N119" s="122" t="s">
        <v>162</v>
      </c>
      <c r="O119" s="48"/>
      <c r="P119" s="48"/>
      <c r="Q119" s="48"/>
      <c r="R119" s="48"/>
      <c r="S119" s="82">
        <f t="shared" ref="S119" si="354">E119*G119</f>
        <v>0</v>
      </c>
      <c r="T119" s="540"/>
      <c r="U119" s="83"/>
      <c r="V119" s="100" t="b">
        <f>IF(G119&gt;0,IF(AD119="me","",G119))</f>
        <v>0</v>
      </c>
      <c r="W119" s="100"/>
      <c r="X119" s="100"/>
      <c r="Y119" s="201"/>
      <c r="Z119" s="829" t="str">
        <f t="shared" si="297"/>
        <v/>
      </c>
      <c r="AA119" s="829"/>
      <c r="AB119" s="830" t="str">
        <f>IF(G119=0,"",IF(AD119="free","re-planting",IF(AD119="me","not NVP, by",IF($AD$8="yes",(VLOOKUP(A119,'Discount Lookup'!J:K,2)*G119*(1-$AC$1786)*(1+$AC$1788)),IF(AD119="NVP",(VLOOKUP(A119,'Discount Lookup'!J:K,2)*G119*(1-$AC$1786)*(1+$AC$1788)),IF(AD119="free","re-planting",IF(G119=0,"",IF($AD$8="",IF(AD119="me","not NVP, by",IF(AD119="",IF(G119&gt;0,(VLOOKUP(A119,'Discount Lookup'!J:K,2)*G119*(1-$AC$1786)*(1+$AC$1788)),""),"")),"not NVP, by"))))))))</f>
        <v/>
      </c>
      <c r="AC119" s="830"/>
      <c r="AD119" s="375" t="str">
        <f t="shared" si="322"/>
        <v/>
      </c>
      <c r="AE119" s="833" t="str">
        <f t="shared" si="182"/>
        <v/>
      </c>
      <c r="AF119" s="833"/>
      <c r="AG119" s="833"/>
      <c r="AH119" s="91">
        <f>IF(AD119="free",0,IF(AD119="me",0,IF(G119&gt;0,(VLOOKUP(A119,'Discount Lookup'!J:K,2)*G119),0)))</f>
        <v>0</v>
      </c>
      <c r="AI119" s="92" t="str">
        <f t="shared" si="236"/>
        <v/>
      </c>
      <c r="AJ119" s="828" t="str">
        <f t="shared" si="298"/>
        <v/>
      </c>
      <c r="AK119" s="828"/>
      <c r="AL119" s="313" t="str">
        <f t="shared" si="196"/>
        <v/>
      </c>
      <c r="AM119" s="312"/>
      <c r="AN119" s="101"/>
      <c r="AO119" s="101"/>
      <c r="AP119" s="101"/>
      <c r="AQ119" s="101"/>
      <c r="AR119" s="101"/>
      <c r="AS119" s="101"/>
      <c r="AT119" s="101"/>
    </row>
    <row r="120" spans="1:46" ht="12.95" customHeight="1">
      <c r="A120" s="893" t="s">
        <v>173</v>
      </c>
      <c r="B120" s="848"/>
      <c r="C120" s="848"/>
      <c r="D120" s="848"/>
      <c r="E120" s="848"/>
      <c r="F120" s="848"/>
      <c r="G120" s="848"/>
      <c r="H120" s="777" t="s">
        <v>164</v>
      </c>
      <c r="I120" s="88" t="s">
        <v>174</v>
      </c>
      <c r="J120" s="86"/>
      <c r="K120" s="603" t="s">
        <v>45</v>
      </c>
      <c r="L120" s="601" t="s">
        <v>46</v>
      </c>
      <c r="M120" s="86"/>
      <c r="N120" s="87" t="s">
        <v>69</v>
      </c>
      <c r="O120" s="87"/>
      <c r="P120" s="87"/>
      <c r="Q120" s="87"/>
      <c r="R120" s="86"/>
      <c r="S120" s="125"/>
      <c r="T120" s="543"/>
      <c r="U120" s="112"/>
      <c r="V120" s="100" t="b">
        <f>IF(G120&gt;0,IF(AD120="me","",G120))</f>
        <v>0</v>
      </c>
      <c r="W120" s="100"/>
      <c r="X120" s="100"/>
      <c r="Y120" s="201"/>
      <c r="Z120" s="838" t="str">
        <f>IF(G120=0,"",IF(AD120="me","",IF($AD$8="me","",IF(AD120="free","warranty",IF($AD$8="yes","NVP planting:","to NVP install:")))))</f>
        <v/>
      </c>
      <c r="AA120" s="838"/>
      <c r="AB120" s="830" t="str">
        <f>IF(G120=0,"",IF(AD120="free","re-planting",IF(AD120="me","not NVP, by",IF($AD$8="yes",(VLOOKUP(A120,'Discount Lookup'!J:K,2)*G120*(1-$AC$1786)*(1+$AC$1788)),IF(AD120="NVP",(VLOOKUP(A120,'Discount Lookup'!J:K,2)*G120*(1-$AC$1786)*(1+$AC$1788)),IF(AD120="free","re-planting",IF(G120=0,"",IF($AD$8="",IF(AD120="me","not NVP, by",IF(AD120="",IF(G120&gt;0,(VLOOKUP(A120,'Discount Lookup'!J:K,2)*G120*(1-$AC$1786)*(1+$AC$1788)),""),"")),"not NVP, by"))))))))</f>
        <v/>
      </c>
      <c r="AC120" s="830"/>
      <c r="AD120" s="375" t="str">
        <f>IF(G120=0,"",IF($AD$8="me","me",IF(H120="warranty","free",IF($AD$8="yes","NVP",""))))</f>
        <v/>
      </c>
      <c r="AE120" s="833" t="str">
        <f>IF(G120&gt;0,(CONCATENATE((G120)," quantity, ",(A120)," ",B120)),"")</f>
        <v/>
      </c>
      <c r="AF120" s="833"/>
      <c r="AG120" s="833"/>
      <c r="AH120" s="91" t="s">
        <v>109</v>
      </c>
      <c r="AI120" s="92" t="str">
        <f>IF(AD120="free",(K120*(1-$H$1784)),IF(G120=0,"",IF($AD$8="",IF(G120=0,"",IF(AD120="me",(K120*(1-$H$1784)),(K120*(1-$H$1784))+AB120)),IF(K120="Images","",IF(K120=0,"",(K120*(1-$H$1784)))))))</f>
        <v/>
      </c>
      <c r="AJ120" s="828" t="str">
        <f>IF(G120=0,"",IF(AD120="me","  delivery-only",CONCATENATE(" $",ROUND(AI120/G120,2)," each")))</f>
        <v/>
      </c>
      <c r="AK120" s="828"/>
      <c r="AL120" s="313" t="str">
        <f t="shared" si="196"/>
        <v/>
      </c>
      <c r="AM120" s="312"/>
      <c r="AN120" s="101"/>
      <c r="AO120" s="101"/>
      <c r="AP120" s="101"/>
      <c r="AQ120" s="101"/>
      <c r="AR120" s="101"/>
      <c r="AS120" s="101"/>
      <c r="AT120" s="101"/>
    </row>
    <row r="121" spans="1:46" ht="12.95" customHeight="1">
      <c r="A121" s="447">
        <v>7</v>
      </c>
      <c r="B121" s="87" t="s">
        <v>50</v>
      </c>
      <c r="C121" s="128" t="s">
        <v>88</v>
      </c>
      <c r="D121" s="129" t="s">
        <v>87</v>
      </c>
      <c r="E121" s="98">
        <v>153.94999999999999</v>
      </c>
      <c r="F121" s="705" t="s">
        <v>1306</v>
      </c>
      <c r="G121" s="357">
        <v>0</v>
      </c>
      <c r="H121" s="704" t="str">
        <f>IF(G121=0,"",IF(F121="Qty=",IF(G121=1,"plant","plants"),IF(F121&gt;0.0001,"warranty","Error")))</f>
        <v/>
      </c>
      <c r="I121" s="98">
        <f>IF(F121="Qty=",(E121*G121),((E121*(1-F121))*G121))</f>
        <v>0</v>
      </c>
      <c r="J121" s="98">
        <f>IF(H121="warranty",0,(I121*($J$1782)))</f>
        <v>0</v>
      </c>
      <c r="K121" s="831">
        <f>I121+J121</f>
        <v>0</v>
      </c>
      <c r="L121" s="831"/>
      <c r="M121" s="832" t="str">
        <f>IF($H$1784=0,"",IF(G121=0,"",IF(F121="Qty=",CONCATENATE("$",ROUND(K121*(1-$H$1784),2)," with ",($H$1784*100),"% discount"),CONCATENATE("$",ROUND(K121*(1-$H$1784),2)," with ",(($H$1784*100+F121*100)-($H$1784*100*F121)),IF(F121&gt;0,"% discounts",IF($H$1781&gt;0,"% discounts","% discount"))))))</f>
        <v/>
      </c>
      <c r="N121" s="832"/>
      <c r="O121" s="832"/>
      <c r="P121" s="832"/>
      <c r="Q121" s="832"/>
      <c r="R121" s="832"/>
      <c r="S121" s="303">
        <f>E121*G121</f>
        <v>0</v>
      </c>
      <c r="T121" s="541">
        <f>VLOOKUP(A121,'Discount Lookup'!D:E,2,FALSE)*G121</f>
        <v>0</v>
      </c>
      <c r="U121" s="83">
        <f>VLOOKUP(A121,'Discount Lookup'!G:H,2,FALSE)*G121</f>
        <v>0</v>
      </c>
      <c r="V121" s="100">
        <f>E121*($J$1782)*G121</f>
        <v>0</v>
      </c>
      <c r="W121" s="100">
        <f>I121</f>
        <v>0</v>
      </c>
      <c r="X121" s="100" t="b">
        <f>IF(G121&gt;0,IF(AD121="me","",G121))</f>
        <v>0</v>
      </c>
      <c r="Y121" s="201"/>
      <c r="Z121" s="838" t="str">
        <f>IF(G121=0,"",IF(AD121="me","",IF($AD$8="me","",IF(AD121="free","warranty",IF($AD$8="yes","NVP planting:","to NVP install:")))))</f>
        <v/>
      </c>
      <c r="AA121" s="838"/>
      <c r="AB121" s="830" t="str">
        <f>IF(G121=0,"",IF(AD121="free","re-planting",IF(AD121="me","not NVP, by",IF($AD$8="yes",(VLOOKUP(A121,'Discount Lookup'!J:K,2)*G121*(1-$AC$1786)*(1+$AC$1788)),IF(AD121="NVP",(VLOOKUP(A121,'Discount Lookup'!J:K,2)*G121*(1-$AC$1786)*(1+$AC$1788)),IF(AD121="free","re-planting",IF(G121=0,"",IF($AD$8="",IF(AD121="me","not NVP, by",IF(AD121="",IF(G121&gt;0,(VLOOKUP(A121,'Discount Lookup'!J:K,2)*G121*(1-$AC$1786)*(1+$AC$1788)),""),"")),"not NVP, by"))))))))</f>
        <v/>
      </c>
      <c r="AC121" s="830"/>
      <c r="AD121" s="375" t="str">
        <f>IF(G121=0,"",IF($AD$8="me","me",IF(H121="warranty","free",IF($AD$8="yes","NVP",""))))</f>
        <v/>
      </c>
      <c r="AE121" s="833" t="str">
        <f>IF(G121&gt;0,(CONCATENATE((G121)," quantity, ",(A121)," ",B121)),"")</f>
        <v/>
      </c>
      <c r="AF121" s="833"/>
      <c r="AG121" s="833"/>
      <c r="AH121" s="91" t="str">
        <f>IF(AD121="free",0,IF(AD121="me","",IF(G121&gt;0,(VLOOKUP(A121,'Discount Lookup'!J:K,2)*G121),"")))</f>
        <v/>
      </c>
      <c r="AI121" s="92" t="str">
        <f>IF(G121=0,"",IF(AD121="free",(K121*(1-$H$1784)),IF($AD$8="me",(K121*(1-$H$1784)),IF(AD121="me",(K121*(1-$H$1784)),(K121*(1-$H$1784))+AB121))))</f>
        <v/>
      </c>
      <c r="AJ121" s="828" t="str">
        <f>IF(G121=0,"",IF(AD121="me","  delivery-only",CONCATENATE(" $",ROUND(AI121/G121,2)," each")))</f>
        <v/>
      </c>
      <c r="AK121" s="828"/>
      <c r="AL121" s="313" t="str">
        <f t="shared" si="196"/>
        <v/>
      </c>
      <c r="AM121" s="312"/>
      <c r="AN121" s="101"/>
      <c r="AO121" s="101"/>
      <c r="AP121" s="101"/>
      <c r="AQ121" s="101"/>
      <c r="AR121" s="101"/>
      <c r="AS121" s="101"/>
      <c r="AT121" s="101"/>
    </row>
    <row r="122" spans="1:46" ht="12.95" customHeight="1">
      <c r="A122" s="504"/>
      <c r="B122" s="103" t="s">
        <v>175</v>
      </c>
      <c r="C122" s="130"/>
      <c r="D122" s="104"/>
      <c r="E122" s="131"/>
      <c r="F122" s="710"/>
      <c r="G122" s="356"/>
      <c r="H122" s="744"/>
      <c r="I122" s="131"/>
      <c r="J122" s="141"/>
      <c r="K122" s="627"/>
      <c r="L122" s="627"/>
      <c r="M122" s="121"/>
      <c r="N122" s="122" t="s">
        <v>162</v>
      </c>
      <c r="O122" s="123"/>
      <c r="P122" s="124"/>
      <c r="Q122" s="124"/>
      <c r="R122" s="83"/>
      <c r="S122" s="82"/>
      <c r="T122" s="540"/>
      <c r="U122" s="83"/>
      <c r="V122" s="100"/>
      <c r="W122" s="100"/>
      <c r="X122" s="100"/>
      <c r="Y122" s="201"/>
      <c r="Z122" s="838" t="str">
        <f>IF(G122=0,"",IF(AD122="me","",IF($AD$8="me","",IF(AD122="free","warranty",IF($AD$8="yes","NVP planting:","to NVP install:")))))</f>
        <v/>
      </c>
      <c r="AA122" s="838"/>
      <c r="AB122" s="830" t="str">
        <f>IF(G122=0,"",IF(AD122="free","re-planting",IF(AD122="me","not NVP, by",IF($AD$8="yes",(VLOOKUP(A122,'Discount Lookup'!J:K,2)*G122*(1-$AC$1786)*(1+$AC$1788)),IF(AD122="NVP",(VLOOKUP(A122,'Discount Lookup'!J:K,2)*G122*(1-$AC$1786)*(1+$AC$1788)),IF(AD122="free","re-planting",IF(G122=0,"",IF($AD$8="",IF(AD122="me","not NVP, by",IF(AD122="",IF(G122&gt;0,(VLOOKUP(A122,'Discount Lookup'!J:K,2)*G122*(1-$AC$1786)*(1+$AC$1788)),""),"")),"not NVP, by"))))))))</f>
        <v/>
      </c>
      <c r="AC122" s="830"/>
      <c r="AD122" s="375" t="str">
        <f>IF(G122=0,"",IF($AD$8="me","me",IF(H122="warranty","free",IF($AD$8="yes","NVP",""))))</f>
        <v/>
      </c>
      <c r="AE122" s="833" t="str">
        <f>IF(G122&gt;0,(CONCATENATE((G122)," quantity, ",(A122)," ",B122)),"")</f>
        <v/>
      </c>
      <c r="AF122" s="833"/>
      <c r="AG122" s="833"/>
      <c r="AH122" s="91" t="s">
        <v>109</v>
      </c>
      <c r="AI122" s="92" t="str">
        <f>IF(AD122="free",(K122*(1-$H$1784)),IF(G122=0,"",IF($AD$8="",IF(G122=0,"",IF(AD122="me",(K122*(1-$H$1784)),(K122*(1-$H$1784))+AB122)),IF(K122="Images","",IF(K122=0,"",(K122*(1-$H$1784)))))))</f>
        <v/>
      </c>
      <c r="AJ122" s="828" t="str">
        <f>IF(G122=0,"",IF(AD122="me","  delivery-only",CONCATENATE(" $",ROUND(AI122/G122,2)," each")))</f>
        <v/>
      </c>
      <c r="AK122" s="828"/>
      <c r="AL122" s="313" t="str">
        <f t="shared" si="196"/>
        <v/>
      </c>
      <c r="AM122" s="312"/>
      <c r="AN122" s="101"/>
      <c r="AO122" s="101"/>
      <c r="AP122" s="101"/>
      <c r="AQ122" s="101"/>
      <c r="AR122" s="101"/>
      <c r="AS122" s="101"/>
      <c r="AT122" s="101"/>
    </row>
    <row r="123" spans="1:46" ht="12.95" customHeight="1">
      <c r="A123" s="852" t="s">
        <v>163</v>
      </c>
      <c r="B123" s="844"/>
      <c r="C123" s="844"/>
      <c r="D123" s="844"/>
      <c r="E123" s="844"/>
      <c r="F123" s="844"/>
      <c r="G123" s="844"/>
      <c r="H123" s="770" t="s">
        <v>164</v>
      </c>
      <c r="I123" s="88" t="s">
        <v>79</v>
      </c>
      <c r="J123" s="86"/>
      <c r="K123" s="600" t="s">
        <v>45</v>
      </c>
      <c r="L123" s="601" t="s">
        <v>46</v>
      </c>
      <c r="M123" s="86"/>
      <c r="N123" s="87" t="s">
        <v>128</v>
      </c>
      <c r="O123" s="87"/>
      <c r="P123" s="87"/>
      <c r="Q123" s="87"/>
      <c r="R123" s="86"/>
      <c r="S123" s="125"/>
      <c r="T123" s="543"/>
      <c r="U123" s="112"/>
      <c r="V123" s="100" t="b">
        <f>IF(G123&gt;0,IF(AD123="me","",G123))</f>
        <v>0</v>
      </c>
      <c r="W123" s="100"/>
      <c r="X123" s="100"/>
      <c r="Y123" s="201"/>
      <c r="Z123" s="829" t="str">
        <f t="shared" si="297"/>
        <v/>
      </c>
      <c r="AA123" s="829"/>
      <c r="AB123" s="830" t="str">
        <f>IF(G123=0,"",IF(AD123="free","re-planting",IF(AD123="me","not NVP, by",IF($AD$8="yes",(VLOOKUP(A123,'Discount Lookup'!J:K,2)*G123*(1-$AC$1786)*(1+$AC$1788)),IF(AD123="NVP",(VLOOKUP(A123,'Discount Lookup'!J:K,2)*G123*(1-$AC$1786)*(1+$AC$1788)),IF(AD123="free","re-planting",IF(G123=0,"",IF($AD$8="",IF(AD123="me","not NVP, by",IF(AD123="",IF(G123&gt;0,(VLOOKUP(A123,'Discount Lookup'!J:K,2)*G123*(1-$AC$1786)*(1+$AC$1788)),""),"")),"not NVP, by"))))))))</f>
        <v/>
      </c>
      <c r="AC123" s="830"/>
      <c r="AD123" s="375" t="str">
        <f t="shared" si="322"/>
        <v/>
      </c>
      <c r="AE123" s="833" t="str">
        <f t="shared" si="182"/>
        <v/>
      </c>
      <c r="AF123" s="833"/>
      <c r="AG123" s="833"/>
      <c r="AH123" s="91">
        <f>IF(AD123="free",0,IF(AD123="me",0,IF(G123&gt;0,(VLOOKUP(A123,'Discount Lookup'!J:K,2)*G123),0)))</f>
        <v>0</v>
      </c>
      <c r="AI123" s="92" t="str">
        <f t="shared" ref="AI123:AI186" si="355">IF(G123=0,"",IF(AD123="free",(K123*(1-$H$1784)),IF($AD$8="me",(K123*(1-$H$1784)),IF(AD123="me",(K123*(1-$H$1784)),(K123*(1-$H$1784))+AB123))))</f>
        <v/>
      </c>
      <c r="AJ123" s="828" t="str">
        <f t="shared" si="298"/>
        <v/>
      </c>
      <c r="AK123" s="828"/>
      <c r="AL123" s="313" t="str">
        <f t="shared" si="196"/>
        <v/>
      </c>
      <c r="AM123" s="312"/>
      <c r="AN123" s="101"/>
      <c r="AO123" s="101"/>
      <c r="AP123" s="101"/>
      <c r="AQ123" s="101"/>
      <c r="AR123" s="101"/>
      <c r="AS123" s="101"/>
      <c r="AT123" s="101"/>
    </row>
    <row r="124" spans="1:46" ht="12.95" customHeight="1">
      <c r="A124" s="419">
        <v>15</v>
      </c>
      <c r="B124" s="87" t="s">
        <v>50</v>
      </c>
      <c r="C124" s="128" t="s">
        <v>88</v>
      </c>
      <c r="D124" s="129" t="s">
        <v>90</v>
      </c>
      <c r="E124" s="98">
        <v>199.95</v>
      </c>
      <c r="F124" s="705" t="s">
        <v>1306</v>
      </c>
      <c r="G124" s="357">
        <v>0</v>
      </c>
      <c r="H124" s="704" t="str">
        <f>IF(G124=0,"",IF(F124="Qty=",IF(G124=1,"plant","plants"),IF(F124&gt;0.0001,"warranty","Error")))</f>
        <v/>
      </c>
      <c r="I124" s="98">
        <f>IF(F124="Qty=",(E124*G124),((E124*(1-F124))*G124))</f>
        <v>0</v>
      </c>
      <c r="J124" s="98">
        <f>IF(H124="warranty",0,(I124*($J$1782)))</f>
        <v>0</v>
      </c>
      <c r="K124" s="831">
        <f t="shared" ref="K124" si="356">I124+J124</f>
        <v>0</v>
      </c>
      <c r="L124" s="831"/>
      <c r="M124" s="832" t="str">
        <f>IF($H$1784=0,"",IF(G124=0,"",IF(F124="Qty=",CONCATENATE("$",ROUND(K124*(1-$H$1784),2)," with ",($H$1784*100),"% discount"),CONCATENATE("$",ROUND(K124*(1-$H$1784),2)," with ",(($H$1784*100+F124*100)-($H$1784*100*F124)),IF(F124&gt;0,"% discounts",IF($H$1781&gt;0,"% discounts","% discount"))))))</f>
        <v/>
      </c>
      <c r="N124" s="832"/>
      <c r="O124" s="832"/>
      <c r="P124" s="832"/>
      <c r="Q124" s="832"/>
      <c r="R124" s="832"/>
      <c r="S124" s="303">
        <f>E124*G124</f>
        <v>0</v>
      </c>
      <c r="T124" s="541">
        <f>VLOOKUP(A124,'Discount Lookup'!D:E,2,FALSE)*G124</f>
        <v>0</v>
      </c>
      <c r="U124" s="83">
        <f>VLOOKUP(A124,'Discount Lookup'!G:H,2,FALSE)*G124</f>
        <v>0</v>
      </c>
      <c r="V124" s="100">
        <f>E124*($J$1782)*G124</f>
        <v>0</v>
      </c>
      <c r="W124" s="100">
        <f>I124</f>
        <v>0</v>
      </c>
      <c r="X124" s="100" t="b">
        <f>IF(G124&gt;0,IF(AD124="me","",G124))</f>
        <v>0</v>
      </c>
      <c r="Y124" s="201"/>
      <c r="Z124" s="829" t="str">
        <f>IF(G124=0,"",IF(AD124="me","",IF($AD$8="me","",IF(AD124="free","warranty",IF($AD$8="yes","NVP planting:","to NVP install:")))))</f>
        <v/>
      </c>
      <c r="AA124" s="829"/>
      <c r="AB124" s="830" t="str">
        <f>IF(G124=0,"",IF(AD124="free","re-planting",IF(AD124="me","not NVP, by",IF($AD$8="yes",(VLOOKUP(A124,'Discount Lookup'!J:K,2)*G124*(1-$AC$1786)*(1+$AC$1788)),IF(AD124="NVP",(VLOOKUP(A124,'Discount Lookup'!J:K,2)*G124*(1-$AC$1786)*(1+$AC$1788)),IF(AD124="free","re-planting",IF(G124=0,"",IF($AD$8="",IF(AD124="me","not NVP, by",IF(AD124="",IF(G124&gt;0,(VLOOKUP(A124,'Discount Lookup'!J:K,2)*G124*(1-$AC$1786)*(1+$AC$1788)),""),"")),"not NVP, by"))))))))</f>
        <v/>
      </c>
      <c r="AC124" s="830"/>
      <c r="AD124" s="375" t="str">
        <f t="shared" si="322"/>
        <v/>
      </c>
      <c r="AE124" s="833" t="str">
        <f>IF(G124&gt;0,(CONCATENATE((G124)," quantity, ",(A124)," ",B124)),"")</f>
        <v/>
      </c>
      <c r="AF124" s="833"/>
      <c r="AG124" s="833"/>
      <c r="AH124" s="91">
        <f>IF(AD124="free",0,IF(AD124="me",0,IF(G124&gt;0,(VLOOKUP(A124,'Discount Lookup'!J:K,2)*G124),0)))</f>
        <v>0</v>
      </c>
      <c r="AI124" s="92" t="str">
        <f t="shared" si="355"/>
        <v/>
      </c>
      <c r="AJ124" s="828" t="str">
        <f>IF(G124=0,"",IF(AD124="me","  delivery-only",IF($AD$8="me","  delivery-only",CONCATENATE(" $",ROUND(AI124/G124,2)," each"))))</f>
        <v/>
      </c>
      <c r="AK124" s="828"/>
      <c r="AL124" s="313" t="str">
        <f t="shared" si="196"/>
        <v/>
      </c>
      <c r="AM124" s="312"/>
      <c r="AN124" s="101"/>
      <c r="AO124" s="101"/>
      <c r="AP124" s="101"/>
      <c r="AQ124" s="101"/>
      <c r="AR124" s="101"/>
      <c r="AS124" s="101"/>
      <c r="AT124" s="101"/>
    </row>
    <row r="125" spans="1:46" ht="12.95" customHeight="1">
      <c r="A125" s="465"/>
      <c r="B125" s="103" t="s">
        <v>165</v>
      </c>
      <c r="C125" s="396"/>
      <c r="D125" s="146"/>
      <c r="E125" s="398"/>
      <c r="F125" s="710"/>
      <c r="G125" s="356"/>
      <c r="H125" s="744"/>
      <c r="I125" s="131"/>
      <c r="J125" s="131"/>
      <c r="K125" s="608"/>
      <c r="L125" s="608"/>
      <c r="O125" s="123"/>
      <c r="P125" s="124"/>
      <c r="Q125" s="124"/>
      <c r="R125" s="48"/>
      <c r="S125" s="48"/>
      <c r="T125" s="546"/>
      <c r="V125" s="100" t="b">
        <f>IF(G125&gt;0,IF(AD125="me","",G125))</f>
        <v>0</v>
      </c>
      <c r="W125" s="100"/>
      <c r="X125" s="100"/>
      <c r="Y125" s="201"/>
      <c r="Z125" s="829" t="str">
        <f t="shared" si="297"/>
        <v/>
      </c>
      <c r="AA125" s="829"/>
      <c r="AB125" s="830" t="str">
        <f>IF(G125=0,"",IF(AD125="free","re-planting",IF(AD125="me","not NVP, by",IF($AD$8="yes",(VLOOKUP(A125,'Discount Lookup'!J:K,2)*G125*(1-$AC$1786)*(1+$AC$1788)),IF(AD125="NVP",(VLOOKUP(A125,'Discount Lookup'!J:K,2)*G125*(1-$AC$1786)*(1+$AC$1788)),IF(AD125="free","re-planting",IF(G125=0,"",IF($AD$8="",IF(AD125="me","not NVP, by",IF(AD125="",IF(G125&gt;0,(VLOOKUP(A125,'Discount Lookup'!J:K,2)*G125*(1-$AC$1786)*(1+$AC$1788)),""),"")),"not NVP, by"))))))))</f>
        <v/>
      </c>
      <c r="AC125" s="830"/>
      <c r="AD125" s="375" t="str">
        <f t="shared" si="322"/>
        <v/>
      </c>
      <c r="AE125" s="833" t="str">
        <f t="shared" si="182"/>
        <v/>
      </c>
      <c r="AF125" s="833"/>
      <c r="AG125" s="833"/>
      <c r="AH125" s="91">
        <f>IF(AD125="free",0,IF(AD125="me",0,IF(G125&gt;0,(VLOOKUP(A125,'Discount Lookup'!J:K,2)*G125),0)))</f>
        <v>0</v>
      </c>
      <c r="AI125" s="92" t="str">
        <f t="shared" si="355"/>
        <v/>
      </c>
      <c r="AJ125" s="828" t="str">
        <f t="shared" si="298"/>
        <v/>
      </c>
      <c r="AK125" s="828"/>
      <c r="AL125" s="313" t="str">
        <f t="shared" si="196"/>
        <v/>
      </c>
      <c r="AM125" s="312"/>
      <c r="AN125" s="101"/>
      <c r="AO125" s="101"/>
      <c r="AP125" s="101"/>
      <c r="AQ125" s="101"/>
      <c r="AR125" s="101"/>
      <c r="AS125" s="101"/>
      <c r="AT125" s="101"/>
    </row>
    <row r="126" spans="1:46" ht="12.95" customHeight="1">
      <c r="A126" s="852" t="s">
        <v>166</v>
      </c>
      <c r="B126" s="844"/>
      <c r="C126" s="844"/>
      <c r="D126" s="844"/>
      <c r="E126" s="844"/>
      <c r="F126" s="844"/>
      <c r="G126" s="844"/>
      <c r="H126" s="770" t="s">
        <v>167</v>
      </c>
      <c r="I126" s="88" t="s">
        <v>79</v>
      </c>
      <c r="J126" s="86"/>
      <c r="K126" s="600" t="s">
        <v>45</v>
      </c>
      <c r="L126" s="601" t="s">
        <v>46</v>
      </c>
      <c r="M126" s="115"/>
      <c r="N126" s="87" t="s">
        <v>128</v>
      </c>
      <c r="O126" s="87"/>
      <c r="P126" s="87"/>
      <c r="Q126" s="87"/>
      <c r="R126" s="88"/>
      <c r="S126" s="125"/>
      <c r="T126" s="543"/>
      <c r="U126" s="112"/>
      <c r="V126" s="100" t="b">
        <f>IF(G126&gt;0,IF(AD126="me","",G126))</f>
        <v>0</v>
      </c>
      <c r="W126" s="100"/>
      <c r="X126" s="100"/>
      <c r="Y126" s="201"/>
      <c r="Z126" s="829" t="str">
        <f t="shared" si="297"/>
        <v/>
      </c>
      <c r="AA126" s="829"/>
      <c r="AB126" s="830" t="str">
        <f>IF(G126=0,"",IF(AD126="free","re-planting",IF(AD126="me","not NVP, by",IF($AD$8="yes",(VLOOKUP(A126,'Discount Lookup'!J:K,2)*G126*(1-$AC$1786)*(1+$AC$1788)),IF(AD126="NVP",(VLOOKUP(A126,'Discount Lookup'!J:K,2)*G126*(1-$AC$1786)*(1+$AC$1788)),IF(AD126="free","re-planting",IF(G126=0,"",IF($AD$8="",IF(AD126="me","not NVP, by",IF(AD126="",IF(G126&gt;0,(VLOOKUP(A126,'Discount Lookup'!J:K,2)*G126*(1-$AC$1786)*(1+$AC$1788)),""),"")),"not NVP, by"))))))))</f>
        <v/>
      </c>
      <c r="AC126" s="830"/>
      <c r="AD126" s="375" t="str">
        <f t="shared" si="322"/>
        <v/>
      </c>
      <c r="AE126" s="833" t="str">
        <f t="shared" si="182"/>
        <v/>
      </c>
      <c r="AF126" s="833"/>
      <c r="AG126" s="833"/>
      <c r="AH126" s="91">
        <f>IF(AD126="free",0,IF(AD126="me",0,IF(G126&gt;0,(VLOOKUP(A126,'Discount Lookup'!J:K,2)*G126),0)))</f>
        <v>0</v>
      </c>
      <c r="AI126" s="92" t="str">
        <f t="shared" si="355"/>
        <v/>
      </c>
      <c r="AJ126" s="828" t="str">
        <f t="shared" si="298"/>
        <v/>
      </c>
      <c r="AK126" s="828"/>
      <c r="AL126" s="313" t="str">
        <f t="shared" si="196"/>
        <v/>
      </c>
      <c r="AM126" s="312"/>
      <c r="AN126" s="101"/>
      <c r="AO126" s="101"/>
      <c r="AP126" s="101"/>
      <c r="AQ126" s="101"/>
      <c r="AR126" s="101"/>
      <c r="AS126" s="101"/>
      <c r="AT126" s="101"/>
    </row>
    <row r="127" spans="1:46" ht="12.95" customHeight="1">
      <c r="A127" s="419">
        <v>3</v>
      </c>
      <c r="B127" s="87" t="s">
        <v>50</v>
      </c>
      <c r="C127" s="399" t="s">
        <v>556</v>
      </c>
      <c r="D127" s="129" t="s">
        <v>87</v>
      </c>
      <c r="E127" s="98">
        <v>26.95</v>
      </c>
      <c r="F127" s="705" t="s">
        <v>1306</v>
      </c>
      <c r="G127" s="357">
        <v>0</v>
      </c>
      <c r="H127" s="704" t="str">
        <f t="shared" ref="H127:H129" si="357">IF(G127=0,"",IF(F127="Qty=",IF(G127=1,"plant","plants"),IF(F127&gt;0.0001,"warranty","Error")))</f>
        <v/>
      </c>
      <c r="I127" s="98">
        <f t="shared" ref="I127:I129" si="358">IF(F127="Qty=",(E127*G127),((E127*(1-F127))*G127))</f>
        <v>0</v>
      </c>
      <c r="J127" s="98">
        <f>IF(H127="warranty",0,(I127*($J$1782)))</f>
        <v>0</v>
      </c>
      <c r="K127" s="831">
        <f t="shared" ref="K127:K129" si="359">I127+J127</f>
        <v>0</v>
      </c>
      <c r="L127" s="831"/>
      <c r="M127" s="832" t="str">
        <f>IF($H$1784=0,"",IF(G127=0,"",IF(F127="Qty=",CONCATENATE("$",ROUND(K127*(1-$H$1784),2)," with ",($H$1784*100),"% discount"),CONCATENATE("$",ROUND(K127*(1-$H$1784),2)," with ",(($H$1784*100+F127*100)-($H$1784*100*F127)),IF(F127&gt;0,"% discounts",IF($H$1781&gt;0,"% discounts","% discount"))))))</f>
        <v/>
      </c>
      <c r="N127" s="832"/>
      <c r="O127" s="832"/>
      <c r="P127" s="832"/>
      <c r="Q127" s="832"/>
      <c r="R127" s="832"/>
      <c r="S127" s="303">
        <f t="shared" ref="S127" si="360">E127*G127</f>
        <v>0</v>
      </c>
      <c r="T127" s="541">
        <f>VLOOKUP(A127,'Discount Lookup'!D:E,2,FALSE)*G127</f>
        <v>0</v>
      </c>
      <c r="U127" s="83">
        <f>VLOOKUP(A127,'Discount Lookup'!G:H,2,FALSE)*G127</f>
        <v>0</v>
      </c>
      <c r="V127" s="100">
        <f>E127*($J$1782)*G127</f>
        <v>0</v>
      </c>
      <c r="W127" s="100">
        <f t="shared" ref="W127" si="361">I127</f>
        <v>0</v>
      </c>
      <c r="X127" s="100" t="b">
        <f t="shared" ref="X127:X129" si="362">IF(G127&gt;0,IF(AD127="me","",G127))</f>
        <v>0</v>
      </c>
      <c r="Y127" s="201"/>
      <c r="Z127" s="829" t="str">
        <f t="shared" si="297"/>
        <v/>
      </c>
      <c r="AA127" s="829"/>
      <c r="AB127" s="830" t="str">
        <f>IF(G127=0,"",IF(AD127="free","re-planting",IF(AD127="me","not NVP, by",IF($AD$8="yes",(VLOOKUP(A127,'Discount Lookup'!J:K,2)*G127*(1-$AC$1786)*(1+$AC$1788)),IF(AD127="NVP",(VLOOKUP(A127,'Discount Lookup'!J:K,2)*G127*(1-$AC$1786)*(1+$AC$1788)),IF(AD127="free","re-planting",IF(G127=0,"",IF($AD$8="",IF(AD127="me","not NVP, by",IF(AD127="",IF(G127&gt;0,(VLOOKUP(A127,'Discount Lookup'!J:K,2)*G127*(1-$AC$1786)*(1+$AC$1788)),""),"")),"not NVP, by"))))))))</f>
        <v/>
      </c>
      <c r="AC127" s="830"/>
      <c r="AD127" s="375" t="str">
        <f t="shared" si="322"/>
        <v/>
      </c>
      <c r="AE127" s="833" t="str">
        <f t="shared" si="182"/>
        <v/>
      </c>
      <c r="AF127" s="833"/>
      <c r="AG127" s="833"/>
      <c r="AH127" s="91">
        <f>IF(AD127="free",0,IF(AD127="me",0,IF(G127&gt;0,(VLOOKUP(A127,'Discount Lookup'!J:K,2)*G127),0)))</f>
        <v>0</v>
      </c>
      <c r="AI127" s="92" t="str">
        <f t="shared" si="355"/>
        <v/>
      </c>
      <c r="AJ127" s="828" t="str">
        <f t="shared" si="298"/>
        <v/>
      </c>
      <c r="AK127" s="828"/>
      <c r="AL127" s="313" t="str">
        <f t="shared" si="196"/>
        <v/>
      </c>
      <c r="AM127" s="312"/>
      <c r="AN127" s="101"/>
      <c r="AO127" s="101"/>
      <c r="AP127" s="101"/>
      <c r="AQ127" s="101"/>
      <c r="AR127" s="101"/>
      <c r="AS127" s="101"/>
      <c r="AT127" s="101"/>
    </row>
    <row r="128" spans="1:46" ht="12.95" customHeight="1">
      <c r="A128" s="419">
        <v>7</v>
      </c>
      <c r="B128" s="87" t="s">
        <v>50</v>
      </c>
      <c r="C128" s="128" t="s">
        <v>1233</v>
      </c>
      <c r="D128" s="129" t="s">
        <v>54</v>
      </c>
      <c r="E128" s="98">
        <v>86.95</v>
      </c>
      <c r="F128" s="705" t="s">
        <v>1306</v>
      </c>
      <c r="G128" s="357">
        <v>0</v>
      </c>
      <c r="H128" s="704" t="str">
        <f t="shared" si="357"/>
        <v/>
      </c>
      <c r="I128" s="98">
        <f t="shared" si="358"/>
        <v>0</v>
      </c>
      <c r="J128" s="98">
        <f>IF(H128="warranty",0,(I128*($J$1782)))</f>
        <v>0</v>
      </c>
      <c r="K128" s="831">
        <f t="shared" si="359"/>
        <v>0</v>
      </c>
      <c r="L128" s="831"/>
      <c r="M128" s="832" t="str">
        <f>IF($H$1784=0,"",IF(G128=0,"",IF(F128="Qty=",CONCATENATE("$",ROUND(K128*(1-$H$1784),2)," with ",($H$1784*100),"% discount"),CONCATENATE("$",ROUND(K128*(1-$H$1784),2)," with ",(($H$1784*100+F128*100)-($H$1784*100*F128)),IF(F128&gt;0,"% discounts",IF($H$1781&gt;0,"% discounts","% discount"))))))</f>
        <v/>
      </c>
      <c r="N128" s="832"/>
      <c r="O128" s="832"/>
      <c r="P128" s="832"/>
      <c r="Q128" s="832"/>
      <c r="R128" s="832"/>
      <c r="S128" s="303">
        <f t="shared" ref="S128" si="363">E128*G128</f>
        <v>0</v>
      </c>
      <c r="T128" s="541">
        <f>VLOOKUP(A128,'Discount Lookup'!D:E,2,FALSE)*G128</f>
        <v>0</v>
      </c>
      <c r="U128" s="83">
        <f>VLOOKUP(A128,'Discount Lookup'!G:H,2,FALSE)*G128</f>
        <v>0</v>
      </c>
      <c r="V128" s="100">
        <f>E128*($J$1782)*G128</f>
        <v>0</v>
      </c>
      <c r="W128" s="100">
        <f t="shared" ref="W128" si="364">I128</f>
        <v>0</v>
      </c>
      <c r="X128" s="100" t="b">
        <f t="shared" si="362"/>
        <v>0</v>
      </c>
      <c r="Y128" s="201"/>
      <c r="Z128" s="829" t="str">
        <f t="shared" ref="Z128:Z129" si="365">IF(G128=0,"",IF(AD128="me","",IF($AD$8="me","",IF(AD128="free","warranty",IF($AD$8="yes","NVP planting:","to NVP install:")))))</f>
        <v/>
      </c>
      <c r="AA128" s="829"/>
      <c r="AB128" s="830" t="str">
        <f>IF(G128=0,"",IF(AD128="free","re-planting",IF(AD128="me","not NVP, by",IF($AD$8="yes",(VLOOKUP(A128,'Discount Lookup'!J:K,2)*G128*(1-$AC$1786)*(1+$AC$1788)),IF(AD128="NVP",(VLOOKUP(A128,'Discount Lookup'!J:K,2)*G128*(1-$AC$1786)*(1+$AC$1788)),IF(AD128="free","re-planting",IF(G128=0,"",IF($AD$8="",IF(AD128="me","not NVP, by",IF(AD128="",IF(G128&gt;0,(VLOOKUP(A128,'Discount Lookup'!J:K,2)*G128*(1-$AC$1786)*(1+$AC$1788)),""),"")),"not NVP, by"))))))))</f>
        <v/>
      </c>
      <c r="AC128" s="830"/>
      <c r="AD128" s="375" t="str">
        <f t="shared" si="322"/>
        <v/>
      </c>
      <c r="AE128" s="833" t="str">
        <f t="shared" ref="AE128:AE129" si="366">IF(G128&gt;0,(CONCATENATE((G128)," quantity, ",(A128)," ",B128)),"")</f>
        <v/>
      </c>
      <c r="AF128" s="833"/>
      <c r="AG128" s="833"/>
      <c r="AH128" s="91">
        <f>IF(AD128="free",0,IF(AD128="me",0,IF(G128&gt;0,(VLOOKUP(A128,'Discount Lookup'!J:K,2)*G128),0)))</f>
        <v>0</v>
      </c>
      <c r="AI128" s="92" t="str">
        <f t="shared" si="355"/>
        <v/>
      </c>
      <c r="AJ128" s="828" t="str">
        <f t="shared" ref="AJ128:AJ129" si="367">IF(G128=0,"",IF(AD128="me","  delivery-only",IF($AD$8="me","  delivery-only",CONCATENATE(" $",ROUND(AI128/G128,2)," each"))))</f>
        <v/>
      </c>
      <c r="AK128" s="828"/>
      <c r="AL128" s="313" t="str">
        <f t="shared" si="196"/>
        <v/>
      </c>
      <c r="AM128" s="312"/>
      <c r="AN128" s="101"/>
      <c r="AO128" s="101"/>
      <c r="AP128" s="101"/>
      <c r="AQ128" s="101"/>
      <c r="AR128" s="101"/>
      <c r="AS128" s="101"/>
      <c r="AT128" s="101"/>
    </row>
    <row r="129" spans="1:46" ht="12.95" customHeight="1">
      <c r="A129" s="419">
        <v>10</v>
      </c>
      <c r="B129" s="87" t="s">
        <v>50</v>
      </c>
      <c r="C129" s="128" t="s">
        <v>1617</v>
      </c>
      <c r="D129" s="129" t="s">
        <v>90</v>
      </c>
      <c r="E129" s="98">
        <v>161.94999999999999</v>
      </c>
      <c r="F129" s="705" t="s">
        <v>1306</v>
      </c>
      <c r="G129" s="357">
        <v>0</v>
      </c>
      <c r="H129" s="704" t="str">
        <f t="shared" si="357"/>
        <v/>
      </c>
      <c r="I129" s="98">
        <f t="shared" si="358"/>
        <v>0</v>
      </c>
      <c r="J129" s="98">
        <f>IF(H129="warranty",0,(I129*($J$1782)))</f>
        <v>0</v>
      </c>
      <c r="K129" s="831">
        <f t="shared" si="359"/>
        <v>0</v>
      </c>
      <c r="L129" s="831"/>
      <c r="M129" s="832" t="str">
        <f>IF($H$1784=0,"",IF(G129=0,"",IF(F129="Qty=",CONCATENATE("$",ROUND(K129*(1-$H$1784),2)," with ",($H$1784*100),"% discount"),CONCATENATE("$",ROUND(K129*(1-$H$1784),2)," with ",(($H$1784*100+F129*100)-($H$1784*100*F129)),IF(F129&gt;0,"% discounts",IF($H$1781&gt;0,"% discounts","% discount"))))))</f>
        <v/>
      </c>
      <c r="N129" s="832"/>
      <c r="O129" s="832"/>
      <c r="P129" s="832"/>
      <c r="Q129" s="832"/>
      <c r="R129" s="832"/>
      <c r="S129" s="303">
        <f t="shared" ref="S129" si="368">E129*G129</f>
        <v>0</v>
      </c>
      <c r="T129" s="541">
        <f>VLOOKUP(A129,'Discount Lookup'!D:E,2,FALSE)*G129</f>
        <v>0</v>
      </c>
      <c r="U129" s="83">
        <f>VLOOKUP(A129,'Discount Lookup'!G:H,2,FALSE)*G129</f>
        <v>0</v>
      </c>
      <c r="V129" s="100">
        <f>E129*($J$1782)*G129</f>
        <v>0</v>
      </c>
      <c r="W129" s="100">
        <f t="shared" ref="W129" si="369">I129</f>
        <v>0</v>
      </c>
      <c r="X129" s="100" t="b">
        <f t="shared" si="362"/>
        <v>0</v>
      </c>
      <c r="Y129" s="201"/>
      <c r="Z129" s="829" t="str">
        <f t="shared" si="365"/>
        <v/>
      </c>
      <c r="AA129" s="829"/>
      <c r="AB129" s="830" t="str">
        <f>IF(G129=0,"",IF(AD129="free","re-planting",IF(AD129="me","not NVP, by",IF($AD$8="yes",(VLOOKUP(A129,'Discount Lookup'!J:K,2)*G129*(1-$AC$1786)*(1+$AC$1788)),IF(AD129="NVP",(VLOOKUP(A129,'Discount Lookup'!J:K,2)*G129*(1-$AC$1786)*(1+$AC$1788)),IF(AD129="free","re-planting",IF(G129=0,"",IF($AD$8="",IF(AD129="me","not NVP, by",IF(AD129="",IF(G129&gt;0,(VLOOKUP(A129,'Discount Lookup'!J:K,2)*G129*(1-$AC$1786)*(1+$AC$1788)),""),"")),"not NVP, by"))))))))</f>
        <v/>
      </c>
      <c r="AC129" s="830"/>
      <c r="AD129" s="375" t="str">
        <f t="shared" si="322"/>
        <v/>
      </c>
      <c r="AE129" s="833" t="str">
        <f t="shared" si="366"/>
        <v/>
      </c>
      <c r="AF129" s="833"/>
      <c r="AG129" s="833"/>
      <c r="AH129" s="91">
        <f>IF(AD129="free",0,IF(AD129="me",0,IF(G129&gt;0,(VLOOKUP(A129,'Discount Lookup'!J:K,2)*G129),0)))</f>
        <v>0</v>
      </c>
      <c r="AI129" s="92" t="str">
        <f t="shared" si="355"/>
        <v/>
      </c>
      <c r="AJ129" s="828" t="str">
        <f t="shared" si="367"/>
        <v/>
      </c>
      <c r="AK129" s="828"/>
      <c r="AL129" s="313" t="str">
        <f t="shared" si="196"/>
        <v/>
      </c>
      <c r="AM129" s="312"/>
      <c r="AN129" s="101"/>
      <c r="AO129" s="101"/>
      <c r="AP129" s="101"/>
      <c r="AQ129" s="101"/>
      <c r="AR129" s="101"/>
      <c r="AS129" s="101"/>
      <c r="AT129" s="101"/>
    </row>
    <row r="130" spans="1:46" ht="12.95" customHeight="1">
      <c r="A130" s="465"/>
      <c r="B130" s="103" t="s">
        <v>168</v>
      </c>
      <c r="C130" s="130"/>
      <c r="D130" s="104"/>
      <c r="E130" s="131"/>
      <c r="F130" s="710"/>
      <c r="G130" s="356"/>
      <c r="H130" s="744"/>
      <c r="I130" s="131"/>
      <c r="J130" s="131"/>
      <c r="K130" s="608"/>
      <c r="L130" s="608"/>
      <c r="M130" s="121"/>
      <c r="N130" s="119"/>
      <c r="O130" s="123"/>
      <c r="P130" s="124"/>
      <c r="Q130" s="841" t="s">
        <v>125</v>
      </c>
      <c r="R130" s="841"/>
      <c r="S130" s="841"/>
      <c r="T130" s="841"/>
      <c r="U130" s="841"/>
      <c r="V130" s="841"/>
      <c r="W130" s="286"/>
      <c r="X130" s="286"/>
      <c r="Y130" s="794"/>
      <c r="Z130" s="829" t="str">
        <f t="shared" si="297"/>
        <v/>
      </c>
      <c r="AA130" s="829"/>
      <c r="AB130" s="830" t="str">
        <f>IF(G130=0,"",IF(AD130="free","re-planting",IF(AD130="me","not NVP, by",IF($AD$8="yes",(VLOOKUP(A130,'Discount Lookup'!J:K,2)*G130*(1-$AC$1786)*(1+$AC$1788)),IF(AD130="NVP",(VLOOKUP(A130,'Discount Lookup'!J:K,2)*G130*(1-$AC$1786)*(1+$AC$1788)),IF(AD130="free","re-planting",IF(G130=0,"",IF($AD$8="",IF(AD130="me","not NVP, by",IF(AD130="",IF(G130&gt;0,(VLOOKUP(A130,'Discount Lookup'!J:K,2)*G130*(1-$AC$1786)*(1+$AC$1788)),""),"")),"not NVP, by"))))))))</f>
        <v/>
      </c>
      <c r="AC130" s="830"/>
      <c r="AD130" s="375" t="str">
        <f t="shared" si="322"/>
        <v/>
      </c>
      <c r="AE130" s="833" t="str">
        <f t="shared" si="182"/>
        <v/>
      </c>
      <c r="AF130" s="833"/>
      <c r="AG130" s="833"/>
      <c r="AH130" s="91">
        <f>IF(AD130="free",0,IF(AD130="me",0,IF(G130&gt;0,(VLOOKUP(A130,'Discount Lookup'!J:K,2)*G130),0)))</f>
        <v>0</v>
      </c>
      <c r="AI130" s="92" t="str">
        <f t="shared" si="355"/>
        <v/>
      </c>
      <c r="AJ130" s="828" t="str">
        <f t="shared" si="298"/>
        <v/>
      </c>
      <c r="AK130" s="828"/>
      <c r="AL130" s="313" t="str">
        <f t="shared" si="196"/>
        <v/>
      </c>
      <c r="AM130" s="312"/>
      <c r="AN130" s="101"/>
      <c r="AO130" s="101"/>
      <c r="AP130" s="101"/>
      <c r="AQ130" s="101"/>
      <c r="AR130" s="101"/>
      <c r="AS130" s="101"/>
      <c r="AT130" s="101"/>
    </row>
    <row r="131" spans="1:46" ht="12.95" customHeight="1">
      <c r="A131" s="852" t="s">
        <v>169</v>
      </c>
      <c r="B131" s="844"/>
      <c r="C131" s="844"/>
      <c r="D131" s="844"/>
      <c r="E131" s="844"/>
      <c r="F131" s="844"/>
      <c r="G131" s="844"/>
      <c r="H131" s="770" t="s">
        <v>167</v>
      </c>
      <c r="I131" s="88" t="s">
        <v>79</v>
      </c>
      <c r="J131" s="86"/>
      <c r="K131" s="603" t="s">
        <v>45</v>
      </c>
      <c r="L131" s="601" t="s">
        <v>46</v>
      </c>
      <c r="M131" s="86"/>
      <c r="N131" s="87" t="s">
        <v>130</v>
      </c>
      <c r="O131" s="87"/>
      <c r="P131" s="87"/>
      <c r="Q131" s="87"/>
      <c r="R131" s="86"/>
      <c r="S131" s="125"/>
      <c r="T131" s="543"/>
      <c r="U131" s="89" t="s">
        <v>48</v>
      </c>
      <c r="V131" s="100" t="b">
        <f>IF(G131&gt;0,IF(AD131="me","",G131))</f>
        <v>0</v>
      </c>
      <c r="W131" s="100"/>
      <c r="X131" s="100"/>
      <c r="Y131" s="201"/>
      <c r="Z131" s="829" t="str">
        <f t="shared" si="297"/>
        <v/>
      </c>
      <c r="AA131" s="829"/>
      <c r="AB131" s="830" t="str">
        <f>IF(G131=0,"",IF(AD131="free","re-planting",IF(AD131="me","not NVP, by",IF($AD$8="yes",(VLOOKUP(A131,'Discount Lookup'!J:K,2)*G131*(1-$AC$1786)*(1+$AC$1788)),IF(AD131="NVP",(VLOOKUP(A131,'Discount Lookup'!J:K,2)*G131*(1-$AC$1786)*(1+$AC$1788)),IF(AD131="free","re-planting",IF(G131=0,"",IF($AD$8="",IF(AD131="me","not NVP, by",IF(AD131="",IF(G131&gt;0,(VLOOKUP(A131,'Discount Lookup'!J:K,2)*G131*(1-$AC$1786)*(1+$AC$1788)),""),"")),"not NVP, by"))))))))</f>
        <v/>
      </c>
      <c r="AC131" s="830"/>
      <c r="AD131" s="375" t="str">
        <f t="shared" si="322"/>
        <v/>
      </c>
      <c r="AE131" s="833" t="str">
        <f t="shared" si="182"/>
        <v/>
      </c>
      <c r="AF131" s="833"/>
      <c r="AG131" s="833"/>
      <c r="AH131" s="91">
        <f>IF(AD131="free",0,IF(AD131="me",0,IF(G131&gt;0,(VLOOKUP(A131,'Discount Lookup'!J:K,2)*G131),0)))</f>
        <v>0</v>
      </c>
      <c r="AI131" s="92" t="str">
        <f t="shared" si="355"/>
        <v/>
      </c>
      <c r="AJ131" s="828" t="str">
        <f t="shared" si="298"/>
        <v/>
      </c>
      <c r="AK131" s="828"/>
      <c r="AL131" s="313" t="str">
        <f t="shared" si="196"/>
        <v/>
      </c>
      <c r="AM131" s="312"/>
      <c r="AN131" s="101"/>
      <c r="AO131" s="101"/>
      <c r="AP131" s="101"/>
      <c r="AQ131" s="101"/>
      <c r="AR131" s="101"/>
      <c r="AS131" s="101"/>
      <c r="AT131" s="101"/>
    </row>
    <row r="132" spans="1:46" ht="12.95" customHeight="1">
      <c r="A132" s="419">
        <v>7</v>
      </c>
      <c r="B132" s="87" t="s">
        <v>50</v>
      </c>
      <c r="C132" s="399" t="s">
        <v>70</v>
      </c>
      <c r="D132" s="129" t="s">
        <v>54</v>
      </c>
      <c r="E132" s="98">
        <v>95.95</v>
      </c>
      <c r="F132" s="705" t="s">
        <v>1306</v>
      </c>
      <c r="G132" s="357">
        <v>0</v>
      </c>
      <c r="H132" s="704" t="str">
        <f t="shared" ref="H132:H135" si="370">IF(G132=0,"",IF(F132="Qty=",IF(G132=1,"plant","plants"),IF(F132&gt;0.0001,"warranty","Error")))</f>
        <v/>
      </c>
      <c r="I132" s="98">
        <f t="shared" ref="I132:I135" si="371">IF(F132="Qty=",(E132*G132),((E132*(1-F132))*G132))</f>
        <v>0</v>
      </c>
      <c r="J132" s="98">
        <f>IF(H132="warranty",0,(I132*($J$1782)))</f>
        <v>0</v>
      </c>
      <c r="K132" s="831">
        <f t="shared" ref="K132:K135" si="372">I132+J132</f>
        <v>0</v>
      </c>
      <c r="L132" s="831"/>
      <c r="M132" s="832" t="str">
        <f>IF($H$1784=0,"",IF(G132=0,"",IF(F132="Qty=",CONCATENATE("$",ROUND(K132*(1-$H$1784),2)," with ",($H$1784*100),"% discount"),CONCATENATE("$",ROUND(K132*(1-$H$1784),2)," with ",(($H$1784*100+F132*100)-($H$1784*100*F132)),IF(F132&gt;0,"% discounts",IF($H$1781&gt;0,"% discounts","% discount"))))))</f>
        <v/>
      </c>
      <c r="N132" s="832"/>
      <c r="O132" s="832"/>
      <c r="P132" s="832"/>
      <c r="Q132" s="832"/>
      <c r="R132" s="832"/>
      <c r="S132" s="303">
        <f t="shared" ref="S132:S135" si="373">E132*G132</f>
        <v>0</v>
      </c>
      <c r="T132" s="541">
        <f>VLOOKUP(A132,'Discount Lookup'!D:E,2,FALSE)*G132</f>
        <v>0</v>
      </c>
      <c r="U132" s="83">
        <f>VLOOKUP(A132,'Discount Lookup'!G:H,2,FALSE)*G132</f>
        <v>0</v>
      </c>
      <c r="V132" s="100">
        <f>E132*($J$1782)*G132</f>
        <v>0</v>
      </c>
      <c r="W132" s="100">
        <f t="shared" ref="W132:W135" si="374">I132</f>
        <v>0</v>
      </c>
      <c r="X132" s="100" t="b">
        <f>IF(G132&gt;0,IF(AD132="me","",G132))</f>
        <v>0</v>
      </c>
      <c r="Y132" s="201"/>
      <c r="Z132" s="829" t="str">
        <f t="shared" si="297"/>
        <v/>
      </c>
      <c r="AA132" s="829"/>
      <c r="AB132" s="830" t="str">
        <f>IF(G132=0,"",IF(AD132="free","re-planting",IF(AD132="me","not NVP, by",IF($AD$8="yes",(VLOOKUP(A132,'Discount Lookup'!J:K,2)*G132*(1-$AC$1786)*(1+$AC$1788)),IF(AD132="NVP",(VLOOKUP(A132,'Discount Lookup'!J:K,2)*G132*(1-$AC$1786)*(1+$AC$1788)),IF(AD132="free","re-planting",IF(G132=0,"",IF($AD$8="",IF(AD132="me","not NVP, by",IF(AD132="",IF(G132&gt;0,(VLOOKUP(A132,'Discount Lookup'!J:K,2)*G132*(1-$AC$1786)*(1+$AC$1788)),""),"")),"not NVP, by"))))))))</f>
        <v/>
      </c>
      <c r="AC132" s="830"/>
      <c r="AD132" s="375" t="str">
        <f t="shared" si="322"/>
        <v/>
      </c>
      <c r="AE132" s="833" t="str">
        <f t="shared" ref="AE132:AE217" si="375">IF(G132&gt;0,(CONCATENATE((G132)," quantity, ",(A132)," ",B132)),"")</f>
        <v/>
      </c>
      <c r="AF132" s="833"/>
      <c r="AG132" s="833"/>
      <c r="AH132" s="91">
        <f>IF(AD132="free",0,IF(AD132="me",0,IF(G132&gt;0,(VLOOKUP(A132,'Discount Lookup'!J:K,2)*G132),0)))</f>
        <v>0</v>
      </c>
      <c r="AI132" s="92" t="str">
        <f t="shared" si="355"/>
        <v/>
      </c>
      <c r="AJ132" s="828" t="str">
        <f t="shared" si="298"/>
        <v/>
      </c>
      <c r="AK132" s="828"/>
      <c r="AL132" s="313" t="str">
        <f t="shared" si="196"/>
        <v/>
      </c>
      <c r="AM132" s="312"/>
      <c r="AN132" s="101"/>
      <c r="AO132" s="101"/>
      <c r="AP132" s="101"/>
      <c r="AQ132" s="101"/>
      <c r="AR132" s="101"/>
      <c r="AS132" s="101"/>
      <c r="AT132" s="101"/>
    </row>
    <row r="133" spans="1:46" ht="12.95" customHeight="1">
      <c r="A133" s="419">
        <v>15</v>
      </c>
      <c r="B133" s="87" t="s">
        <v>50</v>
      </c>
      <c r="C133" s="128" t="s">
        <v>64</v>
      </c>
      <c r="D133" s="129" t="s">
        <v>54</v>
      </c>
      <c r="E133" s="98">
        <v>169.95</v>
      </c>
      <c r="F133" s="705" t="s">
        <v>1306</v>
      </c>
      <c r="G133" s="357">
        <v>0</v>
      </c>
      <c r="H133" s="704" t="str">
        <f t="shared" si="370"/>
        <v/>
      </c>
      <c r="I133" s="98">
        <f t="shared" si="371"/>
        <v>0</v>
      </c>
      <c r="J133" s="98">
        <f>IF(H133="warranty",0,(I133*($J$1782)))</f>
        <v>0</v>
      </c>
      <c r="K133" s="831">
        <f t="shared" si="372"/>
        <v>0</v>
      </c>
      <c r="L133" s="831"/>
      <c r="M133" s="832" t="str">
        <f>IF($H$1784=0,"",IF(G133=0,"",IF(F133="Qty=",CONCATENATE("$",ROUND(K133*(1-$H$1784),2)," with ",($H$1784*100),"% discount"),CONCATENATE("$",ROUND(K133*(1-$H$1784),2)," with ",(($H$1784*100+F133*100)-($H$1784*100*F133)),IF(F133&gt;0,"% discounts",IF($H$1781&gt;0,"% discounts","% discount"))))))</f>
        <v/>
      </c>
      <c r="N133" s="832"/>
      <c r="O133" s="832"/>
      <c r="P133" s="832"/>
      <c r="Q133" s="832"/>
      <c r="R133" s="832"/>
      <c r="S133" s="303">
        <f t="shared" si="373"/>
        <v>0</v>
      </c>
      <c r="T133" s="541">
        <f>VLOOKUP(A133,'Discount Lookup'!D:E,2,FALSE)*G133</f>
        <v>0</v>
      </c>
      <c r="U133" s="83">
        <f>VLOOKUP(A133,'Discount Lookup'!G:H,2,FALSE)*G133</f>
        <v>0</v>
      </c>
      <c r="V133" s="100">
        <f>E133*($J$1782)*G133</f>
        <v>0</v>
      </c>
      <c r="W133" s="100">
        <f t="shared" si="374"/>
        <v>0</v>
      </c>
      <c r="X133" s="100" t="b">
        <f>IF(G133&gt;0,IF(AD133="me","",G133))</f>
        <v>0</v>
      </c>
      <c r="Y133" s="201"/>
      <c r="Z133" s="829" t="str">
        <f t="shared" si="297"/>
        <v/>
      </c>
      <c r="AA133" s="829"/>
      <c r="AB133" s="830" t="str">
        <f>IF(G133=0,"",IF(AD133="free","re-planting",IF(AD133="me","not NVP, by",IF($AD$8="yes",(VLOOKUP(A133,'Discount Lookup'!J:K,2)*G133*(1-$AC$1786)*(1+$AC$1788)),IF(AD133="NVP",(VLOOKUP(A133,'Discount Lookup'!J:K,2)*G133*(1-$AC$1786)*(1+$AC$1788)),IF(AD133="free","re-planting",IF(G133=0,"",IF($AD$8="",IF(AD133="me","not NVP, by",IF(AD133="",IF(G133&gt;0,(VLOOKUP(A133,'Discount Lookup'!J:K,2)*G133*(1-$AC$1786)*(1+$AC$1788)),""),"")),"not NVP, by"))))))))</f>
        <v/>
      </c>
      <c r="AC133" s="830"/>
      <c r="AD133" s="375" t="str">
        <f t="shared" si="322"/>
        <v/>
      </c>
      <c r="AE133" s="833" t="str">
        <f t="shared" si="375"/>
        <v/>
      </c>
      <c r="AF133" s="833"/>
      <c r="AG133" s="833"/>
      <c r="AH133" s="91">
        <f>IF(AD133="free",0,IF(AD133="me",0,IF(G133&gt;0,(VLOOKUP(A133,'Discount Lookup'!J:K,2)*G133),0)))</f>
        <v>0</v>
      </c>
      <c r="AI133" s="92" t="str">
        <f t="shared" si="355"/>
        <v/>
      </c>
      <c r="AJ133" s="828" t="str">
        <f t="shared" si="298"/>
        <v/>
      </c>
      <c r="AK133" s="828"/>
      <c r="AL133" s="313" t="str">
        <f t="shared" si="196"/>
        <v/>
      </c>
      <c r="AM133" s="312"/>
      <c r="AN133" s="101"/>
      <c r="AO133" s="101"/>
      <c r="AP133" s="101"/>
      <c r="AQ133" s="101"/>
      <c r="AR133" s="101"/>
      <c r="AS133" s="101"/>
      <c r="AT133" s="101"/>
    </row>
    <row r="134" spans="1:46" ht="12.95" customHeight="1">
      <c r="A134" s="419">
        <v>15</v>
      </c>
      <c r="B134" s="87" t="s">
        <v>50</v>
      </c>
      <c r="C134" s="128" t="s">
        <v>1428</v>
      </c>
      <c r="D134" s="129" t="s">
        <v>63</v>
      </c>
      <c r="E134" s="98">
        <v>160.94999999999999</v>
      </c>
      <c r="F134" s="705" t="s">
        <v>1306</v>
      </c>
      <c r="G134" s="357">
        <v>0</v>
      </c>
      <c r="H134" s="704" t="str">
        <f t="shared" si="370"/>
        <v/>
      </c>
      <c r="I134" s="98">
        <f t="shared" si="371"/>
        <v>0</v>
      </c>
      <c r="J134" s="98">
        <f>IF(H134="warranty",0,(I134*($J$1782)))</f>
        <v>0</v>
      </c>
      <c r="K134" s="831">
        <f t="shared" si="372"/>
        <v>0</v>
      </c>
      <c r="L134" s="831"/>
      <c r="M134" s="832" t="str">
        <f>IF($H$1784=0,"",IF(G134=0,"",IF(F134="Qty=",CONCATENATE("$",ROUND(K134*(1-$H$1784),2)," with ",($H$1784*100),"% discount"),CONCATENATE("$",ROUND(K134*(1-$H$1784),2)," with ",(($H$1784*100+F134*100)-($H$1784*100*F134)),IF(F134&gt;0,"% discounts",IF($H$1781&gt;0,"% discounts","% discount"))))))</f>
        <v/>
      </c>
      <c r="N134" s="832"/>
      <c r="O134" s="832"/>
      <c r="P134" s="832"/>
      <c r="Q134" s="832"/>
      <c r="R134" s="832"/>
      <c r="S134" s="303">
        <f t="shared" ref="S134" si="376">E134*G134</f>
        <v>0</v>
      </c>
      <c r="T134" s="541">
        <f>VLOOKUP(A134,'Discount Lookup'!D:E,2,FALSE)*G134</f>
        <v>0</v>
      </c>
      <c r="U134" s="83">
        <f>VLOOKUP(A134,'Discount Lookup'!G:H,2,FALSE)*G134</f>
        <v>0</v>
      </c>
      <c r="V134" s="100">
        <f>E134*($J$1782)*G134</f>
        <v>0</v>
      </c>
      <c r="W134" s="100">
        <f t="shared" ref="W134" si="377">I134</f>
        <v>0</v>
      </c>
      <c r="X134" s="100" t="b">
        <f>IF(G134&gt;0,IF(AD134="me","",G134))</f>
        <v>0</v>
      </c>
      <c r="Y134" s="201"/>
      <c r="Z134" s="829" t="str">
        <f t="shared" si="297"/>
        <v/>
      </c>
      <c r="AA134" s="829"/>
      <c r="AB134" s="830" t="str">
        <f>IF(G134=0,"",IF(AD134="free","re-planting",IF(AD134="me","not NVP, by",IF($AD$8="yes",(VLOOKUP(A134,'Discount Lookup'!J:K,2)*G134*(1-$AC$1786)*(1+$AC$1788)),IF(AD134="NVP",(VLOOKUP(A134,'Discount Lookup'!J:K,2)*G134*(1-$AC$1786)*(1+$AC$1788)),IF(AD134="free","re-planting",IF(G134=0,"",IF($AD$8="",IF(AD134="me","not NVP, by",IF(AD134="",IF(G134&gt;0,(VLOOKUP(A134,'Discount Lookup'!J:K,2)*G134*(1-$AC$1786)*(1+$AC$1788)),""),"")),"not NVP, by"))))))))</f>
        <v/>
      </c>
      <c r="AC134" s="830"/>
      <c r="AD134" s="375" t="str">
        <f t="shared" si="322"/>
        <v/>
      </c>
      <c r="AE134" s="833" t="str">
        <f t="shared" ref="AE134" si="378">IF(G134&gt;0,(CONCATENATE((G134)," quantity, ",(A134)," ",B134)),"")</f>
        <v/>
      </c>
      <c r="AF134" s="833"/>
      <c r="AG134" s="833"/>
      <c r="AH134" s="91">
        <f>IF(AD134="free",0,IF(AD134="me",0,IF(G134&gt;0,(VLOOKUP(A134,'Discount Lookup'!J:K,2)*G134),0)))</f>
        <v>0</v>
      </c>
      <c r="AI134" s="92" t="str">
        <f t="shared" si="355"/>
        <v/>
      </c>
      <c r="AJ134" s="828" t="str">
        <f t="shared" si="298"/>
        <v/>
      </c>
      <c r="AK134" s="828"/>
      <c r="AL134" s="313" t="str">
        <f t="shared" si="196"/>
        <v/>
      </c>
      <c r="AM134" s="312"/>
      <c r="AN134" s="101"/>
      <c r="AO134" s="101"/>
      <c r="AP134" s="101"/>
      <c r="AQ134" s="101"/>
      <c r="AR134" s="101"/>
      <c r="AS134" s="101"/>
      <c r="AT134" s="101"/>
    </row>
    <row r="135" spans="1:46" ht="12.95" customHeight="1">
      <c r="A135" s="419">
        <v>25</v>
      </c>
      <c r="B135" s="87" t="s">
        <v>50</v>
      </c>
      <c r="C135" s="128" t="s">
        <v>358</v>
      </c>
      <c r="D135" s="129" t="s">
        <v>54</v>
      </c>
      <c r="E135" s="98">
        <v>334.95</v>
      </c>
      <c r="F135" s="705" t="s">
        <v>1306</v>
      </c>
      <c r="G135" s="357">
        <v>0</v>
      </c>
      <c r="H135" s="704" t="str">
        <f t="shared" si="370"/>
        <v/>
      </c>
      <c r="I135" s="98">
        <f t="shared" si="371"/>
        <v>0</v>
      </c>
      <c r="J135" s="98">
        <f>IF(H135="warranty",0,(I135*($J$1782)))</f>
        <v>0</v>
      </c>
      <c r="K135" s="831">
        <f t="shared" si="372"/>
        <v>0</v>
      </c>
      <c r="L135" s="831"/>
      <c r="M135" s="832" t="str">
        <f>IF($H$1784=0,"",IF(G135=0,"",IF(F135="Qty=",CONCATENATE("$",ROUND(K135*(1-$H$1784),2)," with ",($H$1784*100),"% discount"),CONCATENATE("$",ROUND(K135*(1-$H$1784),2)," with ",(($H$1784*100+F135*100)-($H$1784*100*F135)),IF(F135&gt;0,"% discounts",IF($H$1781&gt;0,"% discounts","% discount"))))))</f>
        <v/>
      </c>
      <c r="N135" s="832"/>
      <c r="O135" s="832"/>
      <c r="P135" s="832"/>
      <c r="Q135" s="832"/>
      <c r="R135" s="832"/>
      <c r="S135" s="303">
        <f t="shared" si="373"/>
        <v>0</v>
      </c>
      <c r="T135" s="541">
        <f>VLOOKUP(A135,'Discount Lookup'!D:E,2,FALSE)*G135</f>
        <v>0</v>
      </c>
      <c r="U135" s="83">
        <f>VLOOKUP(A135,'Discount Lookup'!G:H,2,FALSE)*G135</f>
        <v>0</v>
      </c>
      <c r="V135" s="100">
        <f>E135*($J$1782)*G135</f>
        <v>0</v>
      </c>
      <c r="W135" s="100">
        <f t="shared" si="374"/>
        <v>0</v>
      </c>
      <c r="X135" s="100" t="b">
        <f>IF(G135&gt;0,IF(AD135="me","",G135))</f>
        <v>0</v>
      </c>
      <c r="Y135" s="201"/>
      <c r="Z135" s="829" t="str">
        <f t="shared" si="297"/>
        <v/>
      </c>
      <c r="AA135" s="829"/>
      <c r="AB135" s="830" t="str">
        <f>IF(G135=0,"",IF(AD135="free","re-planting",IF(AD135="me","not NVP, by",IF($AD$8="yes",(VLOOKUP(A135,'Discount Lookup'!J:K,2)*G135*(1-$AC$1786)*(1+$AC$1788)),IF(AD135="NVP",(VLOOKUP(A135,'Discount Lookup'!J:K,2)*G135*(1-$AC$1786)*(1+$AC$1788)),IF(AD135="free","re-planting",IF(G135=0,"",IF($AD$8="",IF(AD135="me","not NVP, by",IF(AD135="",IF(G135&gt;0,(VLOOKUP(A135,'Discount Lookup'!J:K,2)*G135*(1-$AC$1786)*(1+$AC$1788)),""),"")),"not NVP, by"))))))))</f>
        <v/>
      </c>
      <c r="AC135" s="830"/>
      <c r="AD135" s="375" t="str">
        <f t="shared" si="322"/>
        <v/>
      </c>
      <c r="AE135" s="833" t="str">
        <f t="shared" si="375"/>
        <v/>
      </c>
      <c r="AF135" s="833"/>
      <c r="AG135" s="833"/>
      <c r="AH135" s="91">
        <f>IF(AD135="free",0,IF(AD135="me",0,IF(G135&gt;0,(VLOOKUP(A135,'Discount Lookup'!J:K,2)*G135),0)))</f>
        <v>0</v>
      </c>
      <c r="AI135" s="92" t="str">
        <f t="shared" si="355"/>
        <v/>
      </c>
      <c r="AJ135" s="828" t="str">
        <f t="shared" si="298"/>
        <v/>
      </c>
      <c r="AK135" s="828"/>
      <c r="AL135" s="313" t="str">
        <f t="shared" si="196"/>
        <v/>
      </c>
      <c r="AM135" s="312"/>
      <c r="AN135" s="101"/>
      <c r="AO135" s="101"/>
      <c r="AP135" s="101"/>
      <c r="AQ135" s="101"/>
      <c r="AR135" s="101"/>
      <c r="AS135" s="101"/>
      <c r="AT135" s="101"/>
    </row>
    <row r="136" spans="1:46" ht="12.95" customHeight="1">
      <c r="A136" s="465"/>
      <c r="B136" s="103" t="s">
        <v>171</v>
      </c>
      <c r="H136" s="363"/>
      <c r="N136" s="163" t="s">
        <v>121</v>
      </c>
      <c r="O136" s="111"/>
      <c r="P136" s="111"/>
      <c r="Q136" s="111"/>
      <c r="R136" s="111"/>
      <c r="S136" s="82">
        <f t="shared" ref="S136" si="379">E136*G136</f>
        <v>0</v>
      </c>
      <c r="T136" s="540"/>
      <c r="U136" s="83"/>
      <c r="V136" s="100" t="b">
        <f>IF(G136&gt;0,IF(AD136="me","",G136))</f>
        <v>0</v>
      </c>
      <c r="W136" s="100"/>
      <c r="X136" s="100"/>
      <c r="Y136" s="201"/>
      <c r="Z136" s="829" t="str">
        <f t="shared" si="297"/>
        <v/>
      </c>
      <c r="AA136" s="829"/>
      <c r="AB136" s="830" t="str">
        <f>IF(G136=0,"",IF(AD136="free","re-planting",IF(AD136="me","not NVP, by",IF($AD$8="yes",(VLOOKUP(A136,'Discount Lookup'!J:K,2)*G136*(1-$AC$1786)*(1+$AC$1788)),IF(AD136="NVP",(VLOOKUP(A136,'Discount Lookup'!J:K,2)*G136*(1-$AC$1786)*(1+$AC$1788)),IF(AD136="free","re-planting",IF(G136=0,"",IF($AD$8="",IF(AD136="me","not NVP, by",IF(AD136="",IF(G136&gt;0,(VLOOKUP(A136,'Discount Lookup'!J:K,2)*G136*(1-$AC$1786)*(1+$AC$1788)),""),"")),"not NVP, by"))))))))</f>
        <v/>
      </c>
      <c r="AC136" s="830"/>
      <c r="AD136" s="375" t="str">
        <f t="shared" si="322"/>
        <v/>
      </c>
      <c r="AE136" s="833" t="str">
        <f t="shared" si="375"/>
        <v/>
      </c>
      <c r="AF136" s="833"/>
      <c r="AG136" s="833"/>
      <c r="AH136" s="91">
        <f>IF(AD136="free",0,IF(AD136="me",0,IF(G136&gt;0,(VLOOKUP(A136,'Discount Lookup'!J:K,2)*G136),0)))</f>
        <v>0</v>
      </c>
      <c r="AI136" s="92" t="str">
        <f t="shared" si="355"/>
        <v/>
      </c>
      <c r="AJ136" s="828" t="str">
        <f t="shared" si="298"/>
        <v/>
      </c>
      <c r="AK136" s="828"/>
      <c r="AL136" s="313" t="str">
        <f t="shared" si="196"/>
        <v/>
      </c>
      <c r="AM136" s="312"/>
      <c r="AN136" s="101"/>
      <c r="AO136" s="101"/>
      <c r="AP136" s="101"/>
      <c r="AQ136" s="101"/>
      <c r="AR136" s="101"/>
      <c r="AS136" s="101"/>
      <c r="AT136" s="101"/>
    </row>
    <row r="137" spans="1:46" ht="12.95" customHeight="1">
      <c r="A137" s="852" t="s">
        <v>1277</v>
      </c>
      <c r="B137" s="844"/>
      <c r="C137" s="844"/>
      <c r="D137" s="844"/>
      <c r="E137" s="844"/>
      <c r="F137" s="844"/>
      <c r="G137" s="844"/>
      <c r="H137" s="770" t="s">
        <v>167</v>
      </c>
      <c r="I137" s="88" t="s">
        <v>79</v>
      </c>
      <c r="J137" s="86"/>
      <c r="K137" s="600" t="s">
        <v>45</v>
      </c>
      <c r="L137" s="601" t="s">
        <v>46</v>
      </c>
      <c r="M137" s="127"/>
      <c r="N137" s="87" t="s">
        <v>130</v>
      </c>
      <c r="O137" s="87"/>
      <c r="P137" s="87"/>
      <c r="Q137" s="87"/>
      <c r="R137" s="86"/>
      <c r="S137" s="125"/>
      <c r="T137" s="543"/>
      <c r="U137" s="89" t="s">
        <v>48</v>
      </c>
      <c r="V137" s="100" t="b">
        <f>IF(G137&gt;0,IF(AD137="me","",G137))</f>
        <v>0</v>
      </c>
      <c r="W137" s="100"/>
      <c r="X137" s="100"/>
      <c r="Y137" s="201"/>
      <c r="Z137" s="829" t="str">
        <f t="shared" si="297"/>
        <v/>
      </c>
      <c r="AA137" s="829"/>
      <c r="AB137" s="830" t="str">
        <f>IF(G137=0,"",IF(AD137="free","re-planting",IF(AD137="me","not NVP, by",IF($AD$8="yes",(VLOOKUP(A137,'Discount Lookup'!J:K,2)*G137*(1-$AC$1786)*(1+$AC$1788)),IF(AD137="NVP",(VLOOKUP(A137,'Discount Lookup'!J:K,2)*G137*(1-$AC$1786)*(1+$AC$1788)),IF(AD137="free","re-planting",IF(G137=0,"",IF($AD$8="",IF(AD137="me","not NVP, by",IF(AD137="",IF(G137&gt;0,(VLOOKUP(A137,'Discount Lookup'!J:K,2)*G137*(1-$AC$1786)*(1+$AC$1788)),""),"")),"not NVP, by"))))))))</f>
        <v/>
      </c>
      <c r="AC137" s="830"/>
      <c r="AD137" s="375" t="str">
        <f t="shared" si="322"/>
        <v/>
      </c>
      <c r="AE137" s="833" t="str">
        <f t="shared" si="375"/>
        <v/>
      </c>
      <c r="AF137" s="833"/>
      <c r="AG137" s="833"/>
      <c r="AH137" s="91">
        <f>IF(AD137="free",0,IF(AD137="me",0,IF(G137&gt;0,(VLOOKUP(A137,'Discount Lookup'!J:K,2)*G137),0)))</f>
        <v>0</v>
      </c>
      <c r="AI137" s="92" t="str">
        <f t="shared" si="355"/>
        <v/>
      </c>
      <c r="AJ137" s="828" t="str">
        <f t="shared" si="298"/>
        <v/>
      </c>
      <c r="AK137" s="828"/>
      <c r="AL137" s="313" t="str">
        <f t="shared" si="196"/>
        <v/>
      </c>
      <c r="AM137" s="312"/>
      <c r="AN137" s="101"/>
      <c r="AO137" s="101"/>
      <c r="AP137" s="101"/>
      <c r="AQ137" s="101"/>
      <c r="AR137" s="101"/>
      <c r="AS137" s="101"/>
      <c r="AT137" s="101"/>
    </row>
    <row r="138" spans="1:46" ht="12.95" customHeight="1">
      <c r="A138" s="419">
        <v>10</v>
      </c>
      <c r="B138" s="87" t="s">
        <v>50</v>
      </c>
      <c r="C138" s="128" t="s">
        <v>70</v>
      </c>
      <c r="D138" s="129" t="s">
        <v>94</v>
      </c>
      <c r="E138" s="98">
        <v>107.95</v>
      </c>
      <c r="F138" s="705" t="s">
        <v>1306</v>
      </c>
      <c r="G138" s="357">
        <v>0</v>
      </c>
      <c r="H138" s="704" t="str">
        <f t="shared" ref="H138" si="380">IF(G138=0,"",IF(F138="Qty=",IF(G138=1,"plant","plants"),IF(F138&gt;0.0001,"warranty","Error")))</f>
        <v/>
      </c>
      <c r="I138" s="98">
        <f t="shared" ref="I138" si="381">IF(F138="Qty=",(E138*G138),((E138*(1-F138))*G138))</f>
        <v>0</v>
      </c>
      <c r="J138" s="98">
        <f>IF(H138="warranty",0,(I138*($J$1782)))</f>
        <v>0</v>
      </c>
      <c r="K138" s="831">
        <f t="shared" ref="K138" si="382">I138+J138</f>
        <v>0</v>
      </c>
      <c r="L138" s="831"/>
      <c r="M138" s="832" t="str">
        <f>IF($H$1784=0,"",IF(G138=0,"",IF(F138="Qty=",CONCATENATE("$",ROUND(K138*(1-$H$1784),2)," with ",($H$1784*100),"% discount"),CONCATENATE("$",ROUND(K138*(1-$H$1784),2)," with ",(($H$1784*100+F138*100)-($H$1784*100*F138)),IF(F138&gt;0,"% discounts",IF($H$1781&gt;0,"% discounts","% discount"))))))</f>
        <v/>
      </c>
      <c r="N138" s="832"/>
      <c r="O138" s="832"/>
      <c r="P138" s="832"/>
      <c r="Q138" s="832"/>
      <c r="R138" s="832"/>
      <c r="S138" s="303">
        <f t="shared" ref="S138" si="383">E138*G138</f>
        <v>0</v>
      </c>
      <c r="T138" s="541">
        <f>VLOOKUP(A138,'Discount Lookup'!D:E,2,FALSE)*G138</f>
        <v>0</v>
      </c>
      <c r="U138" s="83">
        <f>VLOOKUP(A138,'Discount Lookup'!G:H,2,FALSE)*G138</f>
        <v>0</v>
      </c>
      <c r="V138" s="100">
        <f>E138*($J$1782)*G138</f>
        <v>0</v>
      </c>
      <c r="W138" s="100">
        <f t="shared" ref="W138" si="384">I138</f>
        <v>0</v>
      </c>
      <c r="X138" s="100" t="b">
        <f>IF(G138&gt;0,IF(AD138="me","",G138))</f>
        <v>0</v>
      </c>
      <c r="Y138" s="201"/>
      <c r="Z138" s="829" t="str">
        <f t="shared" ref="Z138" si="385">IF(G138=0,"",IF(AD138="me","",IF($AD$8="me","",IF(AD138="free","warranty",IF($AD$8="yes","NVP planting:","to NVP install:")))))</f>
        <v/>
      </c>
      <c r="AA138" s="829"/>
      <c r="AB138" s="830" t="str">
        <f>IF(G138=0,"",IF(AD138="free","re-planting",IF(AD138="me","not NVP, by",IF($AD$8="yes",(VLOOKUP(A138,'Discount Lookup'!J:K,2)*G138*(1-$AC$1786)*(1+$AC$1788)),IF(AD138="NVP",(VLOOKUP(A138,'Discount Lookup'!J:K,2)*G138*(1-$AC$1786)*(1+$AC$1788)),IF(AD138="free","re-planting",IF(G138=0,"",IF($AD$8="",IF(AD138="me","not NVP, by",IF(AD138="",IF(G138&gt;0,(VLOOKUP(A138,'Discount Lookup'!J:K,2)*G138*(1-$AC$1786)*(1+$AC$1788)),""),"")),"not NVP, by"))))))))</f>
        <v/>
      </c>
      <c r="AC138" s="830"/>
      <c r="AD138" s="375" t="str">
        <f t="shared" ref="AD138" si="386">IF(G138=0,"",IF($AD$8="me","me",IF(H138="warranty","free",IF($AD$8="yes","NVP",""))))</f>
        <v/>
      </c>
      <c r="AE138" s="833" t="str">
        <f t="shared" si="375"/>
        <v/>
      </c>
      <c r="AF138" s="833"/>
      <c r="AG138" s="833"/>
      <c r="AH138" s="91">
        <f>IF(AD138="free",0,IF(AD138="me",0,IF(G138&gt;0,(VLOOKUP(A138,'Discount Lookup'!J:K,2)*G138),0)))</f>
        <v>0</v>
      </c>
      <c r="AI138" s="92" t="str">
        <f t="shared" si="355"/>
        <v/>
      </c>
      <c r="AJ138" s="828" t="str">
        <f t="shared" ref="AJ138" si="387">IF(G138=0,"",IF(AD138="me","  delivery-only",IF($AD$8="me","  delivery-only",CONCATENATE(" $",ROUND(AI138/G138,2)," each"))))</f>
        <v/>
      </c>
      <c r="AK138" s="828"/>
      <c r="AL138" s="313" t="str">
        <f t="shared" si="196"/>
        <v/>
      </c>
      <c r="AM138" s="312"/>
      <c r="AN138" s="101"/>
      <c r="AO138" s="101"/>
      <c r="AP138" s="101"/>
      <c r="AQ138" s="101"/>
      <c r="AR138" s="101"/>
      <c r="AS138" s="101"/>
      <c r="AT138" s="101"/>
    </row>
    <row r="139" spans="1:46" ht="12.95" customHeight="1">
      <c r="A139" s="419">
        <v>15</v>
      </c>
      <c r="B139" s="87" t="s">
        <v>50</v>
      </c>
      <c r="C139" s="87" t="s">
        <v>1534</v>
      </c>
      <c r="D139" s="129" t="s">
        <v>54</v>
      </c>
      <c r="E139" s="98">
        <v>164.95</v>
      </c>
      <c r="F139" s="705" t="s">
        <v>1306</v>
      </c>
      <c r="G139" s="357">
        <v>0</v>
      </c>
      <c r="H139" s="704" t="str">
        <f t="shared" ref="H139:H142" si="388">IF(G139=0,"",IF(F139="Qty=",IF(G139=1,"plant","plants"),IF(F139&gt;0.0001,"warranty","Error")))</f>
        <v/>
      </c>
      <c r="I139" s="98">
        <f t="shared" ref="I139:I142" si="389">IF(F139="Qty=",(E139*G139),((E139*(1-F139))*G139))</f>
        <v>0</v>
      </c>
      <c r="J139" s="98">
        <f>IF(H139="warranty",0,(I139*($J$1782)))</f>
        <v>0</v>
      </c>
      <c r="K139" s="831">
        <f t="shared" ref="K139:K142" si="390">I139+J139</f>
        <v>0</v>
      </c>
      <c r="L139" s="831"/>
      <c r="M139" s="832" t="str">
        <f>IF($H$1784=0,"",IF(G139=0,"",IF(F139="Qty=",CONCATENATE("$",ROUND(K139*(1-$H$1784),2)," with ",($H$1784*100),"% discount"),CONCATENATE("$",ROUND(K139*(1-$H$1784),2)," with ",(($H$1784*100+F139*100)-($H$1784*100*F139)),IF(F139&gt;0,"% discounts",IF($H$1781&gt;0,"% discounts","% discount"))))))</f>
        <v/>
      </c>
      <c r="N139" s="832"/>
      <c r="O139" s="832"/>
      <c r="P139" s="832"/>
      <c r="Q139" s="832"/>
      <c r="R139" s="832"/>
      <c r="S139" s="303">
        <f t="shared" ref="S139" si="391">E139*G139</f>
        <v>0</v>
      </c>
      <c r="T139" s="541">
        <f>VLOOKUP(A139,'Discount Lookup'!D:E,2,FALSE)*G139</f>
        <v>0</v>
      </c>
      <c r="U139" s="83">
        <f>VLOOKUP(A139,'Discount Lookup'!G:H,2,FALSE)*G139</f>
        <v>0</v>
      </c>
      <c r="V139" s="100">
        <f>E139*($J$1782)*G139</f>
        <v>0</v>
      </c>
      <c r="W139" s="100">
        <f t="shared" ref="W139" si="392">I139</f>
        <v>0</v>
      </c>
      <c r="X139" s="100" t="b">
        <f>IF(G139&gt;0,IF(AD139="me","",G139))</f>
        <v>0</v>
      </c>
      <c r="Y139" s="201"/>
      <c r="Z139" s="829" t="str">
        <f t="shared" si="297"/>
        <v/>
      </c>
      <c r="AA139" s="829"/>
      <c r="AB139" s="830" t="str">
        <f>IF(G139=0,"",IF(AD139="free","re-planting",IF(AD139="me","not NVP, by",IF($AD$8="yes",(VLOOKUP(A139,'Discount Lookup'!J:K,2)*G139*(1-$AC$1786)*(1+$AC$1788)),IF(AD139="NVP",(VLOOKUP(A139,'Discount Lookup'!J:K,2)*G139*(1-$AC$1786)*(1+$AC$1788)),IF(AD139="free","re-planting",IF(G139=0,"",IF($AD$8="",IF(AD139="me","not NVP, by",IF(AD139="",IF(G139&gt;0,(VLOOKUP(A139,'Discount Lookup'!J:K,2)*G139*(1-$AC$1786)*(1+$AC$1788)),""),"")),"not NVP, by"))))))))</f>
        <v/>
      </c>
      <c r="AC139" s="830"/>
      <c r="AD139" s="375" t="str">
        <f t="shared" si="322"/>
        <v/>
      </c>
      <c r="AE139" s="833" t="str">
        <f t="shared" si="375"/>
        <v/>
      </c>
      <c r="AF139" s="833"/>
      <c r="AG139" s="833"/>
      <c r="AH139" s="91">
        <f>IF(AD139="free",0,IF(AD139="me",0,IF(G139&gt;0,(VLOOKUP(A139,'Discount Lookup'!J:K,2)*G139),0)))</f>
        <v>0</v>
      </c>
      <c r="AI139" s="92" t="str">
        <f t="shared" si="355"/>
        <v/>
      </c>
      <c r="AJ139" s="828" t="str">
        <f t="shared" si="298"/>
        <v/>
      </c>
      <c r="AK139" s="828"/>
      <c r="AL139" s="313" t="str">
        <f t="shared" ref="AL139:AL202" si="393">IF(AD139="free","      ~ discounts included, no tax or planting fee applies ~",IF(G139=0,"",IF($AD$8="me",CONCATENATE(" $",ROUND(AI139/G139,2)," per plant, with tax &amp; discount"),IF(AD139="me",CONCATENATE(" $",ROUND(AI139/G139,2)," per plant, with tax &amp; discount"),CONCATENATE("= $",ROUND((K139*(1-$H$1784))/G139,2)," per plant + $",AB139/G139,(" per planting      ~ includes tax &amp; discounts ~"))))))</f>
        <v/>
      </c>
      <c r="AM139" s="312"/>
      <c r="AN139" s="101"/>
      <c r="AO139" s="101"/>
      <c r="AP139" s="101"/>
      <c r="AQ139" s="101"/>
      <c r="AR139" s="101"/>
      <c r="AS139" s="101"/>
      <c r="AT139" s="101"/>
    </row>
    <row r="140" spans="1:46" ht="12.95" customHeight="1">
      <c r="A140" s="419">
        <v>15</v>
      </c>
      <c r="B140" s="87" t="s">
        <v>50</v>
      </c>
      <c r="C140" s="128" t="s">
        <v>1276</v>
      </c>
      <c r="D140" s="129" t="s">
        <v>63</v>
      </c>
      <c r="E140" s="98">
        <v>160.94999999999999</v>
      </c>
      <c r="F140" s="705" t="s">
        <v>1306</v>
      </c>
      <c r="G140" s="357">
        <v>0</v>
      </c>
      <c r="H140" s="704" t="str">
        <f t="shared" si="388"/>
        <v/>
      </c>
      <c r="I140" s="98">
        <f t="shared" si="389"/>
        <v>0</v>
      </c>
      <c r="J140" s="98">
        <f>IF(H140="warranty",0,(I140*($J$1782)))</f>
        <v>0</v>
      </c>
      <c r="K140" s="831">
        <f t="shared" si="390"/>
        <v>0</v>
      </c>
      <c r="L140" s="831"/>
      <c r="M140" s="832" t="str">
        <f>IF($H$1784=0,"",IF(G140=0,"",IF(F140="Qty=",CONCATENATE("$",ROUND(K140*(1-$H$1784),2)," with ",($H$1784*100),"% discount"),CONCATENATE("$",ROUND(K140*(1-$H$1784),2)," with ",(($H$1784*100+F140*100)-($H$1784*100*F140)),IF(F140&gt;0,"% discounts",IF($H$1781&gt;0,"% discounts","% discount"))))))</f>
        <v/>
      </c>
      <c r="N140" s="832"/>
      <c r="O140" s="832"/>
      <c r="P140" s="832"/>
      <c r="Q140" s="832"/>
      <c r="R140" s="832"/>
      <c r="S140" s="303">
        <f t="shared" ref="S140:S141" si="394">E140*G140</f>
        <v>0</v>
      </c>
      <c r="T140" s="541">
        <f>VLOOKUP(A140,'Discount Lookup'!D:E,2,FALSE)*G140</f>
        <v>0</v>
      </c>
      <c r="U140" s="83">
        <f>VLOOKUP(A140,'Discount Lookup'!G:H,2,FALSE)*G140</f>
        <v>0</v>
      </c>
      <c r="V140" s="100">
        <f>E140*($J$1782)*G140</f>
        <v>0</v>
      </c>
      <c r="W140" s="100">
        <f t="shared" ref="W140:W141" si="395">I140</f>
        <v>0</v>
      </c>
      <c r="X140" s="100" t="b">
        <f>IF(G140&gt;0,IF(AD140="me","",G140))</f>
        <v>0</v>
      </c>
      <c r="Y140" s="201"/>
      <c r="Z140" s="829" t="str">
        <f t="shared" si="297"/>
        <v/>
      </c>
      <c r="AA140" s="829"/>
      <c r="AB140" s="830" t="str">
        <f>IF(G140=0,"",IF(AD140="free","re-planting",IF(AD140="me","not NVP, by",IF($AD$8="yes",(VLOOKUP(A140,'Discount Lookup'!J:K,2)*G140*(1-$AC$1786)*(1+$AC$1788)),IF(AD140="NVP",(VLOOKUP(A140,'Discount Lookup'!J:K,2)*G140*(1-$AC$1786)*(1+$AC$1788)),IF(AD140="free","re-planting",IF(G140=0,"",IF($AD$8="",IF(AD140="me","not NVP, by",IF(AD140="",IF(G140&gt;0,(VLOOKUP(A140,'Discount Lookup'!J:K,2)*G140*(1-$AC$1786)*(1+$AC$1788)),""),"")),"not NVP, by"))))))))</f>
        <v/>
      </c>
      <c r="AC140" s="830"/>
      <c r="AD140" s="375" t="str">
        <f t="shared" si="322"/>
        <v/>
      </c>
      <c r="AE140" s="833" t="str">
        <f t="shared" ref="AE140:AE141" si="396">IF(G140&gt;0,(CONCATENATE((G140)," quantity, ",(A140)," ",B140)),"")</f>
        <v/>
      </c>
      <c r="AF140" s="833"/>
      <c r="AG140" s="833"/>
      <c r="AH140" s="91">
        <f>IF(AD140="free",0,IF(AD140="me",0,IF(G140&gt;0,(VLOOKUP(A140,'Discount Lookup'!J:K,2)*G140),0)))</f>
        <v>0</v>
      </c>
      <c r="AI140" s="92" t="str">
        <f t="shared" si="355"/>
        <v/>
      </c>
      <c r="AJ140" s="828" t="str">
        <f t="shared" si="298"/>
        <v/>
      </c>
      <c r="AK140" s="828"/>
      <c r="AL140" s="313" t="str">
        <f t="shared" si="393"/>
        <v/>
      </c>
      <c r="AM140" s="312"/>
      <c r="AN140" s="101"/>
      <c r="AO140" s="101"/>
      <c r="AP140" s="101"/>
      <c r="AQ140" s="101"/>
      <c r="AR140" s="101"/>
      <c r="AS140" s="101"/>
      <c r="AT140" s="101"/>
    </row>
    <row r="141" spans="1:46" ht="12.95" customHeight="1">
      <c r="A141" s="419">
        <v>25</v>
      </c>
      <c r="B141" s="87" t="s">
        <v>50</v>
      </c>
      <c r="C141" s="87" t="s">
        <v>1533</v>
      </c>
      <c r="D141" s="129" t="s">
        <v>54</v>
      </c>
      <c r="E141" s="98">
        <v>321.95</v>
      </c>
      <c r="F141" s="705" t="s">
        <v>1306</v>
      </c>
      <c r="G141" s="357">
        <v>0</v>
      </c>
      <c r="H141" s="704" t="str">
        <f t="shared" ref="H141" si="397">IF(G141=0,"",IF(F141="Qty=",IF(G141=1,"plant","plants"),IF(F141&gt;0.0001,"warranty","Error")))</f>
        <v/>
      </c>
      <c r="I141" s="98">
        <f t="shared" ref="I141" si="398">IF(F141="Qty=",(E141*G141),((E141*(1-F141))*G141))</f>
        <v>0</v>
      </c>
      <c r="J141" s="98">
        <f>IF(H141="warranty",0,(I141*($J$1782)))</f>
        <v>0</v>
      </c>
      <c r="K141" s="831">
        <f t="shared" si="390"/>
        <v>0</v>
      </c>
      <c r="L141" s="831"/>
      <c r="M141" s="832" t="str">
        <f>IF($H$1784=0,"",IF(G141=0,"",IF(F141="Qty=",CONCATENATE("$",ROUND(K141*(1-$H$1784),2)," with ",($H$1784*100),"% discount"),CONCATENATE("$",ROUND(K141*(1-$H$1784),2)," with ",(($H$1784*100+F141*100)-($H$1784*100*F141)),IF(F141&gt;0,"% discounts",IF($H$1781&gt;0,"% discounts","% discount"))))))</f>
        <v/>
      </c>
      <c r="N141" s="832"/>
      <c r="O141" s="832"/>
      <c r="P141" s="832"/>
      <c r="Q141" s="832"/>
      <c r="R141" s="832"/>
      <c r="S141" s="303">
        <f t="shared" si="394"/>
        <v>0</v>
      </c>
      <c r="T141" s="541">
        <f>VLOOKUP(A141,'Discount Lookup'!D:E,2,FALSE)*G141</f>
        <v>0</v>
      </c>
      <c r="U141" s="83">
        <f>VLOOKUP(A141,'Discount Lookup'!G:H,2,FALSE)*G141</f>
        <v>0</v>
      </c>
      <c r="V141" s="100">
        <f>E141*($J$1782)*G141</f>
        <v>0</v>
      </c>
      <c r="W141" s="100">
        <f t="shared" si="395"/>
        <v>0</v>
      </c>
      <c r="X141" s="100" t="b">
        <f>IF(G141&gt;0,IF(AD141="me","",G141))</f>
        <v>0</v>
      </c>
      <c r="Y141" s="201"/>
      <c r="Z141" s="829" t="str">
        <f t="shared" ref="Z141" si="399">IF(G141=0,"",IF(AD141="me","",IF($AD$8="me","",IF(AD141="free","warranty",IF($AD$8="yes","NVP planting:","to NVP install:")))))</f>
        <v/>
      </c>
      <c r="AA141" s="829"/>
      <c r="AB141" s="830" t="str">
        <f>IF(G141=0,"",IF(AD141="free","re-planting",IF(AD141="me","not NVP, by",IF($AD$8="yes",(VLOOKUP(A141,'Discount Lookup'!J:K,2)*G141*(1-$AC$1786)*(1+$AC$1788)),IF(AD141="NVP",(VLOOKUP(A141,'Discount Lookup'!J:K,2)*G141*(1-$AC$1786)*(1+$AC$1788)),IF(AD141="free","re-planting",IF(G141=0,"",IF($AD$8="",IF(AD141="me","not NVP, by",IF(AD141="",IF(G141&gt;0,(VLOOKUP(A141,'Discount Lookup'!J:K,2)*G141*(1-$AC$1786)*(1+$AC$1788)),""),"")),"not NVP, by"))))))))</f>
        <v/>
      </c>
      <c r="AC141" s="830"/>
      <c r="AD141" s="375" t="str">
        <f t="shared" si="322"/>
        <v/>
      </c>
      <c r="AE141" s="833" t="str">
        <f t="shared" si="396"/>
        <v/>
      </c>
      <c r="AF141" s="833"/>
      <c r="AG141" s="833"/>
      <c r="AH141" s="91">
        <f>IF(AD141="free",0,IF(AD141="me",0,IF(G141&gt;0,(VLOOKUP(A141,'Discount Lookup'!J:K,2)*G141),0)))</f>
        <v>0</v>
      </c>
      <c r="AI141" s="92" t="str">
        <f t="shared" si="355"/>
        <v/>
      </c>
      <c r="AJ141" s="828" t="str">
        <f t="shared" ref="AJ141" si="400">IF(G141=0,"",IF(AD141="me","  delivery-only",IF($AD$8="me","  delivery-only",CONCATENATE(" $",ROUND(AI141/G141,2)," each"))))</f>
        <v/>
      </c>
      <c r="AK141" s="828"/>
      <c r="AL141" s="313" t="str">
        <f t="shared" si="393"/>
        <v/>
      </c>
      <c r="AM141" s="312"/>
      <c r="AN141" s="101"/>
      <c r="AO141" s="101"/>
      <c r="AP141" s="101"/>
      <c r="AQ141" s="101"/>
      <c r="AR141" s="101"/>
      <c r="AS141" s="101"/>
      <c r="AT141" s="101"/>
    </row>
    <row r="142" spans="1:46" ht="12.95" customHeight="1">
      <c r="A142" s="419">
        <v>45</v>
      </c>
      <c r="B142" s="87" t="s">
        <v>50</v>
      </c>
      <c r="C142" s="128" t="s">
        <v>264</v>
      </c>
      <c r="D142" s="129" t="s">
        <v>90</v>
      </c>
      <c r="E142" s="98">
        <v>619.95000000000005</v>
      </c>
      <c r="F142" s="705" t="s">
        <v>1306</v>
      </c>
      <c r="G142" s="357">
        <v>0</v>
      </c>
      <c r="H142" s="704" t="str">
        <f t="shared" si="388"/>
        <v/>
      </c>
      <c r="I142" s="98">
        <f t="shared" si="389"/>
        <v>0</v>
      </c>
      <c r="J142" s="98">
        <f>IF(H142="warranty",0,(I142*($J$1782)))</f>
        <v>0</v>
      </c>
      <c r="K142" s="831">
        <f t="shared" si="390"/>
        <v>0</v>
      </c>
      <c r="L142" s="831"/>
      <c r="M142" s="832" t="str">
        <f>IF($H$1784=0,"",IF(G142=0,"",IF(F142="Qty=",CONCATENATE("$",ROUND(K142*(1-$H$1784),2)," with ",($H$1784*100),"% discount"),CONCATENATE("$",ROUND(K142*(1-$H$1784),2)," with ",(($H$1784*100+F142*100)-($H$1784*100*F142)),IF(F142&gt;0,"% discounts",IF($H$1781&gt;0,"% discounts","% discount"))))))</f>
        <v/>
      </c>
      <c r="N142" s="832"/>
      <c r="O142" s="832"/>
      <c r="P142" s="832"/>
      <c r="Q142" s="832"/>
      <c r="R142" s="832"/>
      <c r="S142" s="303">
        <f t="shared" ref="S142" si="401">E142*G142</f>
        <v>0</v>
      </c>
      <c r="T142" s="541">
        <f>VLOOKUP(A142,'Discount Lookup'!D:E,2,FALSE)*G142</f>
        <v>0</v>
      </c>
      <c r="U142" s="83">
        <f>VLOOKUP(A142,'Discount Lookup'!G:H,2,FALSE)*G142</f>
        <v>0</v>
      </c>
      <c r="V142" s="100">
        <f>E142*($J$1782)*G142</f>
        <v>0</v>
      </c>
      <c r="W142" s="100">
        <f t="shared" ref="W142" si="402">I142</f>
        <v>0</v>
      </c>
      <c r="X142" s="100" t="b">
        <f>IF(G142&gt;0,IF(AD142="me","",G142))</f>
        <v>0</v>
      </c>
      <c r="Y142" s="201"/>
      <c r="Z142" s="829" t="str">
        <f t="shared" si="297"/>
        <v/>
      </c>
      <c r="AA142" s="829"/>
      <c r="AB142" s="830" t="str">
        <f>IF(G142=0,"",IF(AD142="free","re-planting",IF(AD142="me","not NVP, by",IF($AD$8="yes",(VLOOKUP(A142,'Discount Lookup'!J:K,2)*G142*(1-$AC$1786)*(1+$AC$1788)),IF(AD142="NVP",(VLOOKUP(A142,'Discount Lookup'!J:K,2)*G142*(1-$AC$1786)*(1+$AC$1788)),IF(AD142="free","re-planting",IF(G142=0,"",IF($AD$8="",IF(AD142="me","not NVP, by",IF(AD142="",IF(G142&gt;0,(VLOOKUP(A142,'Discount Lookup'!J:K,2)*G142*(1-$AC$1786)*(1+$AC$1788)),""),"")),"not NVP, by"))))))))</f>
        <v/>
      </c>
      <c r="AC142" s="830"/>
      <c r="AD142" s="375" t="str">
        <f t="shared" si="322"/>
        <v/>
      </c>
      <c r="AE142" s="833" t="str">
        <f t="shared" ref="AE142" si="403">IF(G142&gt;0,(CONCATENATE((G142)," quantity, ",(A142)," ",B142)),"")</f>
        <v/>
      </c>
      <c r="AF142" s="833"/>
      <c r="AG142" s="833"/>
      <c r="AH142" s="91">
        <f>IF(AD142="free",0,IF(AD142="me",0,IF(G142&gt;0,(VLOOKUP(A142,'Discount Lookup'!J:K,2)*G142),0)))</f>
        <v>0</v>
      </c>
      <c r="AI142" s="92" t="str">
        <f t="shared" si="355"/>
        <v/>
      </c>
      <c r="AJ142" s="828" t="str">
        <f t="shared" si="298"/>
        <v/>
      </c>
      <c r="AK142" s="828"/>
      <c r="AL142" s="313" t="str">
        <f t="shared" si="393"/>
        <v/>
      </c>
      <c r="AM142" s="312"/>
      <c r="AN142" s="101"/>
      <c r="AO142" s="101"/>
      <c r="AP142" s="101"/>
      <c r="AQ142" s="101"/>
      <c r="AR142" s="101"/>
      <c r="AS142" s="101"/>
      <c r="AT142" s="101"/>
    </row>
    <row r="143" spans="1:46" ht="12.95" customHeight="1">
      <c r="A143" s="465"/>
      <c r="B143" s="103" t="s">
        <v>172</v>
      </c>
      <c r="C143" s="130"/>
      <c r="D143" s="104"/>
      <c r="E143" s="131"/>
      <c r="F143" s="710"/>
      <c r="G143" s="356"/>
      <c r="H143" s="744"/>
      <c r="I143" s="131"/>
      <c r="N143" s="163" t="s">
        <v>121</v>
      </c>
      <c r="O143" s="111"/>
      <c r="P143" s="111"/>
      <c r="Q143" s="111"/>
      <c r="R143" s="111"/>
      <c r="S143" s="82">
        <f t="shared" ref="S143" si="404">E143*G143</f>
        <v>0</v>
      </c>
      <c r="T143" s="540"/>
      <c r="U143" s="83"/>
      <c r="V143" s="100" t="b">
        <f>IF(G143&gt;0,IF(AD143="me","",G143))</f>
        <v>0</v>
      </c>
      <c r="W143" s="100"/>
      <c r="X143" s="100"/>
      <c r="Y143" s="201"/>
      <c r="Z143" s="829" t="str">
        <f t="shared" si="297"/>
        <v/>
      </c>
      <c r="AA143" s="829"/>
      <c r="AB143" s="830" t="str">
        <f>IF(G143=0,"",IF(AD143="free","re-planting",IF(AD143="me","not NVP, by",IF($AD$8="yes",(VLOOKUP(A143,'Discount Lookup'!J:K,2)*G143*(1-$AC$1786)*(1+$AC$1788)),IF(AD143="NVP",(VLOOKUP(A143,'Discount Lookup'!J:K,2)*G143*(1-$AC$1786)*(1+$AC$1788)),IF(AD143="free","re-planting",IF(G143=0,"",IF($AD$8="",IF(AD143="me","not NVP, by",IF(AD143="",IF(G143&gt;0,(VLOOKUP(A143,'Discount Lookup'!J:K,2)*G143*(1-$AC$1786)*(1+$AC$1788)),""),"")),"not NVP, by"))))))))</f>
        <v/>
      </c>
      <c r="AC143" s="830"/>
      <c r="AD143" s="375" t="str">
        <f t="shared" si="322"/>
        <v/>
      </c>
      <c r="AE143" s="833" t="str">
        <f t="shared" si="375"/>
        <v/>
      </c>
      <c r="AF143" s="833"/>
      <c r="AG143" s="833"/>
      <c r="AH143" s="91">
        <f>IF(AD143="free",0,IF(AD143="me",0,IF(G143&gt;0,(VLOOKUP(A143,'Discount Lookup'!J:K,2)*G143),0)))</f>
        <v>0</v>
      </c>
      <c r="AI143" s="92" t="str">
        <f t="shared" si="355"/>
        <v/>
      </c>
      <c r="AJ143" s="828" t="str">
        <f t="shared" si="298"/>
        <v/>
      </c>
      <c r="AK143" s="828"/>
      <c r="AL143" s="313" t="str">
        <f t="shared" si="393"/>
        <v/>
      </c>
      <c r="AM143" s="312"/>
      <c r="AN143" s="101"/>
      <c r="AO143" s="101"/>
      <c r="AP143" s="101"/>
      <c r="AQ143" s="101"/>
      <c r="AR143" s="101"/>
      <c r="AS143" s="101"/>
      <c r="AT143" s="101"/>
    </row>
    <row r="144" spans="1:46" ht="12.95" customHeight="1">
      <c r="A144" s="847" t="s">
        <v>177</v>
      </c>
      <c r="B144" s="848"/>
      <c r="C144" s="848"/>
      <c r="D144" s="848"/>
      <c r="E144" s="848"/>
      <c r="F144" s="848"/>
      <c r="G144" s="848"/>
      <c r="H144" s="770" t="s">
        <v>178</v>
      </c>
      <c r="I144" s="88" t="s">
        <v>79</v>
      </c>
      <c r="J144" s="86"/>
      <c r="K144" s="603" t="s">
        <v>45</v>
      </c>
      <c r="L144" s="601" t="s">
        <v>46</v>
      </c>
      <c r="M144" s="86"/>
      <c r="N144" s="87" t="s">
        <v>69</v>
      </c>
      <c r="O144" s="87"/>
      <c r="P144" s="87"/>
      <c r="Q144" s="87"/>
      <c r="R144" s="86"/>
      <c r="S144" s="125"/>
      <c r="T144" s="543"/>
      <c r="U144" s="89" t="s">
        <v>48</v>
      </c>
      <c r="V144" s="100" t="b">
        <f>IF(G144&gt;0,IF(AD144="me","",G144))</f>
        <v>0</v>
      </c>
      <c r="W144" s="100"/>
      <c r="X144" s="100"/>
      <c r="Y144" s="201"/>
      <c r="Z144" s="829" t="str">
        <f t="shared" si="297"/>
        <v/>
      </c>
      <c r="AA144" s="829"/>
      <c r="AB144" s="830" t="str">
        <f>IF(G144=0,"",IF(AD144="free","re-planting",IF(AD144="me","not NVP, by",IF($AD$8="yes",(VLOOKUP(A144,'Discount Lookup'!J:K,2)*G144*(1-$AC$1786)*(1+$AC$1788)),IF(AD144="NVP",(VLOOKUP(A144,'Discount Lookup'!J:K,2)*G144*(1-$AC$1786)*(1+$AC$1788)),IF(AD144="free","re-planting",IF(G144=0,"",IF($AD$8="",IF(AD144="me","not NVP, by",IF(AD144="",IF(G144&gt;0,(VLOOKUP(A144,'Discount Lookup'!J:K,2)*G144*(1-$AC$1786)*(1+$AC$1788)),""),"")),"not NVP, by"))))))))</f>
        <v/>
      </c>
      <c r="AC144" s="830"/>
      <c r="AD144" s="375" t="str">
        <f t="shared" si="322"/>
        <v/>
      </c>
      <c r="AE144" s="833" t="str">
        <f t="shared" si="375"/>
        <v/>
      </c>
      <c r="AF144" s="833"/>
      <c r="AG144" s="833"/>
      <c r="AH144" s="91">
        <f>IF(AD144="free",0,IF(AD144="me",0,IF(G144&gt;0,(VLOOKUP(A144,'Discount Lookup'!J:K,2)*G144),0)))</f>
        <v>0</v>
      </c>
      <c r="AI144" s="92" t="str">
        <f t="shared" si="355"/>
        <v/>
      </c>
      <c r="AJ144" s="828" t="str">
        <f t="shared" si="298"/>
        <v/>
      </c>
      <c r="AK144" s="828"/>
      <c r="AL144" s="313" t="str">
        <f t="shared" si="393"/>
        <v/>
      </c>
      <c r="AM144" s="312"/>
      <c r="AN144" s="101"/>
      <c r="AO144" s="101"/>
      <c r="AP144" s="101"/>
      <c r="AQ144" s="101"/>
      <c r="AR144" s="101"/>
      <c r="AS144" s="101"/>
      <c r="AT144" s="101"/>
    </row>
    <row r="145" spans="1:46" ht="12.95" customHeight="1">
      <c r="A145" s="419">
        <v>7</v>
      </c>
      <c r="B145" s="87" t="s">
        <v>50</v>
      </c>
      <c r="C145" s="128" t="s">
        <v>85</v>
      </c>
      <c r="D145" s="129" t="s">
        <v>94</v>
      </c>
      <c r="E145" s="98">
        <v>95.95</v>
      </c>
      <c r="F145" s="705" t="s">
        <v>1306</v>
      </c>
      <c r="G145" s="357">
        <v>0</v>
      </c>
      <c r="H145" s="704" t="str">
        <f t="shared" ref="H145:H146" si="405">IF(G145=0,"",IF(F145="Qty=",IF(G145=1,"plant","plants"),IF(F145&gt;0.0001,"warranty","Error")))</f>
        <v/>
      </c>
      <c r="I145" s="98">
        <f t="shared" ref="I145:I146" si="406">IF(F145="Qty=",(E145*G145),((E145*(1-F145))*G145))</f>
        <v>0</v>
      </c>
      <c r="J145" s="98">
        <f>IF(H145="warranty",0,(I145*($J$1782)))</f>
        <v>0</v>
      </c>
      <c r="K145" s="831">
        <f t="shared" ref="K145:K146" si="407">I145+J145</f>
        <v>0</v>
      </c>
      <c r="L145" s="831"/>
      <c r="M145" s="832" t="str">
        <f>IF($H$1784=0,"",IF(G145=0,"",IF(F145="Qty=",CONCATENATE("$",ROUND(K145*(1-$H$1784),2)," with ",($H$1784*100),"% discount"),CONCATENATE("$",ROUND(K145*(1-$H$1784),2)," with ",(($H$1784*100+F145*100)-($H$1784*100*F145)),IF(F145&gt;0,"% discounts",IF($H$1781&gt;0,"% discounts","% discount"))))))</f>
        <v/>
      </c>
      <c r="N145" s="832"/>
      <c r="O145" s="832"/>
      <c r="P145" s="832"/>
      <c r="Q145" s="832"/>
      <c r="R145" s="832"/>
      <c r="S145" s="303">
        <f t="shared" ref="S145:S146" si="408">E145*G145</f>
        <v>0</v>
      </c>
      <c r="T145" s="541">
        <f>VLOOKUP(A145,'Discount Lookup'!D:E,2,FALSE)*G145</f>
        <v>0</v>
      </c>
      <c r="U145" s="83">
        <f>VLOOKUP(A145,'Discount Lookup'!G:H,2,FALSE)*G145</f>
        <v>0</v>
      </c>
      <c r="V145" s="100">
        <f>E145*($J$1782)*G145</f>
        <v>0</v>
      </c>
      <c r="W145" s="100">
        <f t="shared" ref="W145:W146" si="409">I145</f>
        <v>0</v>
      </c>
      <c r="X145" s="100" t="b">
        <f t="shared" ref="X145:X146" si="410">IF(G145&gt;0,IF(AD145="me","",G145))</f>
        <v>0</v>
      </c>
      <c r="Y145" s="201"/>
      <c r="Z145" s="829" t="str">
        <f t="shared" ref="Z145:Z146" si="411">IF(G145=0,"",IF(AD145="me","",IF($AD$8="me","",IF(AD145="free","warranty",IF($AD$8="yes","NVP planting:","to NVP install:")))))</f>
        <v/>
      </c>
      <c r="AA145" s="829"/>
      <c r="AB145" s="830" t="str">
        <f>IF(G145=0,"",IF(AD145="free","re-planting",IF(AD145="me","not NVP, by",IF($AD$8="yes",(VLOOKUP(A145,'Discount Lookup'!J:K,2)*G145*(1-$AC$1786)*(1+$AC$1788)),IF(AD145="NVP",(VLOOKUP(A145,'Discount Lookup'!J:K,2)*G145*(1-$AC$1786)*(1+$AC$1788)),IF(AD145="free","re-planting",IF(G145=0,"",IF($AD$8="",IF(AD145="me","not NVP, by",IF(AD145="",IF(G145&gt;0,(VLOOKUP(A145,'Discount Lookup'!J:K,2)*G145*(1-$AC$1786)*(1+$AC$1788)),""),"")),"not NVP, by"))))))))</f>
        <v/>
      </c>
      <c r="AC145" s="830"/>
      <c r="AD145" s="375" t="str">
        <f t="shared" ref="AD145:AD146" si="412">IF(G145=0,"",IF($AD$8="me","me",IF(H145="warranty","free",IF($AD$8="yes","NVP",""))))</f>
        <v/>
      </c>
      <c r="AE145" s="833" t="str">
        <f t="shared" si="375"/>
        <v/>
      </c>
      <c r="AF145" s="833"/>
      <c r="AG145" s="833"/>
      <c r="AH145" s="91">
        <f>IF(AD145="free",0,IF(AD145="me",0,IF(G145&gt;0,(VLOOKUP(A145,'Discount Lookup'!J:K,2)*G145),0)))</f>
        <v>0</v>
      </c>
      <c r="AI145" s="92" t="str">
        <f t="shared" si="355"/>
        <v/>
      </c>
      <c r="AJ145" s="828" t="str">
        <f t="shared" ref="AJ145:AJ146" si="413">IF(G145=0,"",IF(AD145="me","  delivery-only",IF($AD$8="me","  delivery-only",CONCATENATE(" $",ROUND(AI145/G145,2)," each"))))</f>
        <v/>
      </c>
      <c r="AK145" s="828"/>
      <c r="AL145" s="313" t="str">
        <f t="shared" si="393"/>
        <v/>
      </c>
      <c r="AM145" s="312"/>
      <c r="AN145" s="101"/>
      <c r="AO145" s="101"/>
      <c r="AP145" s="101"/>
      <c r="AQ145" s="101"/>
      <c r="AR145" s="101"/>
      <c r="AS145" s="101"/>
      <c r="AT145" s="101"/>
    </row>
    <row r="146" spans="1:46" ht="12.95" customHeight="1">
      <c r="A146" s="419">
        <v>10</v>
      </c>
      <c r="B146" s="87" t="s">
        <v>50</v>
      </c>
      <c r="C146" s="128" t="s">
        <v>88</v>
      </c>
      <c r="D146" s="129" t="s">
        <v>94</v>
      </c>
      <c r="E146" s="98">
        <v>107.95</v>
      </c>
      <c r="F146" s="705" t="s">
        <v>1306</v>
      </c>
      <c r="G146" s="357">
        <v>0</v>
      </c>
      <c r="H146" s="704" t="str">
        <f t="shared" si="405"/>
        <v/>
      </c>
      <c r="I146" s="98">
        <f t="shared" si="406"/>
        <v>0</v>
      </c>
      <c r="J146" s="98">
        <f>IF(H146="warranty",0,(I146*($J$1782)))</f>
        <v>0</v>
      </c>
      <c r="K146" s="831">
        <f t="shared" si="407"/>
        <v>0</v>
      </c>
      <c r="L146" s="831"/>
      <c r="M146" s="832" t="str">
        <f>IF($H$1784=0,"",IF(G146=0,"",IF(F146="Qty=",CONCATENATE("$",ROUND(K146*(1-$H$1784),2)," with ",($H$1784*100),"% discount"),CONCATENATE("$",ROUND(K146*(1-$H$1784),2)," with ",(($H$1784*100+F146*100)-($H$1784*100*F146)),IF(F146&gt;0,"% discounts",IF($H$1781&gt;0,"% discounts","% discount"))))))</f>
        <v/>
      </c>
      <c r="N146" s="832"/>
      <c r="O146" s="832"/>
      <c r="P146" s="832"/>
      <c r="Q146" s="832"/>
      <c r="R146" s="832"/>
      <c r="S146" s="303">
        <f t="shared" si="408"/>
        <v>0</v>
      </c>
      <c r="T146" s="541">
        <f>VLOOKUP(A146,'Discount Lookup'!D:E,2,FALSE)*G146</f>
        <v>0</v>
      </c>
      <c r="U146" s="83">
        <f>VLOOKUP(A146,'Discount Lookup'!G:H,2,FALSE)*G146</f>
        <v>0</v>
      </c>
      <c r="V146" s="100">
        <f>E146*($J$1782)*G146</f>
        <v>0</v>
      </c>
      <c r="W146" s="100">
        <f t="shared" si="409"/>
        <v>0</v>
      </c>
      <c r="X146" s="100" t="b">
        <f t="shared" si="410"/>
        <v>0</v>
      </c>
      <c r="Y146" s="201"/>
      <c r="Z146" s="829" t="str">
        <f t="shared" si="411"/>
        <v/>
      </c>
      <c r="AA146" s="829"/>
      <c r="AB146" s="830" t="str">
        <f>IF(G146=0,"",IF(AD146="free","re-planting",IF(AD146="me","not NVP, by",IF($AD$8="yes",(VLOOKUP(A146,'Discount Lookup'!J:K,2)*G146*(1-$AC$1786)*(1+$AC$1788)),IF(AD146="NVP",(VLOOKUP(A146,'Discount Lookup'!J:K,2)*G146*(1-$AC$1786)*(1+$AC$1788)),IF(AD146="free","re-planting",IF(G146=0,"",IF($AD$8="",IF(AD146="me","not NVP, by",IF(AD146="",IF(G146&gt;0,(VLOOKUP(A146,'Discount Lookup'!J:K,2)*G146*(1-$AC$1786)*(1+$AC$1788)),""),"")),"not NVP, by"))))))))</f>
        <v/>
      </c>
      <c r="AC146" s="830"/>
      <c r="AD146" s="375" t="str">
        <f t="shared" si="412"/>
        <v/>
      </c>
      <c r="AE146" s="833" t="str">
        <f t="shared" si="375"/>
        <v/>
      </c>
      <c r="AF146" s="833"/>
      <c r="AG146" s="833"/>
      <c r="AH146" s="91">
        <f>IF(AD146="free",0,IF(AD146="me",0,IF(G146&gt;0,(VLOOKUP(A146,'Discount Lookup'!J:K,2)*G146),0)))</f>
        <v>0</v>
      </c>
      <c r="AI146" s="92" t="str">
        <f t="shared" si="355"/>
        <v/>
      </c>
      <c r="AJ146" s="828" t="str">
        <f t="shared" si="413"/>
        <v/>
      </c>
      <c r="AK146" s="828"/>
      <c r="AL146" s="313" t="str">
        <f t="shared" si="393"/>
        <v/>
      </c>
      <c r="AM146" s="312"/>
      <c r="AN146" s="101"/>
      <c r="AO146" s="101"/>
      <c r="AP146" s="101"/>
      <c r="AQ146" s="101"/>
      <c r="AR146" s="101"/>
      <c r="AS146" s="101"/>
      <c r="AT146" s="101"/>
    </row>
    <row r="147" spans="1:46" ht="12.95" customHeight="1">
      <c r="A147" s="419">
        <v>15</v>
      </c>
      <c r="B147" s="87" t="s">
        <v>50</v>
      </c>
      <c r="C147" s="128" t="s">
        <v>1183</v>
      </c>
      <c r="D147" s="129" t="s">
        <v>94</v>
      </c>
      <c r="E147" s="98">
        <v>155.94999999999999</v>
      </c>
      <c r="F147" s="705" t="s">
        <v>1306</v>
      </c>
      <c r="G147" s="357">
        <v>0</v>
      </c>
      <c r="H147" s="704" t="str">
        <f t="shared" ref="H147" si="414">IF(G147=0,"",IF(F147="Qty=",IF(G147=1,"plant","plants"),IF(F147&gt;0.0001,"warranty","Error")))</f>
        <v/>
      </c>
      <c r="I147" s="98">
        <f t="shared" ref="I147" si="415">IF(F147="Qty=",(E147*G147),((E147*(1-F147))*G147))</f>
        <v>0</v>
      </c>
      <c r="J147" s="98">
        <f>IF(H147="warranty",0,(I147*($J$1782)))</f>
        <v>0</v>
      </c>
      <c r="K147" s="831">
        <f t="shared" ref="K147" si="416">I147+J147</f>
        <v>0</v>
      </c>
      <c r="L147" s="831"/>
      <c r="M147" s="832" t="str">
        <f>IF($H$1784=0,"",IF(G147=0,"",IF(F147="Qty=",CONCATENATE("$",ROUND(K147*(1-$H$1784),2)," with ",($H$1784*100),"% discount"),CONCATENATE("$",ROUND(K147*(1-$H$1784),2)," with ",(($H$1784*100+F147*100)-($H$1784*100*F147)),IF(F147&gt;0,"% discounts",IF($H$1781&gt;0,"% discounts","% discount"))))))</f>
        <v/>
      </c>
      <c r="N147" s="832"/>
      <c r="O147" s="832"/>
      <c r="P147" s="832"/>
      <c r="Q147" s="832"/>
      <c r="R147" s="832"/>
      <c r="S147" s="303">
        <f t="shared" ref="S147" si="417">E147*G147</f>
        <v>0</v>
      </c>
      <c r="T147" s="541">
        <f>VLOOKUP(A147,'Discount Lookup'!D:E,2,FALSE)*G147</f>
        <v>0</v>
      </c>
      <c r="U147" s="83">
        <f>VLOOKUP(A147,'Discount Lookup'!G:H,2,FALSE)*G147</f>
        <v>0</v>
      </c>
      <c r="V147" s="100">
        <f>E147*($J$1782)*G147</f>
        <v>0</v>
      </c>
      <c r="W147" s="100">
        <f t="shared" ref="W147" si="418">I147</f>
        <v>0</v>
      </c>
      <c r="X147" s="100" t="b">
        <f t="shared" ref="X147" si="419">IF(G147&gt;0,IF(AD147="me","",G147))</f>
        <v>0</v>
      </c>
      <c r="Y147" s="201"/>
      <c r="Z147" s="829" t="str">
        <f t="shared" ref="Z147" si="420">IF(G147=0,"",IF(AD147="me","",IF($AD$8="me","",IF(AD147="free","warranty",IF($AD$8="yes","NVP planting:","to NVP install:")))))</f>
        <v/>
      </c>
      <c r="AA147" s="829"/>
      <c r="AB147" s="830" t="str">
        <f>IF(G147=0,"",IF(AD147="free","re-planting",IF(AD147="me","not NVP, by",IF($AD$8="yes",(VLOOKUP(A147,'Discount Lookup'!J:K,2)*G147*(1-$AC$1786)*(1+$AC$1788)),IF(AD147="NVP",(VLOOKUP(A147,'Discount Lookup'!J:K,2)*G147*(1-$AC$1786)*(1+$AC$1788)),IF(AD147="free","re-planting",IF(G147=0,"",IF($AD$8="",IF(AD147="me","not NVP, by",IF(AD147="",IF(G147&gt;0,(VLOOKUP(A147,'Discount Lookup'!J:K,2)*G147*(1-$AC$1786)*(1+$AC$1788)),""),"")),"not NVP, by"))))))))</f>
        <v/>
      </c>
      <c r="AC147" s="830"/>
      <c r="AD147" s="375" t="str">
        <f t="shared" ref="AD147" si="421">IF(G147=0,"",IF($AD$8="me","me",IF(H147="warranty","free",IF($AD$8="yes","NVP",""))))</f>
        <v/>
      </c>
      <c r="AE147" s="833" t="str">
        <f t="shared" ref="AE147" si="422">IF(G147&gt;0,(CONCATENATE((G147)," quantity, ",(A147)," ",B147)),"")</f>
        <v/>
      </c>
      <c r="AF147" s="833"/>
      <c r="AG147" s="833"/>
      <c r="AH147" s="91">
        <f>IF(AD147="free",0,IF(AD147="me",0,IF(G147&gt;0,(VLOOKUP(A147,'Discount Lookup'!J:K,2)*G147),0)))</f>
        <v>0</v>
      </c>
      <c r="AI147" s="92" t="str">
        <f t="shared" si="355"/>
        <v/>
      </c>
      <c r="AJ147" s="828" t="str">
        <f t="shared" ref="AJ147" si="423">IF(G147=0,"",IF(AD147="me","  delivery-only",IF($AD$8="me","  delivery-only",CONCATENATE(" $",ROUND(AI147/G147,2)," each"))))</f>
        <v/>
      </c>
      <c r="AK147" s="828"/>
      <c r="AL147" s="313" t="str">
        <f t="shared" si="393"/>
        <v/>
      </c>
      <c r="AM147" s="312"/>
      <c r="AN147" s="101"/>
      <c r="AO147" s="101"/>
      <c r="AP147" s="101"/>
      <c r="AQ147" s="101"/>
      <c r="AR147" s="101"/>
      <c r="AS147" s="101"/>
      <c r="AT147" s="101"/>
    </row>
    <row r="148" spans="1:46" ht="12.95" customHeight="1">
      <c r="A148" s="419">
        <v>25</v>
      </c>
      <c r="B148" s="87" t="s">
        <v>50</v>
      </c>
      <c r="C148" s="128" t="s">
        <v>211</v>
      </c>
      <c r="D148" s="129" t="s">
        <v>90</v>
      </c>
      <c r="E148" s="98">
        <v>367.95</v>
      </c>
      <c r="F148" s="705" t="s">
        <v>1306</v>
      </c>
      <c r="G148" s="357">
        <v>0</v>
      </c>
      <c r="H148" s="704" t="str">
        <f t="shared" ref="H148" si="424">IF(G148=0,"",IF(F148="Qty=",IF(G148=1,"plant","plants"),IF(F148&gt;0.0001,"warranty","Error")))</f>
        <v/>
      </c>
      <c r="I148" s="98">
        <f t="shared" ref="I148" si="425">IF(F148="Qty=",(E148*G148),((E148*(1-F148))*G148))</f>
        <v>0</v>
      </c>
      <c r="J148" s="98">
        <f>IF(H148="warranty",0,(I148*($J$1782)))</f>
        <v>0</v>
      </c>
      <c r="K148" s="831">
        <f t="shared" ref="K148" si="426">I148+J148</f>
        <v>0</v>
      </c>
      <c r="L148" s="831"/>
      <c r="M148" s="832" t="str">
        <f>IF($H$1784=0,"",IF(G148=0,"",IF(F148="Qty=",CONCATENATE("$",ROUND(K148*(1-$H$1784),2)," with ",($H$1784*100),"% discount"),CONCATENATE("$",ROUND(K148*(1-$H$1784),2)," with ",(($H$1784*100+F148*100)-($H$1784*100*F148)),IF(F148&gt;0,"% discounts",IF($H$1781&gt;0,"% discounts","% discount"))))))</f>
        <v/>
      </c>
      <c r="N148" s="832"/>
      <c r="O148" s="832"/>
      <c r="P148" s="832"/>
      <c r="Q148" s="832"/>
      <c r="R148" s="832"/>
      <c r="S148" s="303">
        <f t="shared" ref="S148" si="427">E148*G148</f>
        <v>0</v>
      </c>
      <c r="T148" s="541">
        <f>VLOOKUP(A148,'Discount Lookup'!D:E,2,FALSE)*G148</f>
        <v>0</v>
      </c>
      <c r="U148" s="83">
        <f>VLOOKUP(A148,'Discount Lookup'!G:H,2,FALSE)*G148</f>
        <v>0</v>
      </c>
      <c r="V148" s="100">
        <f>E148*($J$1782)*G148</f>
        <v>0</v>
      </c>
      <c r="W148" s="100">
        <f t="shared" ref="W148" si="428">I148</f>
        <v>0</v>
      </c>
      <c r="X148" s="100" t="b">
        <f>IF(G148&gt;0,IF(AD148="me","",G148))</f>
        <v>0</v>
      </c>
      <c r="Y148" s="201"/>
      <c r="Z148" s="829" t="str">
        <f t="shared" si="297"/>
        <v/>
      </c>
      <c r="AA148" s="829"/>
      <c r="AB148" s="830" t="str">
        <f>IF(G148=0,"",IF(AD148="free","re-planting",IF(AD148="me","not NVP, by",IF($AD$8="yes",(VLOOKUP(A148,'Discount Lookup'!J:K,2)*G148*(1-$AC$1786)*(1+$AC$1788)),IF(AD148="NVP",(VLOOKUP(A148,'Discount Lookup'!J:K,2)*G148*(1-$AC$1786)*(1+$AC$1788)),IF(AD148="free","re-planting",IF(G148=0,"",IF($AD$8="",IF(AD148="me","not NVP, by",IF(AD148="",IF(G148&gt;0,(VLOOKUP(A148,'Discount Lookup'!J:K,2)*G148*(1-$AC$1786)*(1+$AC$1788)),""),"")),"not NVP, by"))))))))</f>
        <v/>
      </c>
      <c r="AC148" s="830"/>
      <c r="AD148" s="375" t="str">
        <f t="shared" si="322"/>
        <v/>
      </c>
      <c r="AE148" s="833" t="str">
        <f t="shared" si="375"/>
        <v/>
      </c>
      <c r="AF148" s="833"/>
      <c r="AG148" s="833"/>
      <c r="AH148" s="91">
        <f>IF(AD148="free",0,IF(AD148="me",0,IF(G148&gt;0,(VLOOKUP(A148,'Discount Lookup'!J:K,2)*G148),0)))</f>
        <v>0</v>
      </c>
      <c r="AI148" s="92" t="str">
        <f t="shared" si="355"/>
        <v/>
      </c>
      <c r="AJ148" s="828" t="str">
        <f t="shared" si="298"/>
        <v/>
      </c>
      <c r="AK148" s="828"/>
      <c r="AL148" s="313" t="str">
        <f t="shared" si="393"/>
        <v/>
      </c>
      <c r="AM148" s="312"/>
      <c r="AN148" s="101"/>
      <c r="AO148" s="101"/>
      <c r="AP148" s="101"/>
      <c r="AQ148" s="101"/>
      <c r="AR148" s="101"/>
      <c r="AS148" s="101"/>
      <c r="AT148" s="101"/>
    </row>
    <row r="149" spans="1:46" ht="12.95" customHeight="1">
      <c r="A149" s="465"/>
      <c r="B149" s="150" t="s">
        <v>179</v>
      </c>
      <c r="C149" s="130"/>
      <c r="D149" s="104"/>
      <c r="E149" s="131"/>
      <c r="F149" s="710"/>
      <c r="G149" s="356"/>
      <c r="H149" s="744"/>
      <c r="I149" s="131"/>
      <c r="J149" s="131"/>
      <c r="K149" s="608"/>
      <c r="L149" s="608"/>
      <c r="M149" s="840"/>
      <c r="N149" s="840"/>
      <c r="O149" s="123"/>
      <c r="P149" s="124"/>
      <c r="Q149" s="841"/>
      <c r="R149" s="841"/>
      <c r="S149" s="841"/>
      <c r="T149" s="841"/>
      <c r="U149" s="841"/>
      <c r="V149" s="841"/>
      <c r="Y149" s="132"/>
      <c r="Z149" s="829" t="str">
        <f t="shared" si="297"/>
        <v/>
      </c>
      <c r="AA149" s="829"/>
      <c r="AB149" s="830" t="str">
        <f>IF(G149=0,"",IF(AD149="free","re-planting",IF(AD149="me","not NVP, by",IF($AD$8="yes",(VLOOKUP(A149,'Discount Lookup'!J:K,2)*G149*(1-$AC$1786)*(1+$AC$1788)),IF(AD149="NVP",(VLOOKUP(A149,'Discount Lookup'!J:K,2)*G149*(1-$AC$1786)*(1+$AC$1788)),IF(AD149="free","re-planting",IF(G149=0,"",IF($AD$8="",IF(AD149="me","not NVP, by",IF(AD149="",IF(G149&gt;0,(VLOOKUP(A149,'Discount Lookup'!J:K,2)*G149*(1-$AC$1786)*(1+$AC$1788)),""),"")),"not NVP, by"))))))))</f>
        <v/>
      </c>
      <c r="AC149" s="830"/>
      <c r="AD149" s="375" t="str">
        <f t="shared" si="322"/>
        <v/>
      </c>
      <c r="AE149" s="833" t="str">
        <f t="shared" si="375"/>
        <v/>
      </c>
      <c r="AF149" s="833"/>
      <c r="AG149" s="833"/>
      <c r="AH149" s="91">
        <f>IF(AD149="free",0,IF(AD149="me",0,IF(G149&gt;0,(VLOOKUP(A149,'Discount Lookup'!J:K,2)*G149),0)))</f>
        <v>0</v>
      </c>
      <c r="AI149" s="92" t="str">
        <f t="shared" si="355"/>
        <v/>
      </c>
      <c r="AJ149" s="828" t="str">
        <f t="shared" si="298"/>
        <v/>
      </c>
      <c r="AK149" s="828"/>
      <c r="AL149" s="313" t="str">
        <f t="shared" si="393"/>
        <v/>
      </c>
      <c r="AM149" s="312"/>
      <c r="AN149" s="101"/>
      <c r="AO149" s="101"/>
      <c r="AP149" s="101"/>
      <c r="AQ149" s="101"/>
      <c r="AR149" s="101"/>
      <c r="AS149" s="101"/>
      <c r="AT149" s="101"/>
    </row>
    <row r="150" spans="1:46" ht="12.95" customHeight="1">
      <c r="A150" s="847" t="s">
        <v>1655</v>
      </c>
      <c r="B150" s="848"/>
      <c r="C150" s="848"/>
      <c r="D150" s="848"/>
      <c r="E150" s="848"/>
      <c r="F150" s="848"/>
      <c r="G150" s="848"/>
      <c r="H150" s="770" t="s">
        <v>180</v>
      </c>
      <c r="I150" s="348" t="s">
        <v>44</v>
      </c>
      <c r="J150" s="93"/>
      <c r="K150" s="603" t="s">
        <v>45</v>
      </c>
      <c r="L150" s="601" t="s">
        <v>46</v>
      </c>
      <c r="M150" s="86"/>
      <c r="N150" s="87" t="s">
        <v>75</v>
      </c>
      <c r="O150" s="87"/>
      <c r="P150" s="87"/>
      <c r="Q150" s="87"/>
      <c r="R150" s="86"/>
      <c r="S150" s="125"/>
      <c r="T150" s="543"/>
      <c r="U150" s="112"/>
      <c r="V150" s="100" t="b">
        <f>IF(G150&gt;0,IF(AD150="me","",G150))</f>
        <v>0</v>
      </c>
      <c r="W150" s="100"/>
      <c r="X150" s="100"/>
      <c r="Y150" s="201"/>
      <c r="Z150" s="829" t="str">
        <f t="shared" si="297"/>
        <v/>
      </c>
      <c r="AA150" s="829"/>
      <c r="AB150" s="830" t="str">
        <f>IF(G150=0,"",IF(AD150="free","re-planting",IF(AD150="me","not NVP, by",IF($AD$8="yes",(VLOOKUP(A150,'Discount Lookup'!J:K,2)*G150*(1-$AC$1786)*(1+$AC$1788)),IF(AD150="NVP",(VLOOKUP(A150,'Discount Lookup'!J:K,2)*G150*(1-$AC$1786)*(1+$AC$1788)),IF(AD150="free","re-planting",IF(G150=0,"",IF($AD$8="",IF(AD150="me","not NVP, by",IF(AD150="",IF(G150&gt;0,(VLOOKUP(A150,'Discount Lookup'!J:K,2)*G150*(1-$AC$1786)*(1+$AC$1788)),""),"")),"not NVP, by"))))))))</f>
        <v/>
      </c>
      <c r="AC150" s="830"/>
      <c r="AD150" s="375" t="str">
        <f t="shared" si="322"/>
        <v/>
      </c>
      <c r="AE150" s="833" t="str">
        <f t="shared" si="375"/>
        <v/>
      </c>
      <c r="AF150" s="833"/>
      <c r="AG150" s="833"/>
      <c r="AH150" s="91">
        <f>IF(AD150="free",0,IF(AD150="me",0,IF(G150&gt;0,(VLOOKUP(A150,'Discount Lookup'!J:K,2)*G150),0)))</f>
        <v>0</v>
      </c>
      <c r="AI150" s="92" t="str">
        <f t="shared" si="355"/>
        <v/>
      </c>
      <c r="AJ150" s="828" t="str">
        <f t="shared" si="298"/>
        <v/>
      </c>
      <c r="AK150" s="828"/>
      <c r="AL150" s="313" t="str">
        <f t="shared" si="393"/>
        <v/>
      </c>
      <c r="AM150" s="312"/>
      <c r="AN150" s="101"/>
      <c r="AO150" s="101"/>
      <c r="AP150" s="101"/>
      <c r="AQ150" s="101"/>
      <c r="AR150" s="101"/>
      <c r="AS150" s="101"/>
      <c r="AT150" s="101"/>
    </row>
    <row r="151" spans="1:46" ht="12.95" customHeight="1">
      <c r="A151" s="419">
        <v>3</v>
      </c>
      <c r="B151" s="87" t="s">
        <v>50</v>
      </c>
      <c r="C151" s="128" t="s">
        <v>51</v>
      </c>
      <c r="D151" s="129" t="s">
        <v>86</v>
      </c>
      <c r="E151" s="98">
        <v>26.95</v>
      </c>
      <c r="F151" s="705" t="s">
        <v>1306</v>
      </c>
      <c r="G151" s="357">
        <v>0</v>
      </c>
      <c r="H151" s="704" t="str">
        <f t="shared" ref="H151:H158" si="429">IF(G151=0,"",IF(F151="Qty=",IF(G151=1,"plant","plants"),IF(F151&gt;0.0001,"warranty","Error")))</f>
        <v/>
      </c>
      <c r="I151" s="98">
        <f t="shared" ref="I151:I158" si="430">IF(F151="Qty=",(E151*G151),((E151*(1-F151))*G151))</f>
        <v>0</v>
      </c>
      <c r="J151" s="98">
        <f t="shared" ref="J151:J158" si="431">IF(H151="warranty",0,(I151*($J$1782)))</f>
        <v>0</v>
      </c>
      <c r="K151" s="831">
        <f t="shared" ref="K151:K158" si="432">I151+J151</f>
        <v>0</v>
      </c>
      <c r="L151" s="831"/>
      <c r="M151" s="832" t="str">
        <f t="shared" ref="M151:M158" si="433">IF($H$1784=0,"",IF(G151=0,"",IF(F151="Qty=",CONCATENATE("$",ROUND(K151*(1-$H$1784),2)," with ",($H$1784*100),"% discount"),CONCATENATE("$",ROUND(K151*(1-$H$1784),2)," with ",(($H$1784*100+F151*100)-($H$1784*100*F151)),IF(F151&gt;0,"% discounts",IF($H$1781&gt;0,"% discounts","% discount"))))))</f>
        <v/>
      </c>
      <c r="N151" s="832"/>
      <c r="O151" s="832"/>
      <c r="P151" s="832"/>
      <c r="Q151" s="832"/>
      <c r="R151" s="832"/>
      <c r="S151" s="303">
        <f t="shared" ref="S151:S157" si="434">E151*G151</f>
        <v>0</v>
      </c>
      <c r="T151" s="541">
        <f>VLOOKUP(A151,'Discount Lookup'!D:E,2,FALSE)*G151</f>
        <v>0</v>
      </c>
      <c r="U151" s="83">
        <f>VLOOKUP(A151,'Discount Lookup'!G:H,2,FALSE)*G151</f>
        <v>0</v>
      </c>
      <c r="V151" s="100">
        <f t="shared" ref="V151:V158" si="435">E151*($J$1782)*G151</f>
        <v>0</v>
      </c>
      <c r="W151" s="100">
        <f t="shared" ref="W151:W157" si="436">I151</f>
        <v>0</v>
      </c>
      <c r="X151" s="100" t="b">
        <f t="shared" ref="X151:X158" si="437">IF(G151&gt;0,IF(AD151="me","",G151))</f>
        <v>0</v>
      </c>
      <c r="Y151" s="201"/>
      <c r="Z151" s="829" t="str">
        <f t="shared" si="297"/>
        <v/>
      </c>
      <c r="AA151" s="829"/>
      <c r="AB151" s="830" t="str">
        <f>IF(G151=0,"",IF(AD151="free","re-planting",IF(AD151="me","not NVP, by",IF($AD$8="yes",(VLOOKUP(A151,'Discount Lookup'!J:K,2)*G151*(1-$AC$1786)*(1+$AC$1788)),IF(AD151="NVP",(VLOOKUP(A151,'Discount Lookup'!J:K,2)*G151*(1-$AC$1786)*(1+$AC$1788)),IF(AD151="free","re-planting",IF(G151=0,"",IF($AD$8="",IF(AD151="me","not NVP, by",IF(AD151="",IF(G151&gt;0,(VLOOKUP(A151,'Discount Lookup'!J:K,2)*G151*(1-$AC$1786)*(1+$AC$1788)),""),"")),"not NVP, by"))))))))</f>
        <v/>
      </c>
      <c r="AC151" s="830"/>
      <c r="AD151" s="375" t="str">
        <f t="shared" si="322"/>
        <v/>
      </c>
      <c r="AE151" s="833" t="str">
        <f t="shared" si="375"/>
        <v/>
      </c>
      <c r="AF151" s="833"/>
      <c r="AG151" s="833"/>
      <c r="AH151" s="91">
        <f>IF(AD151="free",0,IF(AD151="me",0,IF(G151&gt;0,(VLOOKUP(A151,'Discount Lookup'!J:K,2)*G151),0)))</f>
        <v>0</v>
      </c>
      <c r="AI151" s="92" t="str">
        <f t="shared" si="355"/>
        <v/>
      </c>
      <c r="AJ151" s="828" t="str">
        <f t="shared" si="298"/>
        <v/>
      </c>
      <c r="AK151" s="828"/>
      <c r="AL151" s="313" t="str">
        <f t="shared" si="393"/>
        <v/>
      </c>
      <c r="AM151" s="312"/>
      <c r="AN151" s="101"/>
      <c r="AO151" s="101"/>
      <c r="AP151" s="101"/>
      <c r="AQ151" s="101"/>
      <c r="AR151" s="101"/>
      <c r="AS151" s="101"/>
      <c r="AT151" s="101"/>
    </row>
    <row r="152" spans="1:46" ht="12.95" customHeight="1">
      <c r="A152" s="419">
        <v>3</v>
      </c>
      <c r="B152" s="87" t="s">
        <v>50</v>
      </c>
      <c r="C152" s="128" t="s">
        <v>144</v>
      </c>
      <c r="D152" s="129" t="s">
        <v>62</v>
      </c>
      <c r="E152" s="98">
        <v>24.95</v>
      </c>
      <c r="F152" s="705" t="s">
        <v>1306</v>
      </c>
      <c r="G152" s="357">
        <v>0</v>
      </c>
      <c r="H152" s="704" t="str">
        <f t="shared" si="429"/>
        <v/>
      </c>
      <c r="I152" s="98">
        <f t="shared" si="430"/>
        <v>0</v>
      </c>
      <c r="J152" s="98">
        <f t="shared" si="431"/>
        <v>0</v>
      </c>
      <c r="K152" s="831">
        <f t="shared" si="432"/>
        <v>0</v>
      </c>
      <c r="L152" s="831"/>
      <c r="M152" s="832" t="str">
        <f t="shared" si="433"/>
        <v/>
      </c>
      <c r="N152" s="832"/>
      <c r="O152" s="832"/>
      <c r="P152" s="832"/>
      <c r="Q152" s="832"/>
      <c r="R152" s="832"/>
      <c r="S152" s="303">
        <f t="shared" si="434"/>
        <v>0</v>
      </c>
      <c r="T152" s="541">
        <f>VLOOKUP(A152,'Discount Lookup'!D:E,2,FALSE)*G152</f>
        <v>0</v>
      </c>
      <c r="U152" s="83">
        <f>VLOOKUP(A152,'Discount Lookup'!G:H,2,FALSE)*G152</f>
        <v>0</v>
      </c>
      <c r="V152" s="100">
        <f t="shared" si="435"/>
        <v>0</v>
      </c>
      <c r="W152" s="100">
        <f t="shared" si="436"/>
        <v>0</v>
      </c>
      <c r="X152" s="100" t="b">
        <f t="shared" si="437"/>
        <v>0</v>
      </c>
      <c r="Y152" s="201"/>
      <c r="Z152" s="829" t="str">
        <f t="shared" si="297"/>
        <v/>
      </c>
      <c r="AA152" s="829"/>
      <c r="AB152" s="830" t="str">
        <f>IF(G152=0,"",IF(AD152="free","re-planting",IF(AD152="me","not NVP, by",IF($AD$8="yes",(VLOOKUP(A152,'Discount Lookup'!J:K,2)*G152*(1-$AC$1786)*(1+$AC$1788)),IF(AD152="NVP",(VLOOKUP(A152,'Discount Lookup'!J:K,2)*G152*(1-$AC$1786)*(1+$AC$1788)),IF(AD152="free","re-planting",IF(G152=0,"",IF($AD$8="",IF(AD152="me","not NVP, by",IF(AD152="",IF(G152&gt;0,(VLOOKUP(A152,'Discount Lookup'!J:K,2)*G152*(1-$AC$1786)*(1+$AC$1788)),""),"")),"not NVP, by"))))))))</f>
        <v/>
      </c>
      <c r="AC152" s="830"/>
      <c r="AD152" s="375" t="str">
        <f t="shared" si="322"/>
        <v/>
      </c>
      <c r="AE152" s="833" t="str">
        <f t="shared" si="375"/>
        <v/>
      </c>
      <c r="AF152" s="833"/>
      <c r="AG152" s="833"/>
      <c r="AH152" s="91">
        <f>IF(AD152="free",0,IF(AD152="me",0,IF(G152&gt;0,(VLOOKUP(A152,'Discount Lookup'!J:K,2)*G152),0)))</f>
        <v>0</v>
      </c>
      <c r="AI152" s="92" t="str">
        <f t="shared" si="355"/>
        <v/>
      </c>
      <c r="AJ152" s="828" t="str">
        <f t="shared" si="298"/>
        <v/>
      </c>
      <c r="AK152" s="828"/>
      <c r="AL152" s="313" t="str">
        <f t="shared" si="393"/>
        <v/>
      </c>
      <c r="AM152" s="312"/>
      <c r="AN152" s="101"/>
      <c r="AO152" s="101"/>
      <c r="AP152" s="101"/>
      <c r="AQ152" s="101"/>
      <c r="AR152" s="101"/>
      <c r="AS152" s="101"/>
      <c r="AT152" s="101"/>
    </row>
    <row r="153" spans="1:46" ht="12.95" customHeight="1">
      <c r="A153" s="419">
        <v>3</v>
      </c>
      <c r="B153" s="87" t="s">
        <v>50</v>
      </c>
      <c r="C153" s="128" t="s">
        <v>102</v>
      </c>
      <c r="D153" s="129" t="s">
        <v>63</v>
      </c>
      <c r="E153" s="98">
        <v>33.950000000000003</v>
      </c>
      <c r="F153" s="705" t="s">
        <v>1306</v>
      </c>
      <c r="G153" s="357">
        <v>0</v>
      </c>
      <c r="H153" s="704" t="str">
        <f t="shared" si="429"/>
        <v/>
      </c>
      <c r="I153" s="98">
        <f t="shared" si="430"/>
        <v>0</v>
      </c>
      <c r="J153" s="98">
        <f t="shared" si="431"/>
        <v>0</v>
      </c>
      <c r="K153" s="831">
        <f t="shared" si="432"/>
        <v>0</v>
      </c>
      <c r="L153" s="831"/>
      <c r="M153" s="832" t="str">
        <f t="shared" si="433"/>
        <v/>
      </c>
      <c r="N153" s="832"/>
      <c r="O153" s="832"/>
      <c r="P153" s="832"/>
      <c r="Q153" s="832"/>
      <c r="R153" s="832"/>
      <c r="S153" s="303">
        <f t="shared" ref="S153" si="438">E153*G153</f>
        <v>0</v>
      </c>
      <c r="T153" s="541">
        <f>VLOOKUP(A153,'Discount Lookup'!D:E,2,FALSE)*G153</f>
        <v>0</v>
      </c>
      <c r="U153" s="83">
        <f>VLOOKUP(A153,'Discount Lookup'!G:H,2,FALSE)*G153</f>
        <v>0</v>
      </c>
      <c r="V153" s="100">
        <f t="shared" si="435"/>
        <v>0</v>
      </c>
      <c r="W153" s="100">
        <f t="shared" ref="W153" si="439">I153</f>
        <v>0</v>
      </c>
      <c r="X153" s="100" t="b">
        <f t="shared" si="437"/>
        <v>0</v>
      </c>
      <c r="Y153" s="201"/>
      <c r="Z153" s="829" t="str">
        <f t="shared" si="297"/>
        <v/>
      </c>
      <c r="AA153" s="829"/>
      <c r="AB153" s="830" t="str">
        <f>IF(G153=0,"",IF(AD153="free","re-planting",IF(AD153="me","not NVP, by",IF($AD$8="yes",(VLOOKUP(A153,'Discount Lookup'!J:K,2)*G153*(1-$AC$1786)*(1+$AC$1788)),IF(AD153="NVP",(VLOOKUP(A153,'Discount Lookup'!J:K,2)*G153*(1-$AC$1786)*(1+$AC$1788)),IF(AD153="free","re-planting",IF(G153=0,"",IF($AD$8="",IF(AD153="me","not NVP, by",IF(AD153="",IF(G153&gt;0,(VLOOKUP(A153,'Discount Lookup'!J:K,2)*G153*(1-$AC$1786)*(1+$AC$1788)),""),"")),"not NVP, by"))))))))</f>
        <v/>
      </c>
      <c r="AC153" s="830"/>
      <c r="AD153" s="375" t="str">
        <f t="shared" si="322"/>
        <v/>
      </c>
      <c r="AE153" s="833" t="str">
        <f t="shared" si="375"/>
        <v/>
      </c>
      <c r="AF153" s="833"/>
      <c r="AG153" s="833"/>
      <c r="AH153" s="91">
        <f>IF(AD153="free",0,IF(AD153="me",0,IF(G153&gt;0,(VLOOKUP(A153,'Discount Lookup'!J:K,2)*G153),0)))</f>
        <v>0</v>
      </c>
      <c r="AI153" s="92" t="str">
        <f t="shared" si="355"/>
        <v/>
      </c>
      <c r="AJ153" s="828" t="str">
        <f t="shared" si="298"/>
        <v/>
      </c>
      <c r="AK153" s="828"/>
      <c r="AL153" s="313" t="str">
        <f t="shared" si="393"/>
        <v/>
      </c>
      <c r="AM153" s="312"/>
      <c r="AN153" s="101"/>
      <c r="AO153" s="101"/>
      <c r="AP153" s="101"/>
      <c r="AQ153" s="101"/>
      <c r="AR153" s="101"/>
      <c r="AS153" s="101"/>
      <c r="AT153" s="101"/>
    </row>
    <row r="154" spans="1:46" ht="12.95" customHeight="1">
      <c r="A154" s="419">
        <v>7</v>
      </c>
      <c r="B154" s="87" t="s">
        <v>50</v>
      </c>
      <c r="C154" s="128" t="s">
        <v>61</v>
      </c>
      <c r="D154" s="129" t="s">
        <v>62</v>
      </c>
      <c r="E154" s="98">
        <v>56.95</v>
      </c>
      <c r="F154" s="705" t="s">
        <v>1306</v>
      </c>
      <c r="G154" s="357">
        <v>0</v>
      </c>
      <c r="H154" s="704" t="str">
        <f t="shared" si="429"/>
        <v/>
      </c>
      <c r="I154" s="98">
        <f t="shared" si="430"/>
        <v>0</v>
      </c>
      <c r="J154" s="98">
        <f t="shared" si="431"/>
        <v>0</v>
      </c>
      <c r="K154" s="831">
        <f t="shared" si="432"/>
        <v>0</v>
      </c>
      <c r="L154" s="831"/>
      <c r="M154" s="832" t="str">
        <f t="shared" si="433"/>
        <v/>
      </c>
      <c r="N154" s="832"/>
      <c r="O154" s="832"/>
      <c r="P154" s="832"/>
      <c r="Q154" s="832"/>
      <c r="R154" s="832"/>
      <c r="S154" s="303">
        <f t="shared" ref="S154:S155" si="440">E154*G154</f>
        <v>0</v>
      </c>
      <c r="T154" s="541">
        <f>VLOOKUP(A154,'Discount Lookup'!D:E,2,FALSE)*G154</f>
        <v>0</v>
      </c>
      <c r="U154" s="83">
        <f>VLOOKUP(A154,'Discount Lookup'!G:H,2,FALSE)*G154</f>
        <v>0</v>
      </c>
      <c r="V154" s="100">
        <f t="shared" si="435"/>
        <v>0</v>
      </c>
      <c r="W154" s="100">
        <f t="shared" ref="W154:W155" si="441">I154</f>
        <v>0</v>
      </c>
      <c r="X154" s="100" t="b">
        <f t="shared" si="437"/>
        <v>0</v>
      </c>
      <c r="Y154" s="201"/>
      <c r="Z154" s="829" t="str">
        <f t="shared" si="297"/>
        <v/>
      </c>
      <c r="AA154" s="829"/>
      <c r="AB154" s="830" t="str">
        <f>IF(G154=0,"",IF(AD154="free","re-planting",IF(AD154="me","not NVP, by",IF($AD$8="yes",(VLOOKUP(A154,'Discount Lookup'!J:K,2)*G154*(1-$AC$1786)*(1+$AC$1788)),IF(AD154="NVP",(VLOOKUP(A154,'Discount Lookup'!J:K,2)*G154*(1-$AC$1786)*(1+$AC$1788)),IF(AD154="free","re-planting",IF(G154=0,"",IF($AD$8="",IF(AD154="me","not NVP, by",IF(AD154="",IF(G154&gt;0,(VLOOKUP(A154,'Discount Lookup'!J:K,2)*G154*(1-$AC$1786)*(1+$AC$1788)),""),"")),"not NVP, by"))))))))</f>
        <v/>
      </c>
      <c r="AC154" s="830"/>
      <c r="AD154" s="375" t="str">
        <f t="shared" si="322"/>
        <v/>
      </c>
      <c r="AE154" s="833" t="str">
        <f t="shared" si="375"/>
        <v/>
      </c>
      <c r="AF154" s="833"/>
      <c r="AG154" s="833"/>
      <c r="AH154" s="91">
        <f>IF(AD154="free",0,IF(AD154="me",0,IF(G154&gt;0,(VLOOKUP(A154,'Discount Lookup'!J:K,2)*G154),0)))</f>
        <v>0</v>
      </c>
      <c r="AI154" s="92" t="str">
        <f t="shared" si="355"/>
        <v/>
      </c>
      <c r="AJ154" s="828" t="str">
        <f t="shared" si="298"/>
        <v/>
      </c>
      <c r="AK154" s="828"/>
      <c r="AL154" s="313" t="str">
        <f t="shared" si="393"/>
        <v/>
      </c>
      <c r="AM154" s="312"/>
      <c r="AN154" s="101"/>
      <c r="AO154" s="101"/>
      <c r="AP154" s="101"/>
      <c r="AQ154" s="101"/>
      <c r="AR154" s="101"/>
      <c r="AS154" s="101"/>
      <c r="AT154" s="101"/>
    </row>
    <row r="155" spans="1:46" ht="12.95" customHeight="1">
      <c r="A155" s="419">
        <v>7</v>
      </c>
      <c r="B155" s="87" t="s">
        <v>50</v>
      </c>
      <c r="C155" s="128" t="s">
        <v>466</v>
      </c>
      <c r="D155" s="129" t="s">
        <v>54</v>
      </c>
      <c r="E155" s="98">
        <v>91.95</v>
      </c>
      <c r="F155" s="705" t="s">
        <v>1306</v>
      </c>
      <c r="G155" s="357">
        <v>0</v>
      </c>
      <c r="H155" s="704" t="str">
        <f t="shared" ref="H155" si="442">IF(G155=0,"",IF(F155="Qty=",IF(G155=1,"plant","plants"),IF(F155&gt;0.0001,"warranty","Error")))</f>
        <v/>
      </c>
      <c r="I155" s="98">
        <f t="shared" ref="I155" si="443">IF(F155="Qty=",(E155*G155),((E155*(1-F155))*G155))</f>
        <v>0</v>
      </c>
      <c r="J155" s="98">
        <f t="shared" si="431"/>
        <v>0</v>
      </c>
      <c r="K155" s="831">
        <f t="shared" si="432"/>
        <v>0</v>
      </c>
      <c r="L155" s="831"/>
      <c r="M155" s="832" t="str">
        <f t="shared" si="433"/>
        <v/>
      </c>
      <c r="N155" s="832"/>
      <c r="O155" s="832"/>
      <c r="P155" s="832"/>
      <c r="Q155" s="832"/>
      <c r="R155" s="832"/>
      <c r="S155" s="303">
        <f t="shared" si="440"/>
        <v>0</v>
      </c>
      <c r="T155" s="541">
        <f>VLOOKUP(A155,'Discount Lookup'!D:E,2,FALSE)*G155</f>
        <v>0</v>
      </c>
      <c r="U155" s="83">
        <f>VLOOKUP(A155,'Discount Lookup'!G:H,2,FALSE)*G155</f>
        <v>0</v>
      </c>
      <c r="V155" s="100">
        <f t="shared" si="435"/>
        <v>0</v>
      </c>
      <c r="W155" s="100">
        <f t="shared" si="441"/>
        <v>0</v>
      </c>
      <c r="X155" s="100" t="b">
        <f t="shared" ref="X155" si="444">IF(G155&gt;0,IF(AD155="me","",G155))</f>
        <v>0</v>
      </c>
      <c r="Y155" s="201"/>
      <c r="Z155" s="829" t="str">
        <f t="shared" ref="Z155" si="445">IF(G155=0,"",IF(AD155="me","",IF($AD$8="me","",IF(AD155="free","warranty",IF($AD$8="yes","NVP planting:","to NVP install:")))))</f>
        <v/>
      </c>
      <c r="AA155" s="829"/>
      <c r="AB155" s="830" t="str">
        <f>IF(G155=0,"",IF(AD155="free","re-planting",IF(AD155="me","not NVP, by",IF($AD$8="yes",(VLOOKUP(A155,'Discount Lookup'!J:K,2)*G155*(1-$AC$1786)*(1+$AC$1788)),IF(AD155="NVP",(VLOOKUP(A155,'Discount Lookup'!J:K,2)*G155*(1-$AC$1786)*(1+$AC$1788)),IF(AD155="free","re-planting",IF(G155=0,"",IF($AD$8="",IF(AD155="me","not NVP, by",IF(AD155="",IF(G155&gt;0,(VLOOKUP(A155,'Discount Lookup'!J:K,2)*G155*(1-$AC$1786)*(1+$AC$1788)),""),"")),"not NVP, by"))))))))</f>
        <v/>
      </c>
      <c r="AC155" s="830"/>
      <c r="AD155" s="375" t="str">
        <f t="shared" si="322"/>
        <v/>
      </c>
      <c r="AE155" s="833" t="str">
        <f t="shared" ref="AE155" si="446">IF(G155&gt;0,(CONCATENATE((G155)," quantity, ",(A155)," ",B155)),"")</f>
        <v/>
      </c>
      <c r="AF155" s="833"/>
      <c r="AG155" s="833"/>
      <c r="AH155" s="91">
        <f>IF(AD155="free",0,IF(AD155="me",0,IF(G155&gt;0,(VLOOKUP(A155,'Discount Lookup'!J:K,2)*G155),0)))</f>
        <v>0</v>
      </c>
      <c r="AI155" s="92" t="str">
        <f t="shared" si="355"/>
        <v/>
      </c>
      <c r="AJ155" s="828" t="str">
        <f t="shared" ref="AJ155" si="447">IF(G155=0,"",IF(AD155="me","  delivery-only",IF($AD$8="me","  delivery-only",CONCATENATE(" $",ROUND(AI155/G155,2)," each"))))</f>
        <v/>
      </c>
      <c r="AK155" s="828"/>
      <c r="AL155" s="313" t="str">
        <f t="shared" si="393"/>
        <v/>
      </c>
      <c r="AM155" s="312"/>
      <c r="AN155" s="101"/>
      <c r="AO155" s="101"/>
      <c r="AP155" s="101"/>
      <c r="AQ155" s="101"/>
      <c r="AR155" s="101"/>
      <c r="AS155" s="101"/>
      <c r="AT155" s="101"/>
    </row>
    <row r="156" spans="1:46" ht="12.95" customHeight="1">
      <c r="A156" s="419">
        <v>7</v>
      </c>
      <c r="B156" s="87" t="s">
        <v>50</v>
      </c>
      <c r="C156" s="128" t="s">
        <v>85</v>
      </c>
      <c r="D156" s="129" t="s">
        <v>63</v>
      </c>
      <c r="E156" s="98">
        <v>91.95</v>
      </c>
      <c r="F156" s="705" t="s">
        <v>1306</v>
      </c>
      <c r="G156" s="357">
        <v>0</v>
      </c>
      <c r="H156" s="704" t="str">
        <f t="shared" si="429"/>
        <v/>
      </c>
      <c r="I156" s="98">
        <f t="shared" si="430"/>
        <v>0</v>
      </c>
      <c r="J156" s="98">
        <f t="shared" si="431"/>
        <v>0</v>
      </c>
      <c r="K156" s="831">
        <f t="shared" si="432"/>
        <v>0</v>
      </c>
      <c r="L156" s="831"/>
      <c r="M156" s="832" t="str">
        <f t="shared" si="433"/>
        <v/>
      </c>
      <c r="N156" s="832"/>
      <c r="O156" s="832"/>
      <c r="P156" s="832"/>
      <c r="Q156" s="832"/>
      <c r="R156" s="832"/>
      <c r="S156" s="303">
        <f t="shared" si="434"/>
        <v>0</v>
      </c>
      <c r="T156" s="541">
        <f>VLOOKUP(A156,'Discount Lookup'!D:E,2,FALSE)*G156</f>
        <v>0</v>
      </c>
      <c r="U156" s="83">
        <f>VLOOKUP(A156,'Discount Lookup'!G:H,2,FALSE)*G156</f>
        <v>0</v>
      </c>
      <c r="V156" s="100">
        <f t="shared" si="435"/>
        <v>0</v>
      </c>
      <c r="W156" s="100">
        <f t="shared" si="436"/>
        <v>0</v>
      </c>
      <c r="X156" s="100" t="b">
        <f t="shared" si="437"/>
        <v>0</v>
      </c>
      <c r="Y156" s="201"/>
      <c r="Z156" s="829" t="str">
        <f t="shared" si="297"/>
        <v/>
      </c>
      <c r="AA156" s="829"/>
      <c r="AB156" s="830" t="str">
        <f>IF(G156=0,"",IF(AD156="free","re-planting",IF(AD156="me","not NVP, by",IF($AD$8="yes",(VLOOKUP(A156,'Discount Lookup'!J:K,2)*G156*(1-$AC$1786)*(1+$AC$1788)),IF(AD156="NVP",(VLOOKUP(A156,'Discount Lookup'!J:K,2)*G156*(1-$AC$1786)*(1+$AC$1788)),IF(AD156="free","re-planting",IF(G156=0,"",IF($AD$8="",IF(AD156="me","not NVP, by",IF(AD156="",IF(G156&gt;0,(VLOOKUP(A156,'Discount Lookup'!J:K,2)*G156*(1-$AC$1786)*(1+$AC$1788)),""),"")),"not NVP, by"))))))))</f>
        <v/>
      </c>
      <c r="AC156" s="830"/>
      <c r="AD156" s="375" t="str">
        <f t="shared" si="322"/>
        <v/>
      </c>
      <c r="AE156" s="833" t="str">
        <f t="shared" si="375"/>
        <v/>
      </c>
      <c r="AF156" s="833"/>
      <c r="AG156" s="833"/>
      <c r="AH156" s="91">
        <f>IF(AD156="free",0,IF(AD156="me",0,IF(G156&gt;0,(VLOOKUP(A156,'Discount Lookup'!J:K,2)*G156),0)))</f>
        <v>0</v>
      </c>
      <c r="AI156" s="92" t="str">
        <f t="shared" si="355"/>
        <v/>
      </c>
      <c r="AJ156" s="828" t="str">
        <f t="shared" si="298"/>
        <v/>
      </c>
      <c r="AK156" s="828"/>
      <c r="AL156" s="313" t="str">
        <f t="shared" si="393"/>
        <v/>
      </c>
      <c r="AM156" s="312"/>
      <c r="AN156" s="101"/>
      <c r="AO156" s="101"/>
      <c r="AP156" s="101"/>
      <c r="AQ156" s="101"/>
      <c r="AR156" s="101"/>
      <c r="AS156" s="101"/>
      <c r="AT156" s="101"/>
    </row>
    <row r="157" spans="1:46" ht="12.95" customHeight="1">
      <c r="A157" s="419">
        <v>15</v>
      </c>
      <c r="B157" s="87" t="s">
        <v>50</v>
      </c>
      <c r="C157" s="128" t="s">
        <v>137</v>
      </c>
      <c r="D157" s="129" t="s">
        <v>63</v>
      </c>
      <c r="E157" s="98">
        <v>160.94999999999999</v>
      </c>
      <c r="F157" s="705" t="s">
        <v>1306</v>
      </c>
      <c r="G157" s="357">
        <v>0</v>
      </c>
      <c r="H157" s="704" t="str">
        <f t="shared" ref="H157" si="448">IF(G157=0,"",IF(F157="Qty=",IF(G157=1,"plant","plants"),IF(F157&gt;0.0001,"warranty","Error")))</f>
        <v/>
      </c>
      <c r="I157" s="98">
        <f t="shared" ref="I157" si="449">IF(F157="Qty=",(E157*G157),((E157*(1-F157))*G157))</f>
        <v>0</v>
      </c>
      <c r="J157" s="98">
        <f t="shared" si="431"/>
        <v>0</v>
      </c>
      <c r="K157" s="831">
        <f t="shared" si="432"/>
        <v>0</v>
      </c>
      <c r="L157" s="831"/>
      <c r="M157" s="832" t="str">
        <f t="shared" si="433"/>
        <v/>
      </c>
      <c r="N157" s="832"/>
      <c r="O157" s="832"/>
      <c r="P157" s="832"/>
      <c r="Q157" s="832"/>
      <c r="R157" s="832"/>
      <c r="S157" s="303">
        <f t="shared" si="434"/>
        <v>0</v>
      </c>
      <c r="T157" s="541">
        <f>VLOOKUP(A157,'Discount Lookup'!D:E,2,FALSE)*G157</f>
        <v>0</v>
      </c>
      <c r="U157" s="83">
        <f>VLOOKUP(A157,'Discount Lookup'!G:H,2,FALSE)*G157</f>
        <v>0</v>
      </c>
      <c r="V157" s="100">
        <f t="shared" si="435"/>
        <v>0</v>
      </c>
      <c r="W157" s="100">
        <f t="shared" si="436"/>
        <v>0</v>
      </c>
      <c r="X157" s="100" t="b">
        <f t="shared" ref="X157" si="450">IF(G157&gt;0,IF(AD157="me","",G157))</f>
        <v>0</v>
      </c>
      <c r="Y157" s="201"/>
      <c r="Z157" s="829" t="str">
        <f t="shared" ref="Z157" si="451">IF(G157=0,"",IF(AD157="me","",IF($AD$8="me","",IF(AD157="free","warranty",IF($AD$8="yes","NVP planting:","to NVP install:")))))</f>
        <v/>
      </c>
      <c r="AA157" s="829"/>
      <c r="AB157" s="830" t="str">
        <f>IF(G157=0,"",IF(AD157="free","re-planting",IF(AD157="me","not NVP, by",IF($AD$8="yes",(VLOOKUP(A157,'Discount Lookup'!J:K,2)*G157*(1-$AC$1786)*(1+$AC$1788)),IF(AD157="NVP",(VLOOKUP(A157,'Discount Lookup'!J:K,2)*G157*(1-$AC$1786)*(1+$AC$1788)),IF(AD157="free","re-planting",IF(G157=0,"",IF($AD$8="",IF(AD157="me","not NVP, by",IF(AD157="",IF(G157&gt;0,(VLOOKUP(A157,'Discount Lookup'!J:K,2)*G157*(1-$AC$1786)*(1+$AC$1788)),""),"")),"not NVP, by"))))))))</f>
        <v/>
      </c>
      <c r="AC157" s="830"/>
      <c r="AD157" s="375" t="str">
        <f t="shared" si="322"/>
        <v/>
      </c>
      <c r="AE157" s="833" t="str">
        <f t="shared" si="375"/>
        <v/>
      </c>
      <c r="AF157" s="833"/>
      <c r="AG157" s="833"/>
      <c r="AH157" s="91">
        <f>IF(AD157="free",0,IF(AD157="me",0,IF(G157&gt;0,(VLOOKUP(A157,'Discount Lookup'!J:K,2)*G157),0)))</f>
        <v>0</v>
      </c>
      <c r="AI157" s="92" t="str">
        <f t="shared" si="355"/>
        <v/>
      </c>
      <c r="AJ157" s="828" t="str">
        <f t="shared" ref="AJ157" si="452">IF(G157=0,"",IF(AD157="me","  delivery-only",IF($AD$8="me","  delivery-only",CONCATENATE(" $",ROUND(AI157/G157,2)," each"))))</f>
        <v/>
      </c>
      <c r="AK157" s="828"/>
      <c r="AL157" s="313" t="str">
        <f t="shared" si="393"/>
        <v/>
      </c>
      <c r="AM157" s="312"/>
      <c r="AN157" s="101"/>
      <c r="AO157" s="101"/>
      <c r="AP157" s="101"/>
      <c r="AQ157" s="101"/>
      <c r="AR157" s="101"/>
      <c r="AS157" s="101"/>
      <c r="AT157" s="101"/>
    </row>
    <row r="158" spans="1:46" ht="12.95" customHeight="1">
      <c r="A158" s="419">
        <v>15</v>
      </c>
      <c r="B158" s="87" t="s">
        <v>50</v>
      </c>
      <c r="C158" s="128" t="s">
        <v>1378</v>
      </c>
      <c r="D158" s="129" t="s">
        <v>90</v>
      </c>
      <c r="E158" s="98">
        <v>216.95</v>
      </c>
      <c r="F158" s="705" t="s">
        <v>1306</v>
      </c>
      <c r="G158" s="357">
        <v>0</v>
      </c>
      <c r="H158" s="704" t="str">
        <f t="shared" si="429"/>
        <v/>
      </c>
      <c r="I158" s="98">
        <f t="shared" si="430"/>
        <v>0</v>
      </c>
      <c r="J158" s="98">
        <f t="shared" si="431"/>
        <v>0</v>
      </c>
      <c r="K158" s="831">
        <f t="shared" si="432"/>
        <v>0</v>
      </c>
      <c r="L158" s="831"/>
      <c r="M158" s="832" t="str">
        <f t="shared" si="433"/>
        <v/>
      </c>
      <c r="N158" s="832"/>
      <c r="O158" s="832"/>
      <c r="P158" s="832"/>
      <c r="Q158" s="832"/>
      <c r="R158" s="832"/>
      <c r="S158" s="303">
        <f t="shared" ref="S158" si="453">E158*G158</f>
        <v>0</v>
      </c>
      <c r="T158" s="541">
        <f>VLOOKUP(A158,'Discount Lookup'!D:E,2,FALSE)*G158</f>
        <v>0</v>
      </c>
      <c r="U158" s="83">
        <f>VLOOKUP(A158,'Discount Lookup'!G:H,2,FALSE)*G158</f>
        <v>0</v>
      </c>
      <c r="V158" s="100">
        <f t="shared" si="435"/>
        <v>0</v>
      </c>
      <c r="W158" s="100">
        <f t="shared" ref="W158" si="454">I158</f>
        <v>0</v>
      </c>
      <c r="X158" s="100" t="b">
        <f t="shared" si="437"/>
        <v>0</v>
      </c>
      <c r="Y158" s="201"/>
      <c r="Z158" s="829" t="str">
        <f t="shared" si="297"/>
        <v/>
      </c>
      <c r="AA158" s="829"/>
      <c r="AB158" s="830" t="str">
        <f>IF(G158=0,"",IF(AD158="free","re-planting",IF(AD158="me","not NVP, by",IF($AD$8="yes",(VLOOKUP(A158,'Discount Lookup'!J:K,2)*G158*(1-$AC$1786)*(1+$AC$1788)),IF(AD158="NVP",(VLOOKUP(A158,'Discount Lookup'!J:K,2)*G158*(1-$AC$1786)*(1+$AC$1788)),IF(AD158="free","re-planting",IF(G158=0,"",IF($AD$8="",IF(AD158="me","not NVP, by",IF(AD158="",IF(G158&gt;0,(VLOOKUP(A158,'Discount Lookup'!J:K,2)*G158*(1-$AC$1786)*(1+$AC$1788)),""),"")),"not NVP, by"))))))))</f>
        <v/>
      </c>
      <c r="AC158" s="830"/>
      <c r="AD158" s="375" t="str">
        <f t="shared" si="322"/>
        <v/>
      </c>
      <c r="AE158" s="833" t="str">
        <f t="shared" ref="AE158" si="455">IF(G158&gt;0,(CONCATENATE((G158)," quantity, ",(A158)," ",B158)),"")</f>
        <v/>
      </c>
      <c r="AF158" s="833"/>
      <c r="AG158" s="833"/>
      <c r="AH158" s="91">
        <f>IF(AD158="free",0,IF(AD158="me",0,IF(G158&gt;0,(VLOOKUP(A158,'Discount Lookup'!J:K,2)*G158),0)))</f>
        <v>0</v>
      </c>
      <c r="AI158" s="92" t="str">
        <f t="shared" si="355"/>
        <v/>
      </c>
      <c r="AJ158" s="828" t="str">
        <f t="shared" si="298"/>
        <v/>
      </c>
      <c r="AK158" s="828"/>
      <c r="AL158" s="313" t="str">
        <f t="shared" si="393"/>
        <v/>
      </c>
      <c r="AM158" s="312"/>
      <c r="AN158" s="101"/>
      <c r="AO158" s="101"/>
      <c r="AP158" s="101"/>
      <c r="AQ158" s="101"/>
      <c r="AR158" s="101"/>
      <c r="AS158" s="101"/>
      <c r="AT158" s="101"/>
    </row>
    <row r="159" spans="1:46" ht="12.95" customHeight="1">
      <c r="A159" s="465"/>
      <c r="B159" s="103" t="s">
        <v>1656</v>
      </c>
      <c r="H159" s="363"/>
      <c r="M159" s="121"/>
      <c r="N159" s="121"/>
      <c r="O159" s="111"/>
      <c r="P159" s="111"/>
      <c r="Q159" s="111"/>
      <c r="R159" s="111"/>
      <c r="S159" s="82">
        <f t="shared" ref="S159" si="456">E159*G159</f>
        <v>0</v>
      </c>
      <c r="T159" s="540"/>
      <c r="U159" s="83"/>
      <c r="V159" s="100" t="b">
        <f>IF(G159&gt;0,IF(AD159="me","",G159))</f>
        <v>0</v>
      </c>
      <c r="W159" s="100"/>
      <c r="X159" s="100"/>
      <c r="Y159" s="201"/>
      <c r="Z159" s="829" t="str">
        <f t="shared" si="297"/>
        <v/>
      </c>
      <c r="AA159" s="829"/>
      <c r="AB159" s="830" t="str">
        <f>IF(G159=0,"",IF(AD159="free","re-planting",IF(AD159="me","not NVP, by",IF($AD$8="yes",(VLOOKUP(A159,'Discount Lookup'!J:K,2)*G159*(1-$AC$1786)*(1+$AC$1788)),IF(AD159="NVP",(VLOOKUP(A159,'Discount Lookup'!J:K,2)*G159*(1-$AC$1786)*(1+$AC$1788)),IF(AD159="free","re-planting",IF(G159=0,"",IF($AD$8="",IF(AD159="me","not NVP, by",IF(AD159="",IF(G159&gt;0,(VLOOKUP(A159,'Discount Lookup'!J:K,2)*G159*(1-$AC$1786)*(1+$AC$1788)),""),"")),"not NVP, by"))))))))</f>
        <v/>
      </c>
      <c r="AC159" s="830"/>
      <c r="AD159" s="375" t="str">
        <f t="shared" si="322"/>
        <v/>
      </c>
      <c r="AE159" s="833" t="str">
        <f t="shared" si="375"/>
        <v/>
      </c>
      <c r="AF159" s="833"/>
      <c r="AG159" s="833"/>
      <c r="AH159" s="91">
        <f>IF(AD159="free",0,IF(AD159="me",0,IF(G159&gt;0,(VLOOKUP(A159,'Discount Lookup'!J:K,2)*G159),0)))</f>
        <v>0</v>
      </c>
      <c r="AI159" s="92" t="str">
        <f t="shared" si="355"/>
        <v/>
      </c>
      <c r="AJ159" s="828" t="str">
        <f t="shared" si="298"/>
        <v/>
      </c>
      <c r="AK159" s="828"/>
      <c r="AL159" s="313" t="str">
        <f t="shared" si="393"/>
        <v/>
      </c>
      <c r="AM159" s="312"/>
      <c r="AN159" s="101"/>
      <c r="AO159" s="101"/>
      <c r="AP159" s="101"/>
      <c r="AQ159" s="101"/>
      <c r="AR159" s="101"/>
      <c r="AS159" s="101"/>
      <c r="AT159" s="101"/>
    </row>
    <row r="160" spans="1:46" ht="12.95" customHeight="1">
      <c r="A160" s="852" t="s">
        <v>182</v>
      </c>
      <c r="B160" s="844"/>
      <c r="C160" s="844"/>
      <c r="D160" s="844"/>
      <c r="E160" s="844"/>
      <c r="F160" s="844"/>
      <c r="G160" s="844"/>
      <c r="H160" s="770" t="s">
        <v>183</v>
      </c>
      <c r="I160" s="88" t="s">
        <v>79</v>
      </c>
      <c r="J160" s="86"/>
      <c r="K160" s="600" t="s">
        <v>45</v>
      </c>
      <c r="L160" s="601" t="s">
        <v>46</v>
      </c>
      <c r="M160" s="86"/>
      <c r="N160" s="87" t="s">
        <v>130</v>
      </c>
      <c r="O160" s="87"/>
      <c r="P160" s="87"/>
      <c r="Q160" s="87"/>
      <c r="R160" s="86"/>
      <c r="S160" s="125"/>
      <c r="T160" s="543"/>
      <c r="U160" s="89" t="s">
        <v>48</v>
      </c>
      <c r="V160" s="100" t="b">
        <f>IF(G160&gt;0,IF(AD160="me","",G160))</f>
        <v>0</v>
      </c>
      <c r="W160" s="100"/>
      <c r="X160" s="100"/>
      <c r="Y160" s="201"/>
      <c r="Z160" s="829" t="str">
        <f t="shared" si="297"/>
        <v/>
      </c>
      <c r="AA160" s="829"/>
      <c r="AB160" s="830" t="str">
        <f>IF(G160=0,"",IF(AD160="free","re-planting",IF(AD160="me","not NVP, by",IF($AD$8="yes",(VLOOKUP(A160,'Discount Lookup'!J:K,2)*G160*(1-$AC$1786)*(1+$AC$1788)),IF(AD160="NVP",(VLOOKUP(A160,'Discount Lookup'!J:K,2)*G160*(1-$AC$1786)*(1+$AC$1788)),IF(AD160="free","re-planting",IF(G160=0,"",IF($AD$8="",IF(AD160="me","not NVP, by",IF(AD160="",IF(G160&gt;0,(VLOOKUP(A160,'Discount Lookup'!J:K,2)*G160*(1-$AC$1786)*(1+$AC$1788)),""),"")),"not NVP, by"))))))))</f>
        <v/>
      </c>
      <c r="AC160" s="830"/>
      <c r="AD160" s="375" t="str">
        <f t="shared" si="322"/>
        <v/>
      </c>
      <c r="AE160" s="833" t="str">
        <f t="shared" si="375"/>
        <v/>
      </c>
      <c r="AF160" s="833"/>
      <c r="AG160" s="833"/>
      <c r="AH160" s="91">
        <f>IF(AD160="free",0,IF(AD160="me",0,IF(G160&gt;0,(VLOOKUP(A160,'Discount Lookup'!J:K,2)*G160),0)))</f>
        <v>0</v>
      </c>
      <c r="AI160" s="92" t="str">
        <f t="shared" si="355"/>
        <v/>
      </c>
      <c r="AJ160" s="828" t="str">
        <f t="shared" si="298"/>
        <v/>
      </c>
      <c r="AK160" s="828"/>
      <c r="AL160" s="313" t="str">
        <f t="shared" si="393"/>
        <v/>
      </c>
      <c r="AM160" s="312"/>
      <c r="AN160" s="101"/>
      <c r="AO160" s="101"/>
      <c r="AP160" s="101"/>
      <c r="AQ160" s="101"/>
      <c r="AR160" s="101"/>
      <c r="AS160" s="101"/>
      <c r="AT160" s="101"/>
    </row>
    <row r="161" spans="1:46" ht="12.95" customHeight="1">
      <c r="A161" s="419">
        <v>3</v>
      </c>
      <c r="B161" s="87" t="s">
        <v>50</v>
      </c>
      <c r="C161" s="399" t="s">
        <v>170</v>
      </c>
      <c r="D161" s="129" t="s">
        <v>52</v>
      </c>
      <c r="E161" s="98">
        <v>25.95</v>
      </c>
      <c r="F161" s="705" t="s">
        <v>1306</v>
      </c>
      <c r="G161" s="357">
        <v>0</v>
      </c>
      <c r="H161" s="704" t="str">
        <f t="shared" ref="H161:H162" si="457">IF(G161=0,"",IF(F161="Qty=",IF(G161=1,"plant","plants"),IF(F161&gt;0.0001,"warranty","Error")))</f>
        <v/>
      </c>
      <c r="I161" s="98">
        <f t="shared" ref="I161:I162" si="458">IF(F161="Qty=",(E161*G161),((E161*(1-F161))*G161))</f>
        <v>0</v>
      </c>
      <c r="J161" s="98">
        <f>IF(H161="warranty",0,(I161*($J$1782)))</f>
        <v>0</v>
      </c>
      <c r="K161" s="831">
        <f t="shared" ref="K161:K162" si="459">I161+J161</f>
        <v>0</v>
      </c>
      <c r="L161" s="831"/>
      <c r="M161" s="832" t="str">
        <f>IF($H$1784=0,"",IF(G161=0,"",IF(F161="Qty=",CONCATENATE("$",ROUND(K161*(1-$H$1784),2)," with ",($H$1784*100),"% discount"),CONCATENATE("$",ROUND(K161*(1-$H$1784),2)," with ",(($H$1784*100+F161*100)-($H$1784*100*F161)),IF(F161&gt;0,"% discounts",IF($H$1781&gt;0,"% discounts","% discount"))))))</f>
        <v/>
      </c>
      <c r="N161" s="832"/>
      <c r="O161" s="832"/>
      <c r="P161" s="832"/>
      <c r="Q161" s="832"/>
      <c r="R161" s="832"/>
      <c r="S161" s="303">
        <f t="shared" ref="S161:S162" si="460">E161*G161</f>
        <v>0</v>
      </c>
      <c r="T161" s="541">
        <f>VLOOKUP(A161,'Discount Lookup'!D:E,2,FALSE)*G161</f>
        <v>0</v>
      </c>
      <c r="U161" s="83">
        <f>VLOOKUP(A161,'Discount Lookup'!G:H,2,FALSE)*G161</f>
        <v>0</v>
      </c>
      <c r="V161" s="100">
        <f>E161*($J$1782)*G161</f>
        <v>0</v>
      </c>
      <c r="W161" s="100">
        <f t="shared" ref="W161:W162" si="461">I161</f>
        <v>0</v>
      </c>
      <c r="X161" s="100" t="b">
        <f>IF(G161&gt;0,IF(AD161="me","",G161))</f>
        <v>0</v>
      </c>
      <c r="Y161" s="201"/>
      <c r="Z161" s="829" t="str">
        <f t="shared" si="297"/>
        <v/>
      </c>
      <c r="AA161" s="829"/>
      <c r="AB161" s="830" t="str">
        <f>IF(G161=0,"",IF(AD161="free","re-planting",IF(AD161="me","not NVP, by",IF($AD$8="yes",(VLOOKUP(A161,'Discount Lookup'!J:K,2)*G161*(1-$AC$1786)*(1+$AC$1788)),IF(AD161="NVP",(VLOOKUP(A161,'Discount Lookup'!J:K,2)*G161*(1-$AC$1786)*(1+$AC$1788)),IF(AD161="free","re-planting",IF(G161=0,"",IF($AD$8="",IF(AD161="me","not NVP, by",IF(AD161="",IF(G161&gt;0,(VLOOKUP(A161,'Discount Lookup'!J:K,2)*G161*(1-$AC$1786)*(1+$AC$1788)),""),"")),"not NVP, by"))))))))</f>
        <v/>
      </c>
      <c r="AC161" s="830"/>
      <c r="AD161" s="375" t="str">
        <f t="shared" si="322"/>
        <v/>
      </c>
      <c r="AE161" s="833" t="str">
        <f t="shared" si="375"/>
        <v/>
      </c>
      <c r="AF161" s="833"/>
      <c r="AG161" s="833"/>
      <c r="AH161" s="91">
        <f>IF(AD161="free",0,IF(AD161="me",0,IF(G161&gt;0,(VLOOKUP(A161,'Discount Lookup'!J:K,2)*G161),0)))</f>
        <v>0</v>
      </c>
      <c r="AI161" s="92" t="str">
        <f t="shared" si="355"/>
        <v/>
      </c>
      <c r="AJ161" s="828" t="str">
        <f t="shared" si="298"/>
        <v/>
      </c>
      <c r="AK161" s="828"/>
      <c r="AL161" s="313" t="str">
        <f t="shared" si="393"/>
        <v/>
      </c>
      <c r="AM161" s="312"/>
      <c r="AN161" s="101"/>
      <c r="AO161" s="101"/>
      <c r="AP161" s="101"/>
      <c r="AQ161" s="101"/>
      <c r="AR161" s="101"/>
      <c r="AS161" s="101"/>
      <c r="AT161" s="101"/>
    </row>
    <row r="162" spans="1:46" ht="12.95" customHeight="1">
      <c r="A162" s="419">
        <v>7</v>
      </c>
      <c r="B162" s="87" t="s">
        <v>50</v>
      </c>
      <c r="C162" s="399" t="s">
        <v>88</v>
      </c>
      <c r="D162" s="129" t="s">
        <v>62</v>
      </c>
      <c r="E162" s="98">
        <v>68.95</v>
      </c>
      <c r="F162" s="705" t="s">
        <v>1306</v>
      </c>
      <c r="G162" s="357">
        <v>0</v>
      </c>
      <c r="H162" s="704" t="str">
        <f t="shared" si="457"/>
        <v/>
      </c>
      <c r="I162" s="98">
        <f t="shared" si="458"/>
        <v>0</v>
      </c>
      <c r="J162" s="98">
        <f>IF(H162="warranty",0,(I162*($J$1782)))</f>
        <v>0</v>
      </c>
      <c r="K162" s="831">
        <f t="shared" si="459"/>
        <v>0</v>
      </c>
      <c r="L162" s="831"/>
      <c r="M162" s="832" t="str">
        <f>IF($H$1784=0,"",IF(G162=0,"",IF(F162="Qty=",CONCATENATE("$",ROUND(K162*(1-$H$1784),2)," with ",($H$1784*100),"% discount"),CONCATENATE("$",ROUND(K162*(1-$H$1784),2)," with ",(($H$1784*100+F162*100)-($H$1784*100*F162)),IF(F162&gt;0,"% discounts",IF($H$1781&gt;0,"% discounts","% discount"))))))</f>
        <v/>
      </c>
      <c r="N162" s="832"/>
      <c r="O162" s="832"/>
      <c r="P162" s="832"/>
      <c r="Q162" s="832"/>
      <c r="R162" s="832"/>
      <c r="S162" s="303">
        <f t="shared" si="460"/>
        <v>0</v>
      </c>
      <c r="T162" s="541">
        <f>VLOOKUP(A162,'Discount Lookup'!D:E,2,FALSE)*G162</f>
        <v>0</v>
      </c>
      <c r="U162" s="83">
        <f>VLOOKUP(A162,'Discount Lookup'!G:H,2,FALSE)*G162</f>
        <v>0</v>
      </c>
      <c r="V162" s="100">
        <f>E162*($J$1782)*G162</f>
        <v>0</v>
      </c>
      <c r="W162" s="100">
        <f t="shared" si="461"/>
        <v>0</v>
      </c>
      <c r="X162" s="100" t="b">
        <f>IF(G162&gt;0,IF(AD162="me","",G162))</f>
        <v>0</v>
      </c>
      <c r="Y162" s="201"/>
      <c r="Z162" s="829" t="str">
        <f t="shared" si="297"/>
        <v/>
      </c>
      <c r="AA162" s="829"/>
      <c r="AB162" s="830" t="str">
        <f>IF(G162=0,"",IF(AD162="free","re-planting",IF(AD162="me","not NVP, by",IF($AD$8="yes",(VLOOKUP(A162,'Discount Lookup'!J:K,2)*G162*(1-$AC$1786)*(1+$AC$1788)),IF(AD162="NVP",(VLOOKUP(A162,'Discount Lookup'!J:K,2)*G162*(1-$AC$1786)*(1+$AC$1788)),IF(AD162="free","re-planting",IF(G162=0,"",IF($AD$8="",IF(AD162="me","not NVP, by",IF(AD162="",IF(G162&gt;0,(VLOOKUP(A162,'Discount Lookup'!J:K,2)*G162*(1-$AC$1786)*(1+$AC$1788)),""),"")),"not NVP, by"))))))))</f>
        <v/>
      </c>
      <c r="AC162" s="830"/>
      <c r="AD162" s="375" t="str">
        <f t="shared" si="322"/>
        <v/>
      </c>
      <c r="AE162" s="833" t="str">
        <f t="shared" si="375"/>
        <v/>
      </c>
      <c r="AF162" s="833"/>
      <c r="AG162" s="833"/>
      <c r="AH162" s="91">
        <f>IF(AD162="free",0,IF(AD162="me",0,IF(G162&gt;0,(VLOOKUP(A162,'Discount Lookup'!J:K,2)*G162),0)))</f>
        <v>0</v>
      </c>
      <c r="AI162" s="92" t="str">
        <f t="shared" si="355"/>
        <v/>
      </c>
      <c r="AJ162" s="828" t="str">
        <f t="shared" si="298"/>
        <v/>
      </c>
      <c r="AK162" s="828"/>
      <c r="AL162" s="313" t="str">
        <f t="shared" si="393"/>
        <v/>
      </c>
      <c r="AM162" s="312"/>
      <c r="AN162" s="101"/>
      <c r="AO162" s="101"/>
      <c r="AP162" s="101"/>
      <c r="AQ162" s="101"/>
      <c r="AR162" s="101"/>
      <c r="AS162" s="101"/>
      <c r="AT162" s="101"/>
    </row>
    <row r="163" spans="1:46" ht="12.95" customHeight="1">
      <c r="A163" s="465"/>
      <c r="B163" s="103" t="s">
        <v>184</v>
      </c>
      <c r="H163" s="363"/>
      <c r="M163" s="108"/>
      <c r="N163" s="163" t="s">
        <v>121</v>
      </c>
      <c r="O163" s="123"/>
      <c r="P163" s="124"/>
      <c r="Q163" s="124"/>
      <c r="R163" s="83"/>
      <c r="S163" s="82"/>
      <c r="T163" s="540"/>
      <c r="U163" s="83"/>
      <c r="V163" s="100"/>
      <c r="W163" s="100"/>
      <c r="X163" s="100"/>
      <c r="Y163" s="201"/>
      <c r="Z163" s="829" t="str">
        <f t="shared" si="297"/>
        <v/>
      </c>
      <c r="AA163" s="829"/>
      <c r="AB163" s="830" t="str">
        <f>IF(G163=0,"",IF(AD163="free","re-planting",IF(AD163="me","not NVP, by",IF($AD$8="yes",(VLOOKUP(A163,'Discount Lookup'!J:K,2)*G163*(1-$AC$1786)*(1+$AC$1788)),IF(AD163="NVP",(VLOOKUP(A163,'Discount Lookup'!J:K,2)*G163*(1-$AC$1786)*(1+$AC$1788)),IF(AD163="free","re-planting",IF(G163=0,"",IF($AD$8="",IF(AD163="me","not NVP, by",IF(AD163="",IF(G163&gt;0,(VLOOKUP(A163,'Discount Lookup'!J:K,2)*G163*(1-$AC$1786)*(1+$AC$1788)),""),"")),"not NVP, by"))))))))</f>
        <v/>
      </c>
      <c r="AC163" s="830"/>
      <c r="AD163" s="375" t="str">
        <f t="shared" si="322"/>
        <v/>
      </c>
      <c r="AE163" s="833" t="str">
        <f t="shared" si="375"/>
        <v/>
      </c>
      <c r="AF163" s="833"/>
      <c r="AG163" s="833"/>
      <c r="AH163" s="91">
        <f>IF(AD163="free",0,IF(AD163="me",0,IF(G163&gt;0,(VLOOKUP(A163,'Discount Lookup'!J:K,2)*G163),0)))</f>
        <v>0</v>
      </c>
      <c r="AI163" s="92" t="str">
        <f t="shared" si="355"/>
        <v/>
      </c>
      <c r="AJ163" s="828" t="str">
        <f t="shared" si="298"/>
        <v/>
      </c>
      <c r="AK163" s="828"/>
      <c r="AL163" s="313" t="str">
        <f t="shared" si="393"/>
        <v/>
      </c>
      <c r="AM163" s="312"/>
      <c r="AN163" s="101"/>
      <c r="AO163" s="101"/>
      <c r="AP163" s="101"/>
      <c r="AQ163" s="101"/>
      <c r="AR163" s="101"/>
      <c r="AS163" s="101"/>
      <c r="AT163" s="101"/>
    </row>
    <row r="164" spans="1:46" ht="12.95" customHeight="1">
      <c r="A164" s="847" t="s">
        <v>185</v>
      </c>
      <c r="B164" s="848"/>
      <c r="C164" s="848"/>
      <c r="D164" s="848"/>
      <c r="E164" s="848"/>
      <c r="F164" s="848"/>
      <c r="G164" s="848"/>
      <c r="H164" s="770" t="s">
        <v>186</v>
      </c>
      <c r="I164" s="348" t="s">
        <v>44</v>
      </c>
      <c r="J164" s="93"/>
      <c r="K164" s="600" t="s">
        <v>45</v>
      </c>
      <c r="L164" s="601" t="s">
        <v>46</v>
      </c>
      <c r="M164" s="86"/>
      <c r="N164" s="87" t="s">
        <v>69</v>
      </c>
      <c r="O164" s="87"/>
      <c r="P164" s="87"/>
      <c r="Q164" s="87"/>
      <c r="R164" s="86"/>
      <c r="S164" s="125"/>
      <c r="T164" s="543"/>
      <c r="U164" s="89" t="s">
        <v>48</v>
      </c>
      <c r="V164" s="100" t="b">
        <f>IF(G164&gt;0,IF(AD164="me","",G164))</f>
        <v>0</v>
      </c>
      <c r="W164" s="100"/>
      <c r="X164" s="100"/>
      <c r="Y164" s="201"/>
      <c r="Z164" s="829" t="str">
        <f t="shared" ref="Z164:Z232" si="462">IF(G164=0,"",IF(AD164="me","",IF($AD$8="me","",IF(AD164="free","warranty",IF($AD$8="yes","NVP planting:","to NVP install:")))))</f>
        <v/>
      </c>
      <c r="AA164" s="829"/>
      <c r="AB164" s="830" t="str">
        <f>IF(G164=0,"",IF(AD164="free","re-planting",IF(AD164="me","not NVP, by",IF($AD$8="yes",(VLOOKUP(A164,'Discount Lookup'!J:K,2)*G164*(1-$AC$1786)*(1+$AC$1788)),IF(AD164="NVP",(VLOOKUP(A164,'Discount Lookup'!J:K,2)*G164*(1-$AC$1786)*(1+$AC$1788)),IF(AD164="free","re-planting",IF(G164=0,"",IF($AD$8="",IF(AD164="me","not NVP, by",IF(AD164="",IF(G164&gt;0,(VLOOKUP(A164,'Discount Lookup'!J:K,2)*G164*(1-$AC$1786)*(1+$AC$1788)),""),"")),"not NVP, by"))))))))</f>
        <v/>
      </c>
      <c r="AC164" s="830"/>
      <c r="AD164" s="375" t="str">
        <f t="shared" si="322"/>
        <v/>
      </c>
      <c r="AE164" s="833" t="str">
        <f t="shared" si="375"/>
        <v/>
      </c>
      <c r="AF164" s="833"/>
      <c r="AG164" s="833"/>
      <c r="AH164" s="91">
        <f>IF(AD164="free",0,IF(AD164="me",0,IF(G164&gt;0,(VLOOKUP(A164,'Discount Lookup'!J:K,2)*G164),0)))</f>
        <v>0</v>
      </c>
      <c r="AI164" s="92" t="str">
        <f t="shared" si="355"/>
        <v/>
      </c>
      <c r="AJ164" s="828" t="str">
        <f t="shared" ref="AJ164:AJ232" si="463">IF(G164=0,"",IF(AD164="me","  delivery-only",IF($AD$8="me","  delivery-only",CONCATENATE(" $",ROUND(AI164/G164,2)," each"))))</f>
        <v/>
      </c>
      <c r="AK164" s="828"/>
      <c r="AL164" s="313" t="str">
        <f t="shared" si="393"/>
        <v/>
      </c>
      <c r="AM164" s="312"/>
      <c r="AN164" s="101"/>
      <c r="AO164" s="101"/>
      <c r="AP164" s="101"/>
      <c r="AQ164" s="101"/>
      <c r="AR164" s="101"/>
      <c r="AS164" s="101"/>
      <c r="AT164" s="101"/>
    </row>
    <row r="165" spans="1:46" ht="12.95" customHeight="1">
      <c r="A165" s="419">
        <v>3</v>
      </c>
      <c r="B165" s="87" t="s">
        <v>50</v>
      </c>
      <c r="C165" s="128" t="s">
        <v>85</v>
      </c>
      <c r="D165" s="129" t="s">
        <v>63</v>
      </c>
      <c r="E165" s="98">
        <v>33.950000000000003</v>
      </c>
      <c r="F165" s="705" t="s">
        <v>1306</v>
      </c>
      <c r="G165" s="357">
        <v>0</v>
      </c>
      <c r="H165" s="704" t="str">
        <f t="shared" ref="H165:H166" si="464">IF(G165=0,"",IF(F165="Qty=",IF(G165=1,"plant","plants"),IF(F165&gt;0.0001,"warranty","Error")))</f>
        <v/>
      </c>
      <c r="I165" s="98">
        <f t="shared" ref="I165:I166" si="465">IF(F165="Qty=",(E165*G165),((E165*(1-F165))*G165))</f>
        <v>0</v>
      </c>
      <c r="J165" s="98">
        <f>IF(H165="warranty",0,(I165*($J$1782)))</f>
        <v>0</v>
      </c>
      <c r="K165" s="831">
        <f t="shared" ref="K165:K168" si="466">I165+J165</f>
        <v>0</v>
      </c>
      <c r="L165" s="831"/>
      <c r="M165" s="832" t="str">
        <f>IF($H$1784=0,"",IF(G165=0,"",IF(F165="Qty=",CONCATENATE("$",ROUND(K165*(1-$H$1784),2)," with ",($H$1784*100),"% discount"),CONCATENATE("$",ROUND(K165*(1-$H$1784),2)," with ",(($H$1784*100+F165*100)-($H$1784*100*F165)),IF(F165&gt;0,"% discounts",IF($H$1781&gt;0,"% discounts","% discount"))))))</f>
        <v/>
      </c>
      <c r="N165" s="832"/>
      <c r="O165" s="832"/>
      <c r="P165" s="832"/>
      <c r="Q165" s="832"/>
      <c r="R165" s="832"/>
      <c r="S165" s="303">
        <f t="shared" ref="S165:S166" si="467">E165*G165</f>
        <v>0</v>
      </c>
      <c r="T165" s="541">
        <f>VLOOKUP(A165,'Discount Lookup'!D:E,2,FALSE)*G165</f>
        <v>0</v>
      </c>
      <c r="U165" s="83">
        <f>VLOOKUP(A165,'Discount Lookup'!G:H,2,FALSE)*G165</f>
        <v>0</v>
      </c>
      <c r="V165" s="100">
        <f>E165*($J$1782)*G165</f>
        <v>0</v>
      </c>
      <c r="W165" s="100">
        <f t="shared" ref="W165:W166" si="468">I165</f>
        <v>0</v>
      </c>
      <c r="X165" s="100" t="b">
        <f>IF(G165&gt;0,IF(AD165="me","",G165))</f>
        <v>0</v>
      </c>
      <c r="Y165" s="201"/>
      <c r="Z165" s="829" t="str">
        <f t="shared" si="462"/>
        <v/>
      </c>
      <c r="AA165" s="829"/>
      <c r="AB165" s="830" t="str">
        <f>IF(G165=0,"",IF(AD165="free","re-planting",IF(AD165="me","not NVP, by",IF($AD$8="yes",(VLOOKUP(A165,'Discount Lookup'!J:K,2)*G165*(1-$AC$1786)*(1+$AC$1788)),IF(AD165="NVP",(VLOOKUP(A165,'Discount Lookup'!J:K,2)*G165*(1-$AC$1786)*(1+$AC$1788)),IF(AD165="free","re-planting",IF(G165=0,"",IF($AD$8="",IF(AD165="me","not NVP, by",IF(AD165="",IF(G165&gt;0,(VLOOKUP(A165,'Discount Lookup'!J:K,2)*G165*(1-$AC$1786)*(1+$AC$1788)),""),"")),"not NVP, by"))))))))</f>
        <v/>
      </c>
      <c r="AC165" s="830"/>
      <c r="AD165" s="375" t="str">
        <f t="shared" ref="AD165:AD166" si="469">IF(G165=0,"",IF($AD$8="me","me",IF(H165="warranty","free",IF($AD$8="yes","NVP",""))))</f>
        <v/>
      </c>
      <c r="AE165" s="833" t="str">
        <f t="shared" si="375"/>
        <v/>
      </c>
      <c r="AF165" s="833"/>
      <c r="AG165" s="833"/>
      <c r="AH165" s="91">
        <f>IF(AD165="free",0,IF(AD165="me",0,IF(G165&gt;0,(VLOOKUP(A165,'Discount Lookup'!J:K,2)*G165),0)))</f>
        <v>0</v>
      </c>
      <c r="AI165" s="92" t="str">
        <f t="shared" si="355"/>
        <v/>
      </c>
      <c r="AJ165" s="828" t="str">
        <f t="shared" si="463"/>
        <v/>
      </c>
      <c r="AK165" s="828"/>
      <c r="AL165" s="313" t="str">
        <f t="shared" si="393"/>
        <v/>
      </c>
      <c r="AM165" s="312"/>
      <c r="AN165" s="101"/>
      <c r="AO165" s="101"/>
      <c r="AP165" s="101"/>
      <c r="AQ165" s="101"/>
      <c r="AR165" s="101"/>
      <c r="AS165" s="101"/>
      <c r="AT165" s="101"/>
    </row>
    <row r="166" spans="1:46" ht="12.95" customHeight="1">
      <c r="A166" s="419">
        <v>7</v>
      </c>
      <c r="B166" s="87" t="s">
        <v>50</v>
      </c>
      <c r="C166" s="128" t="s">
        <v>1631</v>
      </c>
      <c r="D166" s="129" t="s">
        <v>63</v>
      </c>
      <c r="E166" s="98">
        <v>79.95</v>
      </c>
      <c r="F166" s="705" t="s">
        <v>1306</v>
      </c>
      <c r="G166" s="357">
        <v>0</v>
      </c>
      <c r="H166" s="704" t="str">
        <f t="shared" si="464"/>
        <v/>
      </c>
      <c r="I166" s="98">
        <f t="shared" si="465"/>
        <v>0</v>
      </c>
      <c r="J166" s="98">
        <f>IF(H166="warranty",0,(I166*($J$1782)))</f>
        <v>0</v>
      </c>
      <c r="K166" s="831">
        <f t="shared" ref="K166" si="470">I166+J166</f>
        <v>0</v>
      </c>
      <c r="L166" s="831"/>
      <c r="M166" s="832" t="str">
        <f>IF($H$1784=0,"",IF(G166=0,"",IF(F166="Qty=",CONCATENATE("$",ROUND(K166*(1-$H$1784),2)," with ",($H$1784*100),"% discount"),CONCATENATE("$",ROUND(K166*(1-$H$1784),2)," with ",(($H$1784*100+F166*100)-($H$1784*100*F166)),IF(F166&gt;0,"% discounts",IF($H$1781&gt;0,"% discounts","% discount"))))))</f>
        <v/>
      </c>
      <c r="N166" s="832"/>
      <c r="O166" s="832"/>
      <c r="P166" s="832"/>
      <c r="Q166" s="832"/>
      <c r="R166" s="832"/>
      <c r="S166" s="303">
        <f t="shared" si="467"/>
        <v>0</v>
      </c>
      <c r="T166" s="541">
        <f>VLOOKUP(A166,'Discount Lookup'!D:E,2,FALSE)*G166</f>
        <v>0</v>
      </c>
      <c r="U166" s="83">
        <f>VLOOKUP(A166,'Discount Lookup'!G:H,2,FALSE)*G166</f>
        <v>0</v>
      </c>
      <c r="V166" s="100">
        <f>E166*($J$1782)*G166</f>
        <v>0</v>
      </c>
      <c r="W166" s="100">
        <f t="shared" si="468"/>
        <v>0</v>
      </c>
      <c r="X166" s="100" t="b">
        <f>IF(G166&gt;0,IF(AD166="me","",G166))</f>
        <v>0</v>
      </c>
      <c r="Y166" s="201"/>
      <c r="Z166" s="829" t="str">
        <f t="shared" si="462"/>
        <v/>
      </c>
      <c r="AA166" s="829"/>
      <c r="AB166" s="830" t="str">
        <f>IF(G166=0,"",IF(AD166="free","re-planting",IF(AD166="me","not NVP, by",IF($AD$8="yes",(VLOOKUP(A166,'Discount Lookup'!J:K,2)*G166*(1-$AC$1786)*(1+$AC$1788)),IF(AD166="NVP",(VLOOKUP(A166,'Discount Lookup'!J:K,2)*G166*(1-$AC$1786)*(1+$AC$1788)),IF(AD166="free","re-planting",IF(G166=0,"",IF($AD$8="",IF(AD166="me","not NVP, by",IF(AD166="",IF(G166&gt;0,(VLOOKUP(A166,'Discount Lookup'!J:K,2)*G166*(1-$AC$1786)*(1+$AC$1788)),""),"")),"not NVP, by"))))))))</f>
        <v/>
      </c>
      <c r="AC166" s="830"/>
      <c r="AD166" s="375" t="str">
        <f t="shared" si="469"/>
        <v/>
      </c>
      <c r="AE166" s="833" t="str">
        <f t="shared" si="375"/>
        <v/>
      </c>
      <c r="AF166" s="833"/>
      <c r="AG166" s="833"/>
      <c r="AH166" s="91">
        <f>IF(AD166="free",0,IF(AD166="me",0,IF(G166&gt;0,(VLOOKUP(A166,'Discount Lookup'!J:K,2)*G166),0)))</f>
        <v>0</v>
      </c>
      <c r="AI166" s="92" t="str">
        <f t="shared" si="355"/>
        <v/>
      </c>
      <c r="AJ166" s="828" t="str">
        <f t="shared" si="463"/>
        <v/>
      </c>
      <c r="AK166" s="828"/>
      <c r="AL166" s="313" t="str">
        <f t="shared" si="393"/>
        <v/>
      </c>
      <c r="AM166" s="312"/>
      <c r="AN166" s="101"/>
      <c r="AO166" s="101"/>
      <c r="AP166" s="101"/>
      <c r="AQ166" s="101"/>
      <c r="AR166" s="101"/>
      <c r="AS166" s="101"/>
      <c r="AT166" s="101"/>
    </row>
    <row r="167" spans="1:46" ht="12.95" customHeight="1">
      <c r="A167" s="419">
        <v>15</v>
      </c>
      <c r="B167" s="87" t="s">
        <v>50</v>
      </c>
      <c r="C167" s="128" t="s">
        <v>70</v>
      </c>
      <c r="D167" s="129" t="s">
        <v>63</v>
      </c>
      <c r="E167" s="98">
        <v>160.94999999999999</v>
      </c>
      <c r="F167" s="705" t="s">
        <v>1306</v>
      </c>
      <c r="G167" s="357">
        <v>0</v>
      </c>
      <c r="H167" s="704" t="str">
        <f t="shared" ref="H167" si="471">IF(G167=0,"",IF(F167="Qty=",IF(G167=1,"plant","plants"),IF(F167&gt;0.0001,"warranty","Error")))</f>
        <v/>
      </c>
      <c r="I167" s="98">
        <f t="shared" ref="I167" si="472">IF(F167="Qty=",(E167*G167),((E167*(1-F167))*G167))</f>
        <v>0</v>
      </c>
      <c r="J167" s="98">
        <f>IF(H167="warranty",0,(I167*($J$1782)))</f>
        <v>0</v>
      </c>
      <c r="K167" s="831">
        <f t="shared" si="466"/>
        <v>0</v>
      </c>
      <c r="L167" s="831"/>
      <c r="M167" s="832" t="str">
        <f>IF($H$1784=0,"",IF(G167=0,"",IF(F167="Qty=",CONCATENATE("$",ROUND(K167*(1-$H$1784),2)," with ",($H$1784*100),"% discount"),CONCATENATE("$",ROUND(K167*(1-$H$1784),2)," with ",(($H$1784*100+F167*100)-($H$1784*100*F167)),IF(F167&gt;0,"% discounts",IF($H$1781&gt;0,"% discounts","% discount"))))))</f>
        <v/>
      </c>
      <c r="N167" s="832"/>
      <c r="O167" s="832"/>
      <c r="P167" s="832"/>
      <c r="Q167" s="832"/>
      <c r="R167" s="832"/>
      <c r="S167" s="303">
        <f t="shared" ref="S167" si="473">E167*G167</f>
        <v>0</v>
      </c>
      <c r="T167" s="541">
        <f>VLOOKUP(A167,'Discount Lookup'!D:E,2,FALSE)*G167</f>
        <v>0</v>
      </c>
      <c r="U167" s="83">
        <f>VLOOKUP(A167,'Discount Lookup'!G:H,2,FALSE)*G167</f>
        <v>0</v>
      </c>
      <c r="V167" s="100">
        <f>E167*($J$1782)*G167</f>
        <v>0</v>
      </c>
      <c r="W167" s="100">
        <f t="shared" ref="W167" si="474">I167</f>
        <v>0</v>
      </c>
      <c r="X167" s="100" t="b">
        <f>IF(G167&gt;0,IF(AD167="me","",G167))</f>
        <v>0</v>
      </c>
      <c r="Y167" s="201"/>
      <c r="Z167" s="829" t="str">
        <f t="shared" ref="Z167" si="475">IF(G167=0,"",IF(AD167="me","",IF($AD$8="me","",IF(AD167="free","warranty",IF($AD$8="yes","NVP planting:","to NVP install:")))))</f>
        <v/>
      </c>
      <c r="AA167" s="829"/>
      <c r="AB167" s="830" t="str">
        <f>IF(G167=0,"",IF(AD167="free","re-planting",IF(AD167="me","not NVP, by",IF($AD$8="yes",(VLOOKUP(A167,'Discount Lookup'!J:K,2)*G167*(1-$AC$1786)*(1+$AC$1788)),IF(AD167="NVP",(VLOOKUP(A167,'Discount Lookup'!J:K,2)*G167*(1-$AC$1786)*(1+$AC$1788)),IF(AD167="free","re-planting",IF(G167=0,"",IF($AD$8="",IF(AD167="me","not NVP, by",IF(AD167="",IF(G167&gt;0,(VLOOKUP(A167,'Discount Lookup'!J:K,2)*G167*(1-$AC$1786)*(1+$AC$1788)),""),"")),"not NVP, by"))))))))</f>
        <v/>
      </c>
      <c r="AC167" s="830"/>
      <c r="AD167" s="375" t="str">
        <f t="shared" si="322"/>
        <v/>
      </c>
      <c r="AE167" s="833" t="str">
        <f t="shared" ref="AE167" si="476">IF(G167&gt;0,(CONCATENATE((G167)," quantity, ",(A167)," ",B167)),"")</f>
        <v/>
      </c>
      <c r="AF167" s="833"/>
      <c r="AG167" s="833"/>
      <c r="AH167" s="91">
        <f>IF(AD167="free",0,IF(AD167="me",0,IF(G167&gt;0,(VLOOKUP(A167,'Discount Lookup'!J:K,2)*G167),0)))</f>
        <v>0</v>
      </c>
      <c r="AI167" s="92" t="str">
        <f t="shared" si="355"/>
        <v/>
      </c>
      <c r="AJ167" s="828" t="str">
        <f t="shared" ref="AJ167" si="477">IF(G167=0,"",IF(AD167="me","  delivery-only",IF($AD$8="me","  delivery-only",CONCATENATE(" $",ROUND(AI167/G167,2)," each"))))</f>
        <v/>
      </c>
      <c r="AK167" s="828"/>
      <c r="AL167" s="313" t="str">
        <f t="shared" si="393"/>
        <v/>
      </c>
      <c r="AM167" s="312"/>
      <c r="AN167" s="101"/>
      <c r="AO167" s="101"/>
      <c r="AP167" s="101"/>
      <c r="AQ167" s="101"/>
      <c r="AR167" s="101"/>
      <c r="AS167" s="101"/>
      <c r="AT167" s="101"/>
    </row>
    <row r="168" spans="1:46" ht="12.95" customHeight="1">
      <c r="A168" s="419">
        <v>15</v>
      </c>
      <c r="B168" s="87" t="s">
        <v>50</v>
      </c>
      <c r="C168" s="399" t="s">
        <v>53</v>
      </c>
      <c r="D168" s="129" t="s">
        <v>90</v>
      </c>
      <c r="E168" s="98">
        <v>162.94999999999999</v>
      </c>
      <c r="F168" s="705" t="s">
        <v>1306</v>
      </c>
      <c r="G168" s="357">
        <v>0</v>
      </c>
      <c r="H168" s="704" t="str">
        <f t="shared" ref="H168" si="478">IF(G168=0,"",IF(F168="Qty=",IF(G168=1,"plant","plants"),IF(F168&gt;0.0001,"warranty","Error")))</f>
        <v/>
      </c>
      <c r="I168" s="98">
        <f t="shared" ref="I168" si="479">IF(F168="Qty=",(E168*G168),((E168*(1-F168))*G168))</f>
        <v>0</v>
      </c>
      <c r="J168" s="98">
        <f>IF(H168="warranty",0,(I168*($J$1782)))</f>
        <v>0</v>
      </c>
      <c r="K168" s="831">
        <f t="shared" si="466"/>
        <v>0</v>
      </c>
      <c r="L168" s="831"/>
      <c r="M168" s="832" t="str">
        <f>IF($H$1784=0,"",IF(G168=0,"",IF(F168="Qty=",CONCATENATE("$",ROUND(K168*(1-$H$1784),2)," with ",($H$1784*100),"% discount"),CONCATENATE("$",ROUND(K168*(1-$H$1784),2)," with ",(($H$1784*100+F168*100)-($H$1784*100*F168)),IF(F168&gt;0,"% discounts",IF($H$1781&gt;0,"% discounts","% discount"))))))</f>
        <v/>
      </c>
      <c r="N168" s="832"/>
      <c r="O168" s="832"/>
      <c r="P168" s="832"/>
      <c r="Q168" s="832"/>
      <c r="R168" s="832"/>
      <c r="S168" s="303">
        <f t="shared" ref="S168" si="480">E168*G168</f>
        <v>0</v>
      </c>
      <c r="T168" s="541">
        <f>VLOOKUP(A168,'Discount Lookup'!D:E,2,FALSE)*G168</f>
        <v>0</v>
      </c>
      <c r="U168" s="83">
        <f>VLOOKUP(A168,'Discount Lookup'!G:H,2,FALSE)*G168</f>
        <v>0</v>
      </c>
      <c r="V168" s="100">
        <f>E168*($J$1782)*G168</f>
        <v>0</v>
      </c>
      <c r="W168" s="100">
        <f t="shared" ref="W168" si="481">I168</f>
        <v>0</v>
      </c>
      <c r="X168" s="100" t="b">
        <f>IF(G168&gt;0,IF(AD168="me","",G168))</f>
        <v>0</v>
      </c>
      <c r="Y168" s="201"/>
      <c r="Z168" s="829" t="str">
        <f t="shared" si="462"/>
        <v/>
      </c>
      <c r="AA168" s="829"/>
      <c r="AB168" s="830" t="str">
        <f>IF(G168=0,"",IF(AD168="free","re-planting",IF(AD168="me","not NVP, by",IF($AD$8="yes",(VLOOKUP(A168,'Discount Lookup'!J:K,2)*G168*(1-$AC$1786)*(1+$AC$1788)),IF(AD168="NVP",(VLOOKUP(A168,'Discount Lookup'!J:K,2)*G168*(1-$AC$1786)*(1+$AC$1788)),IF(AD168="free","re-planting",IF(G168=0,"",IF($AD$8="",IF(AD168="me","not NVP, by",IF(AD168="",IF(G168&gt;0,(VLOOKUP(A168,'Discount Lookup'!J:K,2)*G168*(1-$AC$1786)*(1+$AC$1788)),""),"")),"not NVP, by"))))))))</f>
        <v/>
      </c>
      <c r="AC168" s="830"/>
      <c r="AD168" s="375" t="str">
        <f t="shared" si="322"/>
        <v/>
      </c>
      <c r="AE168" s="833" t="str">
        <f t="shared" si="375"/>
        <v/>
      </c>
      <c r="AF168" s="833"/>
      <c r="AG168" s="833"/>
      <c r="AH168" s="91">
        <f>IF(AD168="free",0,IF(AD168="me",0,IF(G168&gt;0,(VLOOKUP(A168,'Discount Lookup'!J:K,2)*G168),0)))</f>
        <v>0</v>
      </c>
      <c r="AI168" s="92" t="str">
        <f t="shared" si="355"/>
        <v/>
      </c>
      <c r="AJ168" s="828" t="str">
        <f t="shared" si="463"/>
        <v/>
      </c>
      <c r="AK168" s="828"/>
      <c r="AL168" s="313" t="str">
        <f t="shared" si="393"/>
        <v/>
      </c>
      <c r="AM168" s="312"/>
      <c r="AN168" s="101"/>
      <c r="AO168" s="101"/>
      <c r="AP168" s="101"/>
      <c r="AQ168" s="101"/>
      <c r="AR168" s="101"/>
      <c r="AS168" s="101"/>
      <c r="AT168" s="101"/>
    </row>
    <row r="169" spans="1:46" ht="12.95" customHeight="1">
      <c r="A169" s="465"/>
      <c r="B169" s="103" t="s">
        <v>187</v>
      </c>
      <c r="C169" s="104"/>
      <c r="E169" s="131"/>
      <c r="F169" s="710"/>
      <c r="G169" s="358"/>
      <c r="H169" s="744"/>
      <c r="I169" s="131"/>
      <c r="M169" s="48"/>
      <c r="N169" s="48"/>
      <c r="O169" s="123"/>
      <c r="P169" s="124"/>
      <c r="Q169" s="841" t="s">
        <v>125</v>
      </c>
      <c r="R169" s="841"/>
      <c r="S169" s="841"/>
      <c r="T169" s="841"/>
      <c r="U169" s="841"/>
      <c r="V169" s="841"/>
      <c r="Y169" s="132"/>
      <c r="Z169" s="829" t="str">
        <f t="shared" si="462"/>
        <v/>
      </c>
      <c r="AA169" s="829"/>
      <c r="AB169" s="830" t="str">
        <f>IF(G169=0,"",IF(AD169="free","re-planting",IF(AD169="me","not NVP, by",IF($AD$8="yes",(VLOOKUP(A169,'Discount Lookup'!J:K,2)*G169*(1-$AC$1786)*(1+$AC$1788)),IF(AD169="NVP",(VLOOKUP(A169,'Discount Lookup'!J:K,2)*G169*(1-$AC$1786)*(1+$AC$1788)),IF(AD169="free","re-planting",IF(G169=0,"",IF($AD$8="",IF(AD169="me","not NVP, by",IF(AD169="",IF(G169&gt;0,(VLOOKUP(A169,'Discount Lookup'!J:K,2)*G169*(1-$AC$1786)*(1+$AC$1788)),""),"")),"not NVP, by"))))))))</f>
        <v/>
      </c>
      <c r="AC169" s="830"/>
      <c r="AD169" s="375" t="str">
        <f t="shared" si="322"/>
        <v/>
      </c>
      <c r="AE169" s="833" t="str">
        <f t="shared" si="375"/>
        <v/>
      </c>
      <c r="AF169" s="833"/>
      <c r="AG169" s="833"/>
      <c r="AH169" s="91">
        <f>IF(AD169="free",0,IF(AD169="me",0,IF(G169&gt;0,(VLOOKUP(A169,'Discount Lookup'!J:K,2)*G169),0)))</f>
        <v>0</v>
      </c>
      <c r="AI169" s="92" t="str">
        <f t="shared" si="355"/>
        <v/>
      </c>
      <c r="AJ169" s="828" t="str">
        <f t="shared" si="463"/>
        <v/>
      </c>
      <c r="AK169" s="828"/>
      <c r="AL169" s="313" t="str">
        <f t="shared" si="393"/>
        <v/>
      </c>
      <c r="AM169" s="312"/>
      <c r="AN169" s="101"/>
      <c r="AO169" s="101"/>
      <c r="AP169" s="101"/>
      <c r="AQ169" s="101"/>
      <c r="AR169" s="101"/>
      <c r="AS169" s="101"/>
      <c r="AT169" s="101"/>
    </row>
    <row r="170" spans="1:46" ht="12.95" customHeight="1">
      <c r="A170" s="847" t="s">
        <v>1572</v>
      </c>
      <c r="B170" s="848"/>
      <c r="C170" s="848"/>
      <c r="D170" s="848"/>
      <c r="E170" s="848"/>
      <c r="F170" s="848"/>
      <c r="G170" s="848"/>
      <c r="H170" s="770" t="s">
        <v>188</v>
      </c>
      <c r="I170" s="348" t="s">
        <v>44</v>
      </c>
      <c r="J170" s="93"/>
      <c r="K170" s="600" t="s">
        <v>45</v>
      </c>
      <c r="L170" s="601" t="s">
        <v>46</v>
      </c>
      <c r="M170" s="86"/>
      <c r="N170" s="87" t="s">
        <v>157</v>
      </c>
      <c r="O170" s="133"/>
      <c r="P170" s="133"/>
      <c r="Q170" s="133"/>
      <c r="R170" s="86"/>
      <c r="S170" s="125"/>
      <c r="T170" s="543"/>
      <c r="U170" s="112"/>
      <c r="V170" s="100" t="b">
        <f>IF(G170&gt;0,IF(AD170="me","",G170))</f>
        <v>0</v>
      </c>
      <c r="W170" s="100"/>
      <c r="X170" s="100"/>
      <c r="Y170" s="201"/>
      <c r="Z170" s="829" t="str">
        <f t="shared" si="462"/>
        <v/>
      </c>
      <c r="AA170" s="829"/>
      <c r="AB170" s="830" t="str">
        <f>IF(G170=0,"",IF(AD170="free","re-planting",IF(AD170="me","not NVP, by",IF($AD$8="yes",(VLOOKUP(A170,'Discount Lookup'!J:K,2)*G170*(1-$AC$1786)*(1+$AC$1788)),IF(AD170="NVP",(VLOOKUP(A170,'Discount Lookup'!J:K,2)*G170*(1-$AC$1786)*(1+$AC$1788)),IF(AD170="free","re-planting",IF(G170=0,"",IF($AD$8="",IF(AD170="me","not NVP, by",IF(AD170="",IF(G170&gt;0,(VLOOKUP(A170,'Discount Lookup'!J:K,2)*G170*(1-$AC$1786)*(1+$AC$1788)),""),"")),"not NVP, by"))))))))</f>
        <v/>
      </c>
      <c r="AC170" s="830"/>
      <c r="AD170" s="375" t="str">
        <f t="shared" si="322"/>
        <v/>
      </c>
      <c r="AE170" s="833" t="str">
        <f t="shared" si="375"/>
        <v/>
      </c>
      <c r="AF170" s="833"/>
      <c r="AG170" s="833"/>
      <c r="AH170" s="91">
        <f>IF(AD170="free",0,IF(AD170="me",0,IF(G170&gt;0,(VLOOKUP(A170,'Discount Lookup'!J:K,2)*G170),0)))</f>
        <v>0</v>
      </c>
      <c r="AI170" s="92" t="str">
        <f t="shared" si="355"/>
        <v/>
      </c>
      <c r="AJ170" s="828" t="str">
        <f t="shared" si="463"/>
        <v/>
      </c>
      <c r="AK170" s="828"/>
      <c r="AL170" s="313" t="str">
        <f t="shared" si="393"/>
        <v/>
      </c>
      <c r="AM170" s="312"/>
      <c r="AN170" s="101"/>
      <c r="AO170" s="101"/>
      <c r="AP170" s="101"/>
      <c r="AQ170" s="101"/>
      <c r="AR170" s="101"/>
      <c r="AS170" s="101"/>
      <c r="AT170" s="101"/>
    </row>
    <row r="171" spans="1:46" ht="12.95" customHeight="1">
      <c r="A171" s="419">
        <v>15</v>
      </c>
      <c r="B171" s="87" t="s">
        <v>50</v>
      </c>
      <c r="C171" s="128" t="s">
        <v>211</v>
      </c>
      <c r="D171" s="129" t="s">
        <v>90</v>
      </c>
      <c r="E171" s="98">
        <v>344.95</v>
      </c>
      <c r="F171" s="705" t="s">
        <v>1306</v>
      </c>
      <c r="G171" s="357">
        <v>0</v>
      </c>
      <c r="H171" s="704" t="str">
        <f t="shared" ref="H171:H172" si="482">IF(G171=0,"",IF(F171="Qty=",IF(G171=1,"plant","plants"),IF(F171&gt;0.0001,"warranty","Error")))</f>
        <v/>
      </c>
      <c r="I171" s="98">
        <f t="shared" ref="I171:I172" si="483">IF(F171="Qty=",(E171*G171),((E171*(1-F171))*G171))</f>
        <v>0</v>
      </c>
      <c r="J171" s="98">
        <f>IF(H171="warranty",0,(I171*($J$1782)))</f>
        <v>0</v>
      </c>
      <c r="K171" s="831">
        <f t="shared" ref="K171:K172" si="484">I171+J171</f>
        <v>0</v>
      </c>
      <c r="L171" s="831"/>
      <c r="M171" s="832" t="str">
        <f>IF($H$1784=0,"",IF(G171=0,"",IF(F171="Qty=",CONCATENATE("$",ROUND(K171*(1-$H$1784),2)," with ",($H$1784*100),"% discount"),CONCATENATE("$",ROUND(K171*(1-$H$1784),2)," with ",(($H$1784*100+F171*100)-($H$1784*100*F171)),IF(F171&gt;0,"% discounts",IF($H$1781&gt;0,"% discounts","% discount"))))))</f>
        <v/>
      </c>
      <c r="N171" s="832"/>
      <c r="O171" s="832"/>
      <c r="P171" s="832"/>
      <c r="Q171" s="832"/>
      <c r="R171" s="832"/>
      <c r="S171" s="303">
        <f t="shared" ref="S171:S172" si="485">E171*G171</f>
        <v>0</v>
      </c>
      <c r="T171" s="541">
        <f>VLOOKUP(A171,'Discount Lookup'!D:E,2,FALSE)*G171</f>
        <v>0</v>
      </c>
      <c r="U171" s="83">
        <f>VLOOKUP(A171,'Discount Lookup'!G:H,2,FALSE)*G171</f>
        <v>0</v>
      </c>
      <c r="V171" s="100">
        <f>E171*($J$1782)*G171</f>
        <v>0</v>
      </c>
      <c r="W171" s="100">
        <f t="shared" ref="W171:W172" si="486">I171</f>
        <v>0</v>
      </c>
      <c r="X171" s="100" t="b">
        <f>IF(G171&gt;0,IF(AD171="me","",G171))</f>
        <v>0</v>
      </c>
      <c r="Y171" s="201"/>
      <c r="Z171" s="829" t="str">
        <f t="shared" si="462"/>
        <v/>
      </c>
      <c r="AA171" s="829"/>
      <c r="AB171" s="830" t="str">
        <f>IF(G171=0,"",IF(AD171="free","re-planting",IF(AD171="me","not NVP, by",IF($AD$8="yes",(VLOOKUP(A171,'Discount Lookup'!J:K,2)*G171*(1-$AC$1786)*(1+$AC$1788)),IF(AD171="NVP",(VLOOKUP(A171,'Discount Lookup'!J:K,2)*G171*(1-$AC$1786)*(1+$AC$1788)),IF(AD171="free","re-planting",IF(G171=0,"",IF($AD$8="",IF(AD171="me","not NVP, by",IF(AD171="",IF(G171&gt;0,(VLOOKUP(A171,'Discount Lookup'!J:K,2)*G171*(1-$AC$1786)*(1+$AC$1788)),""),"")),"not NVP, by"))))))))</f>
        <v/>
      </c>
      <c r="AC171" s="830"/>
      <c r="AD171" s="375" t="str">
        <f t="shared" si="322"/>
        <v/>
      </c>
      <c r="AE171" s="833" t="str">
        <f t="shared" si="375"/>
        <v/>
      </c>
      <c r="AF171" s="833"/>
      <c r="AG171" s="833"/>
      <c r="AH171" s="91">
        <f>IF(AD171="free",0,IF(AD171="me",0,IF(G171&gt;0,(VLOOKUP(A171,'Discount Lookup'!J:K,2)*G171),0)))</f>
        <v>0</v>
      </c>
      <c r="AI171" s="92" t="str">
        <f t="shared" si="355"/>
        <v/>
      </c>
      <c r="AJ171" s="828" t="str">
        <f t="shared" si="463"/>
        <v/>
      </c>
      <c r="AK171" s="828"/>
      <c r="AL171" s="313" t="str">
        <f t="shared" si="393"/>
        <v/>
      </c>
      <c r="AM171" s="312"/>
      <c r="AN171" s="101"/>
      <c r="AO171" s="101"/>
      <c r="AP171" s="101"/>
      <c r="AQ171" s="101"/>
      <c r="AR171" s="101"/>
      <c r="AS171" s="101"/>
      <c r="AT171" s="101"/>
    </row>
    <row r="172" spans="1:46" ht="12.95" customHeight="1">
      <c r="A172" s="419">
        <v>45</v>
      </c>
      <c r="B172" s="87" t="s">
        <v>50</v>
      </c>
      <c r="C172" s="399" t="s">
        <v>264</v>
      </c>
      <c r="D172" s="129" t="s">
        <v>90</v>
      </c>
      <c r="E172" s="98">
        <v>640.95000000000005</v>
      </c>
      <c r="F172" s="705" t="s">
        <v>1306</v>
      </c>
      <c r="G172" s="357">
        <v>0</v>
      </c>
      <c r="H172" s="704" t="str">
        <f t="shared" si="482"/>
        <v/>
      </c>
      <c r="I172" s="98">
        <f t="shared" si="483"/>
        <v>0</v>
      </c>
      <c r="J172" s="98">
        <f>IF(H172="warranty",0,(I172*($J$1782)))</f>
        <v>0</v>
      </c>
      <c r="K172" s="831">
        <f t="shared" si="484"/>
        <v>0</v>
      </c>
      <c r="L172" s="831"/>
      <c r="M172" s="832" t="str">
        <f>IF($H$1784=0,"",IF(G172=0,"",IF(F172="Qty=",CONCATENATE("$",ROUND(K172*(1-$H$1784),2)," with ",($H$1784*100),"% discount"),CONCATENATE("$",ROUND(K172*(1-$H$1784),2)," with ",(($H$1784*100+F172*100)-($H$1784*100*F172)),IF(F172&gt;0,"% discounts",IF($H$1781&gt;0,"% discounts","% discount"))))))</f>
        <v/>
      </c>
      <c r="N172" s="832"/>
      <c r="O172" s="832"/>
      <c r="P172" s="832"/>
      <c r="Q172" s="832"/>
      <c r="R172" s="832"/>
      <c r="S172" s="303">
        <f t="shared" si="485"/>
        <v>0</v>
      </c>
      <c r="T172" s="541">
        <f>VLOOKUP(A172,'Discount Lookup'!D:E,2,FALSE)*G172</f>
        <v>0</v>
      </c>
      <c r="U172" s="83">
        <f>VLOOKUP(A172,'Discount Lookup'!G:H,2,FALSE)*G172</f>
        <v>0</v>
      </c>
      <c r="V172" s="100">
        <f>E172*($J$1782)*G172</f>
        <v>0</v>
      </c>
      <c r="W172" s="100">
        <f t="shared" si="486"/>
        <v>0</v>
      </c>
      <c r="X172" s="100" t="b">
        <f>IF(G172&gt;0,IF(AD172="me","",G172))</f>
        <v>0</v>
      </c>
      <c r="Y172" s="201"/>
      <c r="Z172" s="829" t="str">
        <f t="shared" si="462"/>
        <v/>
      </c>
      <c r="AA172" s="829"/>
      <c r="AB172" s="830" t="str">
        <f>IF(G172=0,"",IF(AD172="free","re-planting",IF(AD172="me","not NVP, by",IF($AD$8="yes",(VLOOKUP(A172,'Discount Lookup'!J:K,2)*G172*(1-$AC$1786)*(1+$AC$1788)),IF(AD172="NVP",(VLOOKUP(A172,'Discount Lookup'!J:K,2)*G172*(1-$AC$1786)*(1+$AC$1788)),IF(AD172="free","re-planting",IF(G172=0,"",IF($AD$8="",IF(AD172="me","not NVP, by",IF(AD172="",IF(G172&gt;0,(VLOOKUP(A172,'Discount Lookup'!J:K,2)*G172*(1-$AC$1786)*(1+$AC$1788)),""),"")),"not NVP, by"))))))))</f>
        <v/>
      </c>
      <c r="AC172" s="830"/>
      <c r="AD172" s="375" t="str">
        <f t="shared" si="322"/>
        <v/>
      </c>
      <c r="AE172" s="833" t="str">
        <f t="shared" si="375"/>
        <v/>
      </c>
      <c r="AF172" s="833"/>
      <c r="AG172" s="833"/>
      <c r="AH172" s="91">
        <f>IF(AD172="free",0,IF(AD172="me",0,IF(G172&gt;0,(VLOOKUP(A172,'Discount Lookup'!J:K,2)*G172),0)))</f>
        <v>0</v>
      </c>
      <c r="AI172" s="92" t="str">
        <f t="shared" si="355"/>
        <v/>
      </c>
      <c r="AJ172" s="828" t="str">
        <f t="shared" si="463"/>
        <v/>
      </c>
      <c r="AK172" s="828"/>
      <c r="AL172" s="313" t="str">
        <f t="shared" si="393"/>
        <v/>
      </c>
      <c r="AM172" s="312"/>
      <c r="AN172" s="101"/>
      <c r="AO172" s="101"/>
      <c r="AP172" s="101"/>
      <c r="AQ172" s="101"/>
      <c r="AR172" s="101"/>
      <c r="AS172" s="101"/>
      <c r="AT172" s="101"/>
    </row>
    <row r="173" spans="1:46" ht="12.95" customHeight="1">
      <c r="A173" s="465"/>
      <c r="B173" s="103" t="s">
        <v>189</v>
      </c>
      <c r="C173" s="130"/>
      <c r="D173" s="104"/>
      <c r="E173" s="131"/>
      <c r="F173" s="710"/>
      <c r="G173" s="356"/>
      <c r="H173" s="744"/>
      <c r="I173" s="131"/>
      <c r="J173" s="131"/>
      <c r="K173" s="608"/>
      <c r="L173" s="608"/>
      <c r="M173" s="121"/>
      <c r="N173" s="145"/>
      <c r="O173" s="123"/>
      <c r="P173" s="124"/>
      <c r="Q173" s="124"/>
      <c r="R173" s="83"/>
      <c r="S173" s="82">
        <f>E173*G173</f>
        <v>0</v>
      </c>
      <c r="T173" s="540"/>
      <c r="U173" s="83"/>
      <c r="V173" s="100" t="b">
        <f>IF(G173&gt;0,IF(AD173="me","",G173))</f>
        <v>0</v>
      </c>
      <c r="W173" s="100"/>
      <c r="X173" s="100"/>
      <c r="Y173" s="201"/>
      <c r="Z173" s="829" t="str">
        <f t="shared" si="462"/>
        <v/>
      </c>
      <c r="AA173" s="829"/>
      <c r="AB173" s="830" t="str">
        <f>IF(G173=0,"",IF(AD173="free","re-planting",IF(AD173="me","not NVP, by",IF($AD$8="yes",(VLOOKUP(A173,'Discount Lookup'!J:K,2)*G173*(1-$AC$1786)*(1+$AC$1788)),IF(AD173="NVP",(VLOOKUP(A173,'Discount Lookup'!J:K,2)*G173*(1-$AC$1786)*(1+$AC$1788)),IF(AD173="free","re-planting",IF(G173=0,"",IF($AD$8="",IF(AD173="me","not NVP, by",IF(AD173="",IF(G173&gt;0,(VLOOKUP(A173,'Discount Lookup'!J:K,2)*G173*(1-$AC$1786)*(1+$AC$1788)),""),"")),"not NVP, by"))))))))</f>
        <v/>
      </c>
      <c r="AC173" s="830"/>
      <c r="AD173" s="375" t="str">
        <f t="shared" si="322"/>
        <v/>
      </c>
      <c r="AE173" s="833" t="str">
        <f t="shared" si="375"/>
        <v/>
      </c>
      <c r="AF173" s="833"/>
      <c r="AG173" s="833"/>
      <c r="AH173" s="91">
        <f>IF(AD173="free",0,IF(AD173="me",0,IF(G173&gt;0,(VLOOKUP(A173,'Discount Lookup'!J:K,2)*G173),0)))</f>
        <v>0</v>
      </c>
      <c r="AI173" s="92" t="str">
        <f t="shared" si="355"/>
        <v/>
      </c>
      <c r="AJ173" s="828" t="str">
        <f t="shared" si="463"/>
        <v/>
      </c>
      <c r="AK173" s="828"/>
      <c r="AL173" s="313" t="str">
        <f t="shared" si="393"/>
        <v/>
      </c>
      <c r="AM173" s="312"/>
      <c r="AN173" s="101"/>
      <c r="AO173" s="101"/>
      <c r="AP173" s="101"/>
      <c r="AQ173" s="101"/>
      <c r="AR173" s="101"/>
      <c r="AS173" s="101"/>
      <c r="AT173" s="101"/>
    </row>
    <row r="174" spans="1:46" ht="12.95" customHeight="1">
      <c r="A174" s="852" t="s">
        <v>190</v>
      </c>
      <c r="B174" s="844"/>
      <c r="C174" s="844"/>
      <c r="D174" s="844"/>
      <c r="E174" s="844"/>
      <c r="F174" s="844"/>
      <c r="G174" s="844"/>
      <c r="H174" s="770" t="s">
        <v>188</v>
      </c>
      <c r="I174" s="88" t="s">
        <v>79</v>
      </c>
      <c r="J174" s="86"/>
      <c r="K174" s="603" t="s">
        <v>45</v>
      </c>
      <c r="L174" s="601" t="s">
        <v>46</v>
      </c>
      <c r="M174" s="86"/>
      <c r="N174" s="87" t="s">
        <v>157</v>
      </c>
      <c r="O174" s="133"/>
      <c r="P174" s="133"/>
      <c r="Q174" s="133"/>
      <c r="R174" s="835" t="s">
        <v>49</v>
      </c>
      <c r="S174" s="835"/>
      <c r="T174" s="835"/>
      <c r="U174" s="835"/>
      <c r="V174" s="100" t="b">
        <f>IF(G174&gt;0,IF(AD174="me","",G174))</f>
        <v>0</v>
      </c>
      <c r="W174" s="100"/>
      <c r="X174" s="100"/>
      <c r="Y174" s="201"/>
      <c r="Z174" s="829" t="str">
        <f t="shared" si="462"/>
        <v/>
      </c>
      <c r="AA174" s="829"/>
      <c r="AB174" s="830" t="str">
        <f>IF(G174=0,"",IF(AD174="free","re-planting",IF(AD174="me","not NVP, by",IF($AD$8="yes",(VLOOKUP(A174,'Discount Lookup'!J:K,2)*G174*(1-$AC$1786)*(1+$AC$1788)),IF(AD174="NVP",(VLOOKUP(A174,'Discount Lookup'!J:K,2)*G174*(1-$AC$1786)*(1+$AC$1788)),IF(AD174="free","re-planting",IF(G174=0,"",IF($AD$8="",IF(AD174="me","not NVP, by",IF(AD174="",IF(G174&gt;0,(VLOOKUP(A174,'Discount Lookup'!J:K,2)*G174*(1-$AC$1786)*(1+$AC$1788)),""),"")),"not NVP, by"))))))))</f>
        <v/>
      </c>
      <c r="AC174" s="830"/>
      <c r="AD174" s="375" t="str">
        <f t="shared" si="322"/>
        <v/>
      </c>
      <c r="AE174" s="833" t="str">
        <f t="shared" si="375"/>
        <v/>
      </c>
      <c r="AF174" s="833"/>
      <c r="AG174" s="833"/>
      <c r="AH174" s="91">
        <f>IF(AD174="free",0,IF(AD174="me",0,IF(G174&gt;0,(VLOOKUP(A174,'Discount Lookup'!J:K,2)*G174),0)))</f>
        <v>0</v>
      </c>
      <c r="AI174" s="92" t="str">
        <f t="shared" si="355"/>
        <v/>
      </c>
      <c r="AJ174" s="828" t="str">
        <f t="shared" si="463"/>
        <v/>
      </c>
      <c r="AK174" s="828"/>
      <c r="AL174" s="313" t="str">
        <f t="shared" si="393"/>
        <v/>
      </c>
      <c r="AM174" s="312"/>
      <c r="AN174" s="101"/>
      <c r="AO174" s="101"/>
      <c r="AP174" s="101"/>
      <c r="AQ174" s="101"/>
      <c r="AR174" s="101"/>
      <c r="AS174" s="101"/>
      <c r="AT174" s="101"/>
    </row>
    <row r="175" spans="1:46" ht="12.95" customHeight="1">
      <c r="A175" s="419">
        <v>3</v>
      </c>
      <c r="B175" s="87" t="s">
        <v>50</v>
      </c>
      <c r="C175" s="399" t="s">
        <v>102</v>
      </c>
      <c r="D175" s="129" t="s">
        <v>63</v>
      </c>
      <c r="E175" s="98">
        <v>33.950000000000003</v>
      </c>
      <c r="F175" s="705" t="s">
        <v>1306</v>
      </c>
      <c r="G175" s="357">
        <v>0</v>
      </c>
      <c r="H175" s="704" t="str">
        <f t="shared" ref="H175:H178" si="487">IF(G175=0,"",IF(F175="Qty=",IF(G175=1,"plant","plants"),IF(F175&gt;0.0001,"warranty","Error")))</f>
        <v/>
      </c>
      <c r="I175" s="98">
        <f t="shared" ref="I175:I178" si="488">IF(F175="Qty=",(E175*G175),((E175*(1-F175))*G175))</f>
        <v>0</v>
      </c>
      <c r="J175" s="98">
        <f>IF(H175="warranty",0,(I175*($J$1782)))</f>
        <v>0</v>
      </c>
      <c r="K175" s="831">
        <f t="shared" ref="K175:K178" si="489">I175+J175</f>
        <v>0</v>
      </c>
      <c r="L175" s="831"/>
      <c r="M175" s="832" t="str">
        <f>IF($H$1784=0,"",IF(G175=0,"",IF(F175="Qty=",CONCATENATE("$",ROUND(K175*(1-$H$1784),2)," with ",($H$1784*100),"% discount"),CONCATENATE("$",ROUND(K175*(1-$H$1784),2)," with ",(($H$1784*100+F175*100)-($H$1784*100*F175)),IF(F175&gt;0,"% discounts",IF($H$1781&gt;0,"% discounts","% discount"))))))</f>
        <v/>
      </c>
      <c r="N175" s="832"/>
      <c r="O175" s="832"/>
      <c r="P175" s="832"/>
      <c r="Q175" s="832"/>
      <c r="R175" s="832"/>
      <c r="S175" s="303">
        <f t="shared" ref="S175" si="490">E175*G175</f>
        <v>0</v>
      </c>
      <c r="T175" s="541">
        <f>VLOOKUP(A175,'Discount Lookup'!D:E,2,FALSE)*G175</f>
        <v>0</v>
      </c>
      <c r="U175" s="83">
        <f>VLOOKUP(A175,'Discount Lookup'!G:H,2,FALSE)*G175</f>
        <v>0</v>
      </c>
      <c r="V175" s="100">
        <f>E175*($J$1782)*G175</f>
        <v>0</v>
      </c>
      <c r="W175" s="100">
        <f t="shared" ref="W175" si="491">I175</f>
        <v>0</v>
      </c>
      <c r="X175" s="100" t="b">
        <f t="shared" ref="X175:X176" si="492">IF(G175&gt;0,IF(AD175="me","",G175))</f>
        <v>0</v>
      </c>
      <c r="Y175" s="201"/>
      <c r="Z175" s="829" t="str">
        <f t="shared" si="462"/>
        <v/>
      </c>
      <c r="AA175" s="829"/>
      <c r="AB175" s="830" t="str">
        <f>IF(G175=0,"",IF(AD175="free","re-planting",IF(AD175="me","not NVP, by",IF($AD$8="yes",(VLOOKUP(A175,'Discount Lookup'!J:K,2)*G175*(1-$AC$1786)*(1+$AC$1788)),IF(AD175="NVP",(VLOOKUP(A175,'Discount Lookup'!J:K,2)*G175*(1-$AC$1786)*(1+$AC$1788)),IF(AD175="free","re-planting",IF(G175=0,"",IF($AD$8="",IF(AD175="me","not NVP, by",IF(AD175="",IF(G175&gt;0,(VLOOKUP(A175,'Discount Lookup'!J:K,2)*G175*(1-$AC$1786)*(1+$AC$1788)),""),"")),"not NVP, by"))))))))</f>
        <v/>
      </c>
      <c r="AC175" s="830"/>
      <c r="AD175" s="375" t="str">
        <f t="shared" si="322"/>
        <v/>
      </c>
      <c r="AE175" s="833" t="str">
        <f t="shared" si="375"/>
        <v/>
      </c>
      <c r="AF175" s="833"/>
      <c r="AG175" s="833"/>
      <c r="AH175" s="91">
        <f>IF(AD175="free",0,IF(AD175="me",0,IF(G175&gt;0,(VLOOKUP(A175,'Discount Lookup'!J:K,2)*G175),0)))</f>
        <v>0</v>
      </c>
      <c r="AI175" s="92" t="str">
        <f t="shared" si="355"/>
        <v/>
      </c>
      <c r="AJ175" s="828" t="str">
        <f t="shared" si="463"/>
        <v/>
      </c>
      <c r="AK175" s="828"/>
      <c r="AL175" s="313" t="str">
        <f t="shared" si="393"/>
        <v/>
      </c>
      <c r="AM175" s="312"/>
      <c r="AN175" s="101"/>
      <c r="AO175" s="101"/>
      <c r="AP175" s="101"/>
      <c r="AQ175" s="101"/>
      <c r="AR175" s="101"/>
      <c r="AS175" s="101"/>
      <c r="AT175" s="101"/>
    </row>
    <row r="176" spans="1:46" ht="12.95" customHeight="1">
      <c r="A176" s="419">
        <v>7</v>
      </c>
      <c r="B176" s="87" t="s">
        <v>50</v>
      </c>
      <c r="C176" s="399" t="s">
        <v>119</v>
      </c>
      <c r="D176" s="129" t="s">
        <v>62</v>
      </c>
      <c r="E176" s="98">
        <v>56.95</v>
      </c>
      <c r="F176" s="705" t="s">
        <v>1306</v>
      </c>
      <c r="G176" s="357">
        <v>0</v>
      </c>
      <c r="H176" s="704" t="str">
        <f t="shared" si="487"/>
        <v/>
      </c>
      <c r="I176" s="98">
        <f t="shared" si="488"/>
        <v>0</v>
      </c>
      <c r="J176" s="98">
        <f>IF(H176="warranty",0,(I176*($J$1782)))</f>
        <v>0</v>
      </c>
      <c r="K176" s="831">
        <f t="shared" si="489"/>
        <v>0</v>
      </c>
      <c r="L176" s="831"/>
      <c r="M176" s="832" t="str">
        <f>IF($H$1784=0,"",IF(G176=0,"",IF(F176="Qty=",CONCATENATE("$",ROUND(K176*(1-$H$1784),2)," with ",($H$1784*100),"% discount"),CONCATENATE("$",ROUND(K176*(1-$H$1784),2)," with ",(($H$1784*100+F176*100)-($H$1784*100*F176)),IF(F176&gt;0,"% discounts",IF($H$1781&gt;0,"% discounts","% discount"))))))</f>
        <v/>
      </c>
      <c r="N176" s="832"/>
      <c r="O176" s="832"/>
      <c r="P176" s="832"/>
      <c r="Q176" s="832"/>
      <c r="R176" s="832"/>
      <c r="S176" s="303">
        <f t="shared" ref="S176" si="493">E176*G176</f>
        <v>0</v>
      </c>
      <c r="T176" s="541">
        <f>VLOOKUP(A176,'Discount Lookup'!D:E,2,FALSE)*G176</f>
        <v>0</v>
      </c>
      <c r="U176" s="83">
        <f>VLOOKUP(A176,'Discount Lookup'!G:H,2,FALSE)*G176</f>
        <v>0</v>
      </c>
      <c r="V176" s="100">
        <f>E176*($J$1782)*G176</f>
        <v>0</v>
      </c>
      <c r="W176" s="100">
        <f t="shared" ref="W176" si="494">I176</f>
        <v>0</v>
      </c>
      <c r="X176" s="100" t="b">
        <f t="shared" si="492"/>
        <v>0</v>
      </c>
      <c r="Y176" s="201"/>
      <c r="Z176" s="829" t="str">
        <f t="shared" si="462"/>
        <v/>
      </c>
      <c r="AA176" s="829"/>
      <c r="AB176" s="830" t="str">
        <f>IF(G176=0,"",IF(AD176="free","re-planting",IF(AD176="me","not NVP, by",IF($AD$8="yes",(VLOOKUP(A176,'Discount Lookup'!J:K,2)*G176*(1-$AC$1786)*(1+$AC$1788)),IF(AD176="NVP",(VLOOKUP(A176,'Discount Lookup'!J:K,2)*G176*(1-$AC$1786)*(1+$AC$1788)),IF(AD176="free","re-planting",IF(G176=0,"",IF($AD$8="",IF(AD176="me","not NVP, by",IF(AD176="",IF(G176&gt;0,(VLOOKUP(A176,'Discount Lookup'!J:K,2)*G176*(1-$AC$1786)*(1+$AC$1788)),""),"")),"not NVP, by"))))))))</f>
        <v/>
      </c>
      <c r="AC176" s="830"/>
      <c r="AD176" s="375" t="str">
        <f t="shared" si="322"/>
        <v/>
      </c>
      <c r="AE176" s="833" t="str">
        <f t="shared" si="375"/>
        <v/>
      </c>
      <c r="AF176" s="833"/>
      <c r="AG176" s="833"/>
      <c r="AH176" s="91">
        <f>IF(AD176="free",0,IF(AD176="me",0,IF(G176&gt;0,(VLOOKUP(A176,'Discount Lookup'!J:K,2)*G176),0)))</f>
        <v>0</v>
      </c>
      <c r="AI176" s="92" t="str">
        <f t="shared" si="355"/>
        <v/>
      </c>
      <c r="AJ176" s="828" t="str">
        <f t="shared" si="463"/>
        <v/>
      </c>
      <c r="AK176" s="828"/>
      <c r="AL176" s="313" t="str">
        <f t="shared" si="393"/>
        <v/>
      </c>
      <c r="AM176" s="312"/>
      <c r="AN176" s="101"/>
      <c r="AO176" s="101"/>
      <c r="AP176" s="101"/>
      <c r="AQ176" s="101"/>
      <c r="AR176" s="101"/>
      <c r="AS176" s="101"/>
      <c r="AT176" s="101"/>
    </row>
    <row r="177" spans="1:46" ht="12.95" customHeight="1">
      <c r="A177" s="419">
        <v>15</v>
      </c>
      <c r="B177" s="87" t="s">
        <v>50</v>
      </c>
      <c r="C177" s="399" t="s">
        <v>70</v>
      </c>
      <c r="D177" s="129" t="s">
        <v>62</v>
      </c>
      <c r="E177" s="98">
        <v>155.94999999999999</v>
      </c>
      <c r="F177" s="705" t="s">
        <v>1306</v>
      </c>
      <c r="G177" s="357">
        <v>0</v>
      </c>
      <c r="H177" s="704" t="str">
        <f t="shared" si="487"/>
        <v/>
      </c>
      <c r="I177" s="98">
        <f t="shared" si="488"/>
        <v>0</v>
      </c>
      <c r="J177" s="98">
        <f>IF(H177="warranty",0,(I177*($J$1782)))</f>
        <v>0</v>
      </c>
      <c r="K177" s="831">
        <f t="shared" si="489"/>
        <v>0</v>
      </c>
      <c r="L177" s="831"/>
      <c r="M177" s="832" t="str">
        <f>IF($H$1784=0,"",IF(G177=0,"",IF(F177="Qty=",CONCATENATE("$",ROUND(K177*(1-$H$1784),2)," with ",($H$1784*100),"% discount"),CONCATENATE("$",ROUND(K177*(1-$H$1784),2)," with ",(($H$1784*100+F177*100)-($H$1784*100*F177)),IF(F177&gt;0,"% discounts",IF($H$1781&gt;0,"% discounts","% discount"))))))</f>
        <v/>
      </c>
      <c r="N177" s="832"/>
      <c r="O177" s="832"/>
      <c r="P177" s="832"/>
      <c r="Q177" s="832"/>
      <c r="R177" s="832"/>
      <c r="S177" s="303">
        <f t="shared" ref="S177" si="495">E177*G177</f>
        <v>0</v>
      </c>
      <c r="T177" s="541">
        <f>VLOOKUP(A177,'Discount Lookup'!D:E,2,FALSE)*G177</f>
        <v>0</v>
      </c>
      <c r="U177" s="83">
        <f>VLOOKUP(A177,'Discount Lookup'!G:H,2,FALSE)*G177</f>
        <v>0</v>
      </c>
      <c r="V177" s="100">
        <f>E177*($J$1782)*G177</f>
        <v>0</v>
      </c>
      <c r="W177" s="100">
        <f t="shared" ref="W177" si="496">I177</f>
        <v>0</v>
      </c>
      <c r="X177" s="100" t="b">
        <f t="shared" ref="X177" si="497">IF(G177&gt;0,IF(AD177="me","",G177))</f>
        <v>0</v>
      </c>
      <c r="Y177" s="201"/>
      <c r="Z177" s="829" t="str">
        <f t="shared" si="462"/>
        <v/>
      </c>
      <c r="AA177" s="829"/>
      <c r="AB177" s="830" t="str">
        <f>IF(G177=0,"",IF(AD177="free","re-planting",IF(AD177="me","not NVP, by",IF($AD$8="yes",(VLOOKUP(A177,'Discount Lookup'!J:K,2)*G177*(1-$AC$1786)*(1+$AC$1788)),IF(AD177="NVP",(VLOOKUP(A177,'Discount Lookup'!J:K,2)*G177*(1-$AC$1786)*(1+$AC$1788)),IF(AD177="free","re-planting",IF(G177=0,"",IF($AD$8="",IF(AD177="me","not NVP, by",IF(AD177="",IF(G177&gt;0,(VLOOKUP(A177,'Discount Lookup'!J:K,2)*G177*(1-$AC$1786)*(1+$AC$1788)),""),"")),"not NVP, by"))))))))</f>
        <v/>
      </c>
      <c r="AC177" s="830"/>
      <c r="AD177" s="375" t="str">
        <f t="shared" ref="AD177:AD238" si="498">IF(G177=0,"",IF($AD$8="me","me",IF(H177="warranty","free",IF($AD$8="yes","NVP",""))))</f>
        <v/>
      </c>
      <c r="AE177" s="833" t="str">
        <f t="shared" ref="AE177" si="499">IF(G177&gt;0,(CONCATENATE((G177)," quantity, ",(A177)," ",B177)),"")</f>
        <v/>
      </c>
      <c r="AF177" s="833"/>
      <c r="AG177" s="833"/>
      <c r="AH177" s="91">
        <f>IF(AD177="free",0,IF(AD177="me",0,IF(G177&gt;0,(VLOOKUP(A177,'Discount Lookup'!J:K,2)*G177),0)))</f>
        <v>0</v>
      </c>
      <c r="AI177" s="92" t="str">
        <f t="shared" si="355"/>
        <v/>
      </c>
      <c r="AJ177" s="828" t="str">
        <f t="shared" si="463"/>
        <v/>
      </c>
      <c r="AK177" s="828"/>
      <c r="AL177" s="313" t="str">
        <f t="shared" si="393"/>
        <v/>
      </c>
      <c r="AM177" s="312"/>
      <c r="AN177" s="101"/>
      <c r="AO177" s="101"/>
      <c r="AP177" s="101"/>
      <c r="AQ177" s="101"/>
      <c r="AR177" s="101"/>
      <c r="AS177" s="101"/>
      <c r="AT177" s="101"/>
    </row>
    <row r="178" spans="1:46" ht="12.95" customHeight="1">
      <c r="A178" s="419">
        <v>15</v>
      </c>
      <c r="B178" s="87" t="s">
        <v>50</v>
      </c>
      <c r="C178" s="128" t="s">
        <v>53</v>
      </c>
      <c r="D178" s="129" t="s">
        <v>90</v>
      </c>
      <c r="E178" s="98">
        <v>168.95</v>
      </c>
      <c r="F178" s="705" t="s">
        <v>1306</v>
      </c>
      <c r="G178" s="357">
        <v>0</v>
      </c>
      <c r="H178" s="704" t="str">
        <f t="shared" si="487"/>
        <v/>
      </c>
      <c r="I178" s="98">
        <f t="shared" si="488"/>
        <v>0</v>
      </c>
      <c r="J178" s="98">
        <f>IF(H178="warranty",0,(I178*($J$1782)))</f>
        <v>0</v>
      </c>
      <c r="K178" s="831">
        <f t="shared" si="489"/>
        <v>0</v>
      </c>
      <c r="L178" s="831"/>
      <c r="M178" s="832" t="str">
        <f>IF($H$1784=0,"",IF(G178=0,"",IF(F178="Qty=",CONCATENATE("$",ROUND(K178*(1-$H$1784),2)," with ",($H$1784*100),"% discount"),CONCATENATE("$",ROUND(K178*(1-$H$1784),2)," with ",(($H$1784*100+F178*100)-($H$1784*100*F178)),IF(F178&gt;0,"% discounts",IF($H$1781&gt;0,"% discounts","% discount"))))))</f>
        <v/>
      </c>
      <c r="N178" s="832"/>
      <c r="O178" s="832"/>
      <c r="P178" s="832"/>
      <c r="Q178" s="832"/>
      <c r="R178" s="832"/>
      <c r="S178" s="303">
        <f t="shared" ref="S178" si="500">E178*G178</f>
        <v>0</v>
      </c>
      <c r="T178" s="541">
        <f>VLOOKUP(A178,'Discount Lookup'!D:E,2,FALSE)*G178</f>
        <v>0</v>
      </c>
      <c r="U178" s="83">
        <f>VLOOKUP(A178,'Discount Lookup'!G:H,2,FALSE)*G178</f>
        <v>0</v>
      </c>
      <c r="V178" s="100">
        <f>E178*($J$1782)*G178</f>
        <v>0</v>
      </c>
      <c r="W178" s="100">
        <f t="shared" ref="W178" si="501">I178</f>
        <v>0</v>
      </c>
      <c r="X178" s="100" t="b">
        <f t="shared" ref="X178" si="502">IF(G178&gt;0,IF(AD178="me","",G178))</f>
        <v>0</v>
      </c>
      <c r="Y178" s="201"/>
      <c r="Z178" s="829" t="str">
        <f t="shared" si="462"/>
        <v/>
      </c>
      <c r="AA178" s="829"/>
      <c r="AB178" s="830" t="str">
        <f>IF(G178=0,"",IF(AD178="free","re-planting",IF(AD178="me","not NVP, by",IF($AD$8="yes",(VLOOKUP(A178,'Discount Lookup'!J:K,2)*G178*(1-$AC$1786)*(1+$AC$1788)),IF(AD178="NVP",(VLOOKUP(A178,'Discount Lookup'!J:K,2)*G178*(1-$AC$1786)*(1+$AC$1788)),IF(AD178="free","re-planting",IF(G178=0,"",IF($AD$8="",IF(AD178="me","not NVP, by",IF(AD178="",IF(G178&gt;0,(VLOOKUP(A178,'Discount Lookup'!J:K,2)*G178*(1-$AC$1786)*(1+$AC$1788)),""),"")),"not NVP, by"))))))))</f>
        <v/>
      </c>
      <c r="AC178" s="830"/>
      <c r="AD178" s="375" t="str">
        <f t="shared" si="498"/>
        <v/>
      </c>
      <c r="AE178" s="833" t="str">
        <f t="shared" ref="AE178" si="503">IF(G178&gt;0,(CONCATENATE((G178)," quantity, ",(A178)," ",B178)),"")</f>
        <v/>
      </c>
      <c r="AF178" s="833"/>
      <c r="AG178" s="833"/>
      <c r="AH178" s="91">
        <f>IF(AD178="free",0,IF(AD178="me",0,IF(G178&gt;0,(VLOOKUP(A178,'Discount Lookup'!J:K,2)*G178),0)))</f>
        <v>0</v>
      </c>
      <c r="AI178" s="92" t="str">
        <f t="shared" si="355"/>
        <v/>
      </c>
      <c r="AJ178" s="828" t="str">
        <f t="shared" si="463"/>
        <v/>
      </c>
      <c r="AK178" s="828"/>
      <c r="AL178" s="313" t="str">
        <f t="shared" si="393"/>
        <v/>
      </c>
      <c r="AM178" s="312"/>
      <c r="AN178" s="101"/>
      <c r="AO178" s="101"/>
      <c r="AP178" s="101"/>
      <c r="AQ178" s="101"/>
      <c r="AR178" s="101"/>
      <c r="AS178" s="101"/>
      <c r="AT178" s="101"/>
    </row>
    <row r="179" spans="1:46" ht="12.95" customHeight="1">
      <c r="A179" s="465"/>
      <c r="B179" s="103" t="s">
        <v>1651</v>
      </c>
      <c r="H179" s="747"/>
      <c r="M179" s="121"/>
      <c r="N179" s="121"/>
      <c r="O179" s="111"/>
      <c r="P179" s="111"/>
      <c r="Q179" s="111"/>
      <c r="R179" s="111"/>
      <c r="S179" s="82">
        <f>E179*G179</f>
        <v>0</v>
      </c>
      <c r="T179" s="540"/>
      <c r="U179" s="83"/>
      <c r="V179" s="100" t="b">
        <f>IF(G179&gt;0,IF(AD179="me","",G179))</f>
        <v>0</v>
      </c>
      <c r="W179" s="100"/>
      <c r="X179" s="100"/>
      <c r="Y179" s="201"/>
      <c r="Z179" s="829" t="str">
        <f t="shared" si="462"/>
        <v/>
      </c>
      <c r="AA179" s="829"/>
      <c r="AB179" s="830" t="str">
        <f>IF(G179=0,"",IF(AD179="free","re-planting",IF(AD179="me","not NVP, by",IF($AD$8="yes",(VLOOKUP(A179,'Discount Lookup'!J:K,2)*G179*(1-$AC$1786)*(1+$AC$1788)),IF(AD179="NVP",(VLOOKUP(A179,'Discount Lookup'!J:K,2)*G179*(1-$AC$1786)*(1+$AC$1788)),IF(AD179="free","re-planting",IF(G179=0,"",IF($AD$8="",IF(AD179="me","not NVP, by",IF(AD179="",IF(G179&gt;0,(VLOOKUP(A179,'Discount Lookup'!J:K,2)*G179*(1-$AC$1786)*(1+$AC$1788)),""),"")),"not NVP, by"))))))))</f>
        <v/>
      </c>
      <c r="AC179" s="830"/>
      <c r="AD179" s="375" t="str">
        <f t="shared" si="498"/>
        <v/>
      </c>
      <c r="AE179" s="833" t="str">
        <f t="shared" si="375"/>
        <v/>
      </c>
      <c r="AF179" s="833"/>
      <c r="AG179" s="833"/>
      <c r="AH179" s="91">
        <f>IF(AD179="free",0,IF(AD179="me",0,IF(G179&gt;0,(VLOOKUP(A179,'Discount Lookup'!J:K,2)*G179),0)))</f>
        <v>0</v>
      </c>
      <c r="AI179" s="92" t="str">
        <f t="shared" si="355"/>
        <v/>
      </c>
      <c r="AJ179" s="828" t="str">
        <f t="shared" si="463"/>
        <v/>
      </c>
      <c r="AK179" s="828"/>
      <c r="AL179" s="313" t="str">
        <f t="shared" si="393"/>
        <v/>
      </c>
      <c r="AM179" s="312"/>
      <c r="AN179" s="101"/>
      <c r="AO179" s="101"/>
      <c r="AP179" s="101"/>
      <c r="AQ179" s="101"/>
      <c r="AR179" s="101"/>
      <c r="AS179" s="101"/>
      <c r="AT179" s="101"/>
    </row>
    <row r="180" spans="1:46" ht="12.95" customHeight="1">
      <c r="A180" s="847" t="s">
        <v>191</v>
      </c>
      <c r="B180" s="848"/>
      <c r="C180" s="848"/>
      <c r="D180" s="848"/>
      <c r="E180" s="848"/>
      <c r="F180" s="848"/>
      <c r="G180" s="848"/>
      <c r="H180" s="770" t="s">
        <v>192</v>
      </c>
      <c r="I180" s="348" t="s">
        <v>44</v>
      </c>
      <c r="J180" s="93"/>
      <c r="K180" s="600" t="s">
        <v>45</v>
      </c>
      <c r="L180" s="601" t="s">
        <v>46</v>
      </c>
      <c r="M180" s="86"/>
      <c r="N180" s="87" t="s">
        <v>47</v>
      </c>
      <c r="O180" s="87"/>
      <c r="P180" s="87"/>
      <c r="Q180" s="89" t="s">
        <v>48</v>
      </c>
      <c r="R180" s="835" t="s">
        <v>49</v>
      </c>
      <c r="S180" s="835"/>
      <c r="T180" s="835"/>
      <c r="U180" s="835"/>
      <c r="V180" s="100" t="b">
        <f>IF(G180&gt;0,IF(AD180="me","",G180))</f>
        <v>0</v>
      </c>
      <c r="W180" s="100"/>
      <c r="X180" s="100"/>
      <c r="Y180" s="201"/>
      <c r="Z180" s="829" t="str">
        <f t="shared" si="462"/>
        <v/>
      </c>
      <c r="AA180" s="829"/>
      <c r="AB180" s="830" t="str">
        <f>IF(G180=0,"",IF(AD180="free","re-planting",IF(AD180="me","not NVP, by",IF($AD$8="yes",(VLOOKUP(A180,'Discount Lookup'!J:K,2)*G180*(1-$AC$1786)*(1+$AC$1788)),IF(AD180="NVP",(VLOOKUP(A180,'Discount Lookup'!J:K,2)*G180*(1-$AC$1786)*(1+$AC$1788)),IF(AD180="free","re-planting",IF(G180=0,"",IF($AD$8="",IF(AD180="me","not NVP, by",IF(AD180="",IF(G180&gt;0,(VLOOKUP(A180,'Discount Lookup'!J:K,2)*G180*(1-$AC$1786)*(1+$AC$1788)),""),"")),"not NVP, by"))))))))</f>
        <v/>
      </c>
      <c r="AC180" s="830"/>
      <c r="AD180" s="375" t="str">
        <f t="shared" si="498"/>
        <v/>
      </c>
      <c r="AE180" s="833" t="str">
        <f t="shared" si="375"/>
        <v/>
      </c>
      <c r="AF180" s="833"/>
      <c r="AG180" s="833"/>
      <c r="AH180" s="91">
        <f>IF(AD180="free",0,IF(AD180="me",0,IF(G180&gt;0,(VLOOKUP(A180,'Discount Lookup'!J:K,2)*G180),0)))</f>
        <v>0</v>
      </c>
      <c r="AI180" s="92" t="str">
        <f t="shared" si="355"/>
        <v/>
      </c>
      <c r="AJ180" s="828" t="str">
        <f t="shared" si="463"/>
        <v/>
      </c>
      <c r="AK180" s="828"/>
      <c r="AL180" s="313" t="str">
        <f t="shared" si="393"/>
        <v/>
      </c>
      <c r="AM180" s="312"/>
      <c r="AN180" s="101"/>
      <c r="AO180" s="101"/>
      <c r="AP180" s="101"/>
      <c r="AQ180" s="101"/>
      <c r="AR180" s="101"/>
      <c r="AS180" s="101"/>
      <c r="AT180" s="101"/>
    </row>
    <row r="181" spans="1:46" ht="12.95" customHeight="1">
      <c r="A181" s="419">
        <v>15</v>
      </c>
      <c r="B181" s="87" t="s">
        <v>50</v>
      </c>
      <c r="C181" s="128" t="s">
        <v>53</v>
      </c>
      <c r="D181" s="129" t="s">
        <v>90</v>
      </c>
      <c r="E181" s="98">
        <v>276.95</v>
      </c>
      <c r="F181" s="705" t="s">
        <v>1306</v>
      </c>
      <c r="G181" s="357">
        <v>0</v>
      </c>
      <c r="H181" s="704" t="str">
        <f>IF(G181=0,"",IF(F181="Qty=",IF(G181=1,"plant","plants"),IF(F181&gt;0.0001,"warranty","Error")))</f>
        <v/>
      </c>
      <c r="I181" s="98">
        <f>IF(F181="Qty=",(E181*G181),((E181*(1-F181))*G181))</f>
        <v>0</v>
      </c>
      <c r="J181" s="98">
        <f>IF(H181="warranty",0,(I181*($J$1782)))</f>
        <v>0</v>
      </c>
      <c r="K181" s="831">
        <f t="shared" ref="K181:K183" si="504">I181+J181</f>
        <v>0</v>
      </c>
      <c r="L181" s="831"/>
      <c r="M181" s="832" t="str">
        <f>IF($H$1784=0,"",IF(G181=0,"",IF(F181="Qty=",CONCATENATE("$",ROUND(K181*(1-$H$1784),2)," with ",($H$1784*100),"% discount"),CONCATENATE("$",ROUND(K181*(1-$H$1784),2)," with ",(($H$1784*100+F181*100)-($H$1784*100*F181)),IF(F181&gt;0,"% discounts",IF($H$1781&gt;0,"% discounts","% discount"))))))</f>
        <v/>
      </c>
      <c r="N181" s="832"/>
      <c r="O181" s="832"/>
      <c r="P181" s="832"/>
      <c r="Q181" s="832"/>
      <c r="R181" s="832"/>
      <c r="S181" s="303">
        <f>E181*G181</f>
        <v>0</v>
      </c>
      <c r="T181" s="541">
        <f>VLOOKUP(A181,'Discount Lookup'!D:E,2,FALSE)*G181</f>
        <v>0</v>
      </c>
      <c r="U181" s="83">
        <f>VLOOKUP(A181,'Discount Lookup'!G:H,2,FALSE)*G181</f>
        <v>0</v>
      </c>
      <c r="V181" s="100">
        <f>E181*($J$1782)*G181</f>
        <v>0</v>
      </c>
      <c r="W181" s="100">
        <f>I181</f>
        <v>0</v>
      </c>
      <c r="X181" s="100" t="b">
        <f>IF(G181&gt;0,IF(AD181="me","",G181))</f>
        <v>0</v>
      </c>
      <c r="Y181" s="201"/>
      <c r="Z181" s="829" t="str">
        <f>IF(G181=0,"",IF(AD181="me","",IF($AD$8="me","",IF(AD181="free","warranty",IF($AD$8="yes","NVP planting:","to NVP install:")))))</f>
        <v/>
      </c>
      <c r="AA181" s="829"/>
      <c r="AB181" s="830" t="str">
        <f>IF(G181=0,"",IF(AD181="free","re-planting",IF(AD181="me","not NVP, by",IF($AD$8="yes",(VLOOKUP(A181,'Discount Lookup'!J:K,2)*G181*(1-$AC$1786)*(1+$AC$1788)),IF(AD181="NVP",(VLOOKUP(A181,'Discount Lookup'!J:K,2)*G181*(1-$AC$1786)*(1+$AC$1788)),IF(AD181="free","re-planting",IF(G181=0,"",IF($AD$8="",IF(AD181="me","not NVP, by",IF(AD181="",IF(G181&gt;0,(VLOOKUP(A181,'Discount Lookup'!J:K,2)*G181*(1-$AC$1786)*(1+$AC$1788)),""),"")),"not NVP, by"))))))))</f>
        <v/>
      </c>
      <c r="AC181" s="830"/>
      <c r="AD181" s="375" t="str">
        <f t="shared" si="498"/>
        <v/>
      </c>
      <c r="AE181" s="833" t="str">
        <f>IF(G181&gt;0,(CONCATENATE((G181)," quantity, ",(A181)," ",B181)),"")</f>
        <v/>
      </c>
      <c r="AF181" s="833"/>
      <c r="AG181" s="833"/>
      <c r="AH181" s="91">
        <f>IF(AD181="free",0,IF(AD181="me",0,IF(G181&gt;0,(VLOOKUP(A181,'Discount Lookup'!J:K,2)*G181),0)))</f>
        <v>0</v>
      </c>
      <c r="AI181" s="92" t="str">
        <f t="shared" si="355"/>
        <v/>
      </c>
      <c r="AJ181" s="828" t="str">
        <f>IF(G181=0,"",IF(AD181="me","  delivery-only",IF($AD$8="me","  delivery-only",CONCATENATE(" $",ROUND(AI181/G181,2)," each"))))</f>
        <v/>
      </c>
      <c r="AK181" s="828"/>
      <c r="AL181" s="313" t="str">
        <f t="shared" si="393"/>
        <v/>
      </c>
      <c r="AM181" s="312"/>
      <c r="AN181" s="101"/>
      <c r="AO181" s="101"/>
      <c r="AP181" s="101"/>
      <c r="AQ181" s="101"/>
      <c r="AR181" s="101"/>
      <c r="AS181" s="101"/>
      <c r="AT181" s="101"/>
    </row>
    <row r="182" spans="1:46" ht="12.95" customHeight="1">
      <c r="A182" s="419">
        <v>15</v>
      </c>
      <c r="B182" s="87" t="s">
        <v>50</v>
      </c>
      <c r="C182" s="128" t="s">
        <v>111</v>
      </c>
      <c r="D182" s="129" t="s">
        <v>94</v>
      </c>
      <c r="E182" s="98">
        <v>239.95</v>
      </c>
      <c r="F182" s="705" t="s">
        <v>1306</v>
      </c>
      <c r="G182" s="357">
        <v>0</v>
      </c>
      <c r="H182" s="704" t="str">
        <f>IF(G182=0,"",IF(F182="Qty=",IF(G182=1,"plant","plants"),IF(F182&gt;0.0001,"warranty","Error")))</f>
        <v/>
      </c>
      <c r="I182" s="98">
        <f>IF(F182="Qty=",(E182*G182),((E182*(1-F182))*G182))</f>
        <v>0</v>
      </c>
      <c r="J182" s="98">
        <f>IF(H182="warranty",0,(I182*($J$1782)))</f>
        <v>0</v>
      </c>
      <c r="K182" s="831">
        <f t="shared" si="504"/>
        <v>0</v>
      </c>
      <c r="L182" s="831"/>
      <c r="M182" s="832" t="str">
        <f>IF($H$1784=0,"",IF(G182=0,"",IF(F182="Qty=",CONCATENATE("$",ROUND(K182*(1-$H$1784),2)," with ",($H$1784*100),"% discount"),CONCATENATE("$",ROUND(K182*(1-$H$1784),2)," with ",(($H$1784*100+F182*100)-($H$1784*100*F182)),IF(F182&gt;0,"% discounts",IF($H$1781&gt;0,"% discounts","% discount"))))))</f>
        <v/>
      </c>
      <c r="N182" s="832"/>
      <c r="O182" s="832"/>
      <c r="P182" s="832"/>
      <c r="Q182" s="832"/>
      <c r="R182" s="832"/>
      <c r="S182" s="303">
        <f>E182*G182</f>
        <v>0</v>
      </c>
      <c r="T182" s="541">
        <f>VLOOKUP(A182,'Discount Lookup'!D:E,2,FALSE)*G182</f>
        <v>0</v>
      </c>
      <c r="U182" s="83">
        <f>VLOOKUP(A182,'Discount Lookup'!G:H,2,FALSE)*G182</f>
        <v>0</v>
      </c>
      <c r="V182" s="100">
        <f>E182*($J$1782)*G182</f>
        <v>0</v>
      </c>
      <c r="W182" s="100">
        <f>I182</f>
        <v>0</v>
      </c>
      <c r="X182" s="100" t="b">
        <f>IF(G182&gt;0,IF(AD182="me","",G182))</f>
        <v>0</v>
      </c>
      <c r="Y182" s="201"/>
      <c r="Z182" s="829" t="str">
        <f>IF(G182=0,"",IF(AD182="me","",IF($AD$8="me","",IF(AD182="free","warranty",IF($AD$8="yes","NVP planting:","to NVP install:")))))</f>
        <v/>
      </c>
      <c r="AA182" s="829"/>
      <c r="AB182" s="830" t="str">
        <f>IF(G182=0,"",IF(AD182="free","re-planting",IF(AD182="me","not NVP, by",IF($AD$8="yes",(VLOOKUP(A182,'Discount Lookup'!J:K,2)*G182*(1-$AC$1786)*(1+$AC$1788)),IF(AD182="NVP",(VLOOKUP(A182,'Discount Lookup'!J:K,2)*G182*(1-$AC$1786)*(1+$AC$1788)),IF(AD182="free","re-planting",IF(G182=0,"",IF($AD$8="",IF(AD182="me","not NVP, by",IF(AD182="",IF(G182&gt;0,(VLOOKUP(A182,'Discount Lookup'!J:K,2)*G182*(1-$AC$1786)*(1+$AC$1788)),""),"")),"not NVP, by"))))))))</f>
        <v/>
      </c>
      <c r="AC182" s="830"/>
      <c r="AD182" s="375" t="str">
        <f t="shared" si="498"/>
        <v/>
      </c>
      <c r="AE182" s="833" t="str">
        <f>IF(G182&gt;0,(CONCATENATE((G182)," quantity, ",(A182)," ",B182)),"")</f>
        <v/>
      </c>
      <c r="AF182" s="833"/>
      <c r="AG182" s="833"/>
      <c r="AH182" s="91">
        <f>IF(AD182="free",0,IF(AD182="me",0,IF(G182&gt;0,(VLOOKUP(A182,'Discount Lookup'!J:K,2)*G182),0)))</f>
        <v>0</v>
      </c>
      <c r="AI182" s="92" t="str">
        <f t="shared" si="355"/>
        <v/>
      </c>
      <c r="AJ182" s="828" t="str">
        <f>IF(G182=0,"",IF(AD182="me","  delivery-only",IF($AD$8="me","  delivery-only",CONCATENATE(" $",ROUND(AI182/G182,2)," each"))))</f>
        <v/>
      </c>
      <c r="AK182" s="828"/>
      <c r="AL182" s="313" t="str">
        <f t="shared" si="393"/>
        <v/>
      </c>
      <c r="AM182" s="312"/>
      <c r="AN182" s="101"/>
      <c r="AO182" s="101"/>
      <c r="AP182" s="101"/>
      <c r="AQ182" s="101"/>
      <c r="AR182" s="101"/>
      <c r="AS182" s="101"/>
      <c r="AT182" s="101"/>
    </row>
    <row r="183" spans="1:46" ht="12.95" customHeight="1">
      <c r="A183" s="419">
        <v>25</v>
      </c>
      <c r="B183" s="87" t="s">
        <v>50</v>
      </c>
      <c r="C183" s="128" t="s">
        <v>733</v>
      </c>
      <c r="D183" s="129" t="s">
        <v>90</v>
      </c>
      <c r="E183" s="98">
        <v>518.95000000000005</v>
      </c>
      <c r="F183" s="705" t="s">
        <v>1306</v>
      </c>
      <c r="G183" s="357">
        <v>0</v>
      </c>
      <c r="H183" s="704" t="str">
        <f t="shared" ref="H183" si="505">IF(G183=0,"",IF(F183="Qty=",IF(G183=1,"plant","plants"),IF(F183&gt;0.0001,"warranty","Error")))</f>
        <v/>
      </c>
      <c r="I183" s="98">
        <f t="shared" ref="I183" si="506">IF(F183="Qty=",(E183*G183),((E183*(1-F183))*G183))</f>
        <v>0</v>
      </c>
      <c r="J183" s="98">
        <f>IF(H183="warranty",0,(I183*($J$1782)))</f>
        <v>0</v>
      </c>
      <c r="K183" s="831">
        <f t="shared" si="504"/>
        <v>0</v>
      </c>
      <c r="L183" s="831"/>
      <c r="M183" s="832" t="str">
        <f>IF($H$1784=0,"",IF(G183=0,"",IF(F183="Qty=",CONCATENATE("$",ROUND(K183*(1-$H$1784),2)," with ",($H$1784*100),"% discount"),CONCATENATE("$",ROUND(K183*(1-$H$1784),2)," with ",(($H$1784*100+F183*100)-($H$1784*100*F183)),IF(F183&gt;0,"% discounts",IF($H$1781&gt;0,"% discounts","% discount"))))))</f>
        <v/>
      </c>
      <c r="N183" s="832"/>
      <c r="O183" s="832"/>
      <c r="P183" s="832"/>
      <c r="Q183" s="832"/>
      <c r="R183" s="832"/>
      <c r="S183" s="303">
        <f t="shared" ref="S183" si="507">E183*G183</f>
        <v>0</v>
      </c>
      <c r="T183" s="541">
        <f>VLOOKUP(A183,'Discount Lookup'!D:E,2,FALSE)*G183</f>
        <v>0</v>
      </c>
      <c r="U183" s="83">
        <f>VLOOKUP(A183,'Discount Lookup'!G:H,2,FALSE)*G183</f>
        <v>0</v>
      </c>
      <c r="V183" s="100">
        <f>E183*($J$1782)*G183</f>
        <v>0</v>
      </c>
      <c r="W183" s="100">
        <f t="shared" ref="W183" si="508">I183</f>
        <v>0</v>
      </c>
      <c r="X183" s="100" t="b">
        <f>IF(G183&gt;0,IF(AD183="me","",G183))</f>
        <v>0</v>
      </c>
      <c r="Y183" s="201"/>
      <c r="Z183" s="829" t="str">
        <f t="shared" si="462"/>
        <v/>
      </c>
      <c r="AA183" s="829"/>
      <c r="AB183" s="830" t="str">
        <f>IF(G183=0,"",IF(AD183="free","re-planting",IF(AD183="me","not NVP, by",IF($AD$8="yes",(VLOOKUP(A183,'Discount Lookup'!J:K,2)*G183*(1-$AC$1786)*(1+$AC$1788)),IF(AD183="NVP",(VLOOKUP(A183,'Discount Lookup'!J:K,2)*G183*(1-$AC$1786)*(1+$AC$1788)),IF(AD183="free","re-planting",IF(G183=0,"",IF($AD$8="",IF(AD183="me","not NVP, by",IF(AD183="",IF(G183&gt;0,(VLOOKUP(A183,'Discount Lookup'!J:K,2)*G183*(1-$AC$1786)*(1+$AC$1788)),""),"")),"not NVP, by"))))))))</f>
        <v/>
      </c>
      <c r="AC183" s="830"/>
      <c r="AD183" s="375" t="str">
        <f t="shared" si="498"/>
        <v/>
      </c>
      <c r="AE183" s="833" t="str">
        <f t="shared" si="375"/>
        <v/>
      </c>
      <c r="AF183" s="833"/>
      <c r="AG183" s="833"/>
      <c r="AH183" s="91">
        <f>IF(AD183="free",0,IF(AD183="me",0,IF(G183&gt;0,(VLOOKUP(A183,'Discount Lookup'!J:K,2)*G183),0)))</f>
        <v>0</v>
      </c>
      <c r="AI183" s="92" t="str">
        <f t="shared" si="355"/>
        <v/>
      </c>
      <c r="AJ183" s="828" t="str">
        <f t="shared" si="463"/>
        <v/>
      </c>
      <c r="AK183" s="828"/>
      <c r="AL183" s="313" t="str">
        <f t="shared" si="393"/>
        <v/>
      </c>
      <c r="AM183" s="312"/>
      <c r="AN183" s="101"/>
      <c r="AO183" s="101"/>
      <c r="AP183" s="101"/>
      <c r="AQ183" s="101"/>
      <c r="AR183" s="101"/>
      <c r="AS183" s="101"/>
      <c r="AT183" s="101"/>
    </row>
    <row r="184" spans="1:46" ht="12.95" customHeight="1">
      <c r="A184" s="465"/>
      <c r="B184" s="148" t="s">
        <v>193</v>
      </c>
      <c r="D184" s="146"/>
      <c r="E184" s="398"/>
      <c r="F184" s="712"/>
      <c r="G184" s="358"/>
      <c r="H184" s="744"/>
      <c r="J184" s="131"/>
      <c r="K184" s="608"/>
      <c r="L184" s="608"/>
      <c r="M184" s="121"/>
      <c r="N184" s="145"/>
      <c r="O184" s="48"/>
      <c r="P184" s="124"/>
      <c r="Q184" s="124"/>
      <c r="R184" s="83"/>
      <c r="S184" s="82"/>
      <c r="T184" s="540"/>
      <c r="U184" s="83"/>
      <c r="V184" s="100"/>
      <c r="W184" s="100"/>
      <c r="X184" s="100"/>
      <c r="Y184" s="201"/>
      <c r="Z184" s="829" t="str">
        <f t="shared" si="462"/>
        <v/>
      </c>
      <c r="AA184" s="829"/>
      <c r="AB184" s="830" t="str">
        <f>IF(G184=0,"",IF(AD184="free","re-planting",IF(AD184="me","not NVP, by",IF($AD$8="yes",(VLOOKUP(A184,'Discount Lookup'!J:K,2)*G184*(1-$AC$1786)*(1+$AC$1788)),IF(AD184="NVP",(VLOOKUP(A184,'Discount Lookup'!J:K,2)*G184*(1-$AC$1786)*(1+$AC$1788)),IF(AD184="free","re-planting",IF(G184=0,"",IF($AD$8="",IF(AD184="me","not NVP, by",IF(AD184="",IF(G184&gt;0,(VLOOKUP(A184,'Discount Lookup'!J:K,2)*G184*(1-$AC$1786)*(1+$AC$1788)),""),"")),"not NVP, by"))))))))</f>
        <v/>
      </c>
      <c r="AC184" s="830"/>
      <c r="AD184" s="375" t="str">
        <f t="shared" si="498"/>
        <v/>
      </c>
      <c r="AE184" s="833" t="str">
        <f t="shared" si="375"/>
        <v/>
      </c>
      <c r="AF184" s="833"/>
      <c r="AG184" s="833"/>
      <c r="AH184" s="91">
        <f>IF(AD184="free",0,IF(AD184="me",0,IF(G184&gt;0,(VLOOKUP(A184,'Discount Lookup'!J:K,2)*G184),0)))</f>
        <v>0</v>
      </c>
      <c r="AI184" s="92" t="str">
        <f t="shared" si="355"/>
        <v/>
      </c>
      <c r="AJ184" s="828" t="str">
        <f t="shared" si="463"/>
        <v/>
      </c>
      <c r="AK184" s="828"/>
      <c r="AL184" s="313" t="str">
        <f t="shared" si="393"/>
        <v/>
      </c>
      <c r="AM184" s="312"/>
      <c r="AN184" s="101"/>
      <c r="AO184" s="101"/>
      <c r="AP184" s="101"/>
      <c r="AQ184" s="101"/>
      <c r="AR184" s="101"/>
      <c r="AS184" s="101"/>
      <c r="AT184" s="101"/>
    </row>
    <row r="185" spans="1:46" ht="12.95" customHeight="1">
      <c r="A185" s="847" t="s">
        <v>1573</v>
      </c>
      <c r="B185" s="848"/>
      <c r="C185" s="848"/>
      <c r="D185" s="848"/>
      <c r="E185" s="848"/>
      <c r="F185" s="848"/>
      <c r="G185" s="848"/>
      <c r="H185" s="770" t="s">
        <v>194</v>
      </c>
      <c r="I185" s="88" t="s">
        <v>79</v>
      </c>
      <c r="J185" s="86"/>
      <c r="K185" s="600" t="s">
        <v>45</v>
      </c>
      <c r="L185" s="601" t="s">
        <v>46</v>
      </c>
      <c r="M185" s="86"/>
      <c r="N185" s="87" t="s">
        <v>157</v>
      </c>
      <c r="O185" s="87"/>
      <c r="P185" s="88"/>
      <c r="Q185" s="88"/>
      <c r="R185" s="86"/>
      <c r="S185" s="125"/>
      <c r="T185" s="543"/>
      <c r="U185" s="112"/>
      <c r="V185" s="100" t="b">
        <f>IF(G185&gt;0,IF(AD185="me","",G185))</f>
        <v>0</v>
      </c>
      <c r="W185" s="100"/>
      <c r="X185" s="100"/>
      <c r="Y185" s="201"/>
      <c r="Z185" s="829" t="str">
        <f t="shared" si="462"/>
        <v/>
      </c>
      <c r="AA185" s="829"/>
      <c r="AB185" s="830" t="str">
        <f>IF(G185=0,"",IF(AD185="free","re-planting",IF(AD185="me","not NVP, by",IF($AD$8="yes",(VLOOKUP(A185,'Discount Lookup'!J:K,2)*G185*(1-$AC$1786)*(1+$AC$1788)),IF(AD185="NVP",(VLOOKUP(A185,'Discount Lookup'!J:K,2)*G185*(1-$AC$1786)*(1+$AC$1788)),IF(AD185="free","re-planting",IF(G185=0,"",IF($AD$8="",IF(AD185="me","not NVP, by",IF(AD185="",IF(G185&gt;0,(VLOOKUP(A185,'Discount Lookup'!J:K,2)*G185*(1-$AC$1786)*(1+$AC$1788)),""),"")),"not NVP, by"))))))))</f>
        <v/>
      </c>
      <c r="AC185" s="830"/>
      <c r="AD185" s="375" t="str">
        <f t="shared" si="498"/>
        <v/>
      </c>
      <c r="AE185" s="833" t="str">
        <f t="shared" si="375"/>
        <v/>
      </c>
      <c r="AF185" s="833"/>
      <c r="AG185" s="833"/>
      <c r="AH185" s="91">
        <f>IF(AD185="free",0,IF(AD185="me",0,IF(G185&gt;0,(VLOOKUP(A185,'Discount Lookup'!J:K,2)*G185),0)))</f>
        <v>0</v>
      </c>
      <c r="AI185" s="92" t="str">
        <f t="shared" si="355"/>
        <v/>
      </c>
      <c r="AJ185" s="828" t="str">
        <f t="shared" si="463"/>
        <v/>
      </c>
      <c r="AK185" s="828"/>
      <c r="AL185" s="313" t="str">
        <f t="shared" si="393"/>
        <v/>
      </c>
      <c r="AM185" s="312"/>
      <c r="AN185" s="101"/>
      <c r="AO185" s="101"/>
      <c r="AP185" s="101"/>
      <c r="AQ185" s="101"/>
      <c r="AR185" s="101"/>
      <c r="AS185" s="101"/>
      <c r="AT185" s="101"/>
    </row>
    <row r="186" spans="1:46" ht="12.95" customHeight="1">
      <c r="A186" s="419">
        <v>3</v>
      </c>
      <c r="B186" s="87" t="s">
        <v>50</v>
      </c>
      <c r="C186" s="128" t="s">
        <v>51</v>
      </c>
      <c r="D186" s="129" t="s">
        <v>63</v>
      </c>
      <c r="E186" s="98">
        <v>35.950000000000003</v>
      </c>
      <c r="F186" s="705" t="s">
        <v>1306</v>
      </c>
      <c r="G186" s="357">
        <v>0</v>
      </c>
      <c r="H186" s="704" t="str">
        <f t="shared" ref="H186:H189" si="509">IF(G186=0,"",IF(F186="Qty=",IF(G186=1,"plant","plants"),IF(F186&gt;0.0001,"warranty","Error")))</f>
        <v/>
      </c>
      <c r="I186" s="98">
        <f t="shared" ref="I186:I189" si="510">IF(F186="Qty=",(E186*G186),((E186*(1-F186))*G186))</f>
        <v>0</v>
      </c>
      <c r="J186" s="98">
        <f>IF(H186="warranty",0,(I186*($J$1782)))</f>
        <v>0</v>
      </c>
      <c r="K186" s="831">
        <f t="shared" ref="K186:K189" si="511">I186+J186</f>
        <v>0</v>
      </c>
      <c r="L186" s="831"/>
      <c r="M186" s="832" t="str">
        <f>IF($H$1784=0,"",IF(G186=0,"",IF(F186="Qty=",CONCATENATE("$",ROUND(K186*(1-$H$1784),2)," with ",($H$1784*100),"% discount"),CONCATENATE("$",ROUND(K186*(1-$H$1784),2)," with ",(($H$1784*100+F186*100)-($H$1784*100*F186)),IF(F186&gt;0,"% discounts",IF($H$1781&gt;0,"% discounts","% discount"))))))</f>
        <v/>
      </c>
      <c r="N186" s="832"/>
      <c r="O186" s="832"/>
      <c r="P186" s="832"/>
      <c r="Q186" s="832"/>
      <c r="R186" s="832"/>
      <c r="S186" s="303">
        <f t="shared" ref="S186" si="512">E186*G186</f>
        <v>0</v>
      </c>
      <c r="T186" s="541">
        <f>VLOOKUP(A186,'Discount Lookup'!D:E,2,FALSE)*G186</f>
        <v>0</v>
      </c>
      <c r="U186" s="83">
        <f>VLOOKUP(A186,'Discount Lookup'!G:H,2,FALSE)*G186</f>
        <v>0</v>
      </c>
      <c r="V186" s="100">
        <f>E186*($J$1782)*G186</f>
        <v>0</v>
      </c>
      <c r="W186" s="100">
        <f t="shared" ref="W186" si="513">I186</f>
        <v>0</v>
      </c>
      <c r="X186" s="100" t="b">
        <f>IF(G186&gt;0,IF(AD186="me","",G186))</f>
        <v>0</v>
      </c>
      <c r="Y186" s="201"/>
      <c r="Z186" s="829" t="str">
        <f t="shared" si="462"/>
        <v/>
      </c>
      <c r="AA186" s="829"/>
      <c r="AB186" s="830" t="str">
        <f>IF(G186=0,"",IF(AD186="free","re-planting",IF(AD186="me","not NVP, by",IF($AD$8="yes",(VLOOKUP(A186,'Discount Lookup'!J:K,2)*G186*(1-$AC$1786)*(1+$AC$1788)),IF(AD186="NVP",(VLOOKUP(A186,'Discount Lookup'!J:K,2)*G186*(1-$AC$1786)*(1+$AC$1788)),IF(AD186="free","re-planting",IF(G186=0,"",IF($AD$8="",IF(AD186="me","not NVP, by",IF(AD186="",IF(G186&gt;0,(VLOOKUP(A186,'Discount Lookup'!J:K,2)*G186*(1-$AC$1786)*(1+$AC$1788)),""),"")),"not NVP, by"))))))))</f>
        <v/>
      </c>
      <c r="AC186" s="830"/>
      <c r="AD186" s="375" t="str">
        <f t="shared" si="498"/>
        <v/>
      </c>
      <c r="AE186" s="833" t="str">
        <f t="shared" si="375"/>
        <v/>
      </c>
      <c r="AF186" s="833"/>
      <c r="AG186" s="833"/>
      <c r="AH186" s="91">
        <f>IF(AD186="free",0,IF(AD186="me",0,IF(G186&gt;0,(VLOOKUP(A186,'Discount Lookup'!J:K,2)*G186),0)))</f>
        <v>0</v>
      </c>
      <c r="AI186" s="92" t="str">
        <f t="shared" si="355"/>
        <v/>
      </c>
      <c r="AJ186" s="828" t="str">
        <f t="shared" si="463"/>
        <v/>
      </c>
      <c r="AK186" s="828"/>
      <c r="AL186" s="313" t="str">
        <f t="shared" si="393"/>
        <v/>
      </c>
      <c r="AM186" s="312"/>
      <c r="AN186" s="101"/>
      <c r="AO186" s="101"/>
      <c r="AP186" s="101"/>
      <c r="AQ186" s="101"/>
      <c r="AR186" s="101"/>
      <c r="AS186" s="101"/>
      <c r="AT186" s="101"/>
    </row>
    <row r="187" spans="1:46" ht="12.95" customHeight="1">
      <c r="A187" s="419">
        <v>7</v>
      </c>
      <c r="B187" s="87" t="s">
        <v>50</v>
      </c>
      <c r="C187" s="128" t="s">
        <v>137</v>
      </c>
      <c r="D187" s="129" t="s">
        <v>63</v>
      </c>
      <c r="E187" s="98">
        <v>79.95</v>
      </c>
      <c r="F187" s="705" t="s">
        <v>1306</v>
      </c>
      <c r="G187" s="357">
        <v>0</v>
      </c>
      <c r="H187" s="704" t="str">
        <f t="shared" ref="H187:H188" si="514">IF(G187=0,"",IF(F187="Qty=",IF(G187=1,"plant","plants"),IF(F187&gt;0.0001,"warranty","Error")))</f>
        <v/>
      </c>
      <c r="I187" s="98">
        <f t="shared" ref="I187:I188" si="515">IF(F187="Qty=",(E187*G187),((E187*(1-F187))*G187))</f>
        <v>0</v>
      </c>
      <c r="J187" s="98">
        <f>IF(H187="warranty",0,(I187*($J$1782)))</f>
        <v>0</v>
      </c>
      <c r="K187" s="831">
        <f t="shared" ref="K187:K188" si="516">I187+J187</f>
        <v>0</v>
      </c>
      <c r="L187" s="831"/>
      <c r="M187" s="832" t="str">
        <f>IF($H$1784=0,"",IF(G187=0,"",IF(F187="Qty=",CONCATENATE("$",ROUND(K187*(1-$H$1784),2)," with ",($H$1784*100),"% discount"),CONCATENATE("$",ROUND(K187*(1-$H$1784),2)," with ",(($H$1784*100+F187*100)-($H$1784*100*F187)),IF(F187&gt;0,"% discounts",IF($H$1781&gt;0,"% discounts","% discount"))))))</f>
        <v/>
      </c>
      <c r="N187" s="832"/>
      <c r="O187" s="832"/>
      <c r="P187" s="832"/>
      <c r="Q187" s="832"/>
      <c r="R187" s="832"/>
      <c r="S187" s="303">
        <f t="shared" ref="S187:S188" si="517">E187*G187</f>
        <v>0</v>
      </c>
      <c r="T187" s="541">
        <f>VLOOKUP(A187,'Discount Lookup'!D:E,2,FALSE)*G187</f>
        <v>0</v>
      </c>
      <c r="U187" s="83">
        <f>VLOOKUP(A187,'Discount Lookup'!G:H,2,FALSE)*G187</f>
        <v>0</v>
      </c>
      <c r="V187" s="100">
        <f>E187*($J$1782)*G187</f>
        <v>0</v>
      </c>
      <c r="W187" s="100">
        <f t="shared" ref="W187:W188" si="518">I187</f>
        <v>0</v>
      </c>
      <c r="X187" s="100" t="b">
        <f t="shared" ref="X187:X188" si="519">IF(G187&gt;0,IF(AD187="me","",G187))</f>
        <v>0</v>
      </c>
      <c r="Y187" s="201"/>
      <c r="Z187" s="829" t="str">
        <f t="shared" ref="Z187:Z188" si="520">IF(G187=0,"",IF(AD187="me","",IF($AD$8="me","",IF(AD187="free","warranty",IF($AD$8="yes","NVP planting:","to NVP install:")))))</f>
        <v/>
      </c>
      <c r="AA187" s="829"/>
      <c r="AB187" s="830" t="str">
        <f>IF(G187=0,"",IF(AD187="free","re-planting",IF(AD187="me","not NVP, by",IF($AD$8="yes",(VLOOKUP(A187,'Discount Lookup'!J:K,2)*G187*(1-$AC$1786)*(1+$AC$1788)),IF(AD187="NVP",(VLOOKUP(A187,'Discount Lookup'!J:K,2)*G187*(1-$AC$1786)*(1+$AC$1788)),IF(AD187="free","re-planting",IF(G187=0,"",IF($AD$8="",IF(AD187="me","not NVP, by",IF(AD187="",IF(G187&gt;0,(VLOOKUP(A187,'Discount Lookup'!J:K,2)*G187*(1-$AC$1786)*(1+$AC$1788)),""),"")),"not NVP, by"))))))))</f>
        <v/>
      </c>
      <c r="AC187" s="830"/>
      <c r="AD187" s="375" t="str">
        <f t="shared" ref="AD187:AD188" si="521">IF(G187=0,"",IF($AD$8="me","me",IF(H187="warranty","free",IF($AD$8="yes","NVP",""))))</f>
        <v/>
      </c>
      <c r="AE187" s="833" t="str">
        <f t="shared" ref="AE187:AE188" si="522">IF(G187&gt;0,(CONCATENATE((G187)," quantity, ",(A187)," ",B187)),"")</f>
        <v/>
      </c>
      <c r="AF187" s="833"/>
      <c r="AG187" s="833"/>
      <c r="AH187" s="91">
        <f>IF(AD187="free",0,IF(AD187="me",0,IF(G187&gt;0,(VLOOKUP(A187,'Discount Lookup'!J:K,2)*G187),0)))</f>
        <v>0</v>
      </c>
      <c r="AI187" s="92" t="str">
        <f t="shared" ref="AI187:AI250" si="523">IF(G187=0,"",IF(AD187="free",(K187*(1-$H$1784)),IF($AD$8="me",(K187*(1-$H$1784)),IF(AD187="me",(K187*(1-$H$1784)),(K187*(1-$H$1784))+AB187))))</f>
        <v/>
      </c>
      <c r="AJ187" s="828" t="str">
        <f t="shared" ref="AJ187:AJ188" si="524">IF(G187=0,"",IF(AD187="me","  delivery-only",IF($AD$8="me","  delivery-only",CONCATENATE(" $",ROUND(AI187/G187,2)," each"))))</f>
        <v/>
      </c>
      <c r="AK187" s="828"/>
      <c r="AL187" s="313" t="str">
        <f t="shared" si="393"/>
        <v/>
      </c>
      <c r="AM187" s="312"/>
      <c r="AN187" s="101"/>
      <c r="AO187" s="101"/>
      <c r="AP187" s="101"/>
      <c r="AQ187" s="101"/>
      <c r="AR187" s="101"/>
      <c r="AS187" s="101"/>
      <c r="AT187" s="101"/>
    </row>
    <row r="188" spans="1:46" ht="12.95" customHeight="1">
      <c r="A188" s="419">
        <v>15</v>
      </c>
      <c r="B188" s="87" t="s">
        <v>50</v>
      </c>
      <c r="C188" s="128" t="s">
        <v>1685</v>
      </c>
      <c r="D188" s="129" t="s">
        <v>63</v>
      </c>
      <c r="E188" s="98">
        <v>171.95</v>
      </c>
      <c r="F188" s="705" t="s">
        <v>1306</v>
      </c>
      <c r="G188" s="357">
        <v>0</v>
      </c>
      <c r="H188" s="704" t="str">
        <f t="shared" si="514"/>
        <v/>
      </c>
      <c r="I188" s="98">
        <f t="shared" si="515"/>
        <v>0</v>
      </c>
      <c r="J188" s="98">
        <f>IF(H188="warranty",0,(I188*($J$1782)))</f>
        <v>0</v>
      </c>
      <c r="K188" s="831">
        <f t="shared" si="516"/>
        <v>0</v>
      </c>
      <c r="L188" s="831"/>
      <c r="M188" s="832" t="str">
        <f>IF($H$1784=0,"",IF(G188=0,"",IF(F188="Qty=",CONCATENATE("$",ROUND(K188*(1-$H$1784),2)," with ",($H$1784*100),"% discount"),CONCATENATE("$",ROUND(K188*(1-$H$1784),2)," with ",(($H$1784*100+F188*100)-($H$1784*100*F188)),IF(F188&gt;0,"% discounts",IF($H$1781&gt;0,"% discounts","% discount"))))))</f>
        <v/>
      </c>
      <c r="N188" s="832"/>
      <c r="O188" s="832"/>
      <c r="P188" s="832"/>
      <c r="Q188" s="832"/>
      <c r="R188" s="832"/>
      <c r="S188" s="303">
        <f t="shared" si="517"/>
        <v>0</v>
      </c>
      <c r="T188" s="541">
        <f>VLOOKUP(A188,'Discount Lookup'!D:E,2,FALSE)*G188</f>
        <v>0</v>
      </c>
      <c r="U188" s="83">
        <f>VLOOKUP(A188,'Discount Lookup'!G:H,2,FALSE)*G188</f>
        <v>0</v>
      </c>
      <c r="V188" s="100">
        <f>E188*($J$1782)*G188</f>
        <v>0</v>
      </c>
      <c r="W188" s="100">
        <f t="shared" si="518"/>
        <v>0</v>
      </c>
      <c r="X188" s="100" t="b">
        <f t="shared" si="519"/>
        <v>0</v>
      </c>
      <c r="Y188" s="201"/>
      <c r="Z188" s="829" t="str">
        <f t="shared" si="520"/>
        <v/>
      </c>
      <c r="AA188" s="829"/>
      <c r="AB188" s="830" t="str">
        <f>IF(G188=0,"",IF(AD188="free","re-planting",IF(AD188="me","not NVP, by",IF($AD$8="yes",(VLOOKUP(A188,'Discount Lookup'!J:K,2)*G188*(1-$AC$1786)*(1+$AC$1788)),IF(AD188="NVP",(VLOOKUP(A188,'Discount Lookup'!J:K,2)*G188*(1-$AC$1786)*(1+$AC$1788)),IF(AD188="free","re-planting",IF(G188=0,"",IF($AD$8="",IF(AD188="me","not NVP, by",IF(AD188="",IF(G188&gt;0,(VLOOKUP(A188,'Discount Lookup'!J:K,2)*G188*(1-$AC$1786)*(1+$AC$1788)),""),"")),"not NVP, by"))))))))</f>
        <v/>
      </c>
      <c r="AC188" s="830"/>
      <c r="AD188" s="375" t="str">
        <f t="shared" si="521"/>
        <v/>
      </c>
      <c r="AE188" s="833" t="str">
        <f t="shared" si="522"/>
        <v/>
      </c>
      <c r="AF188" s="833"/>
      <c r="AG188" s="833"/>
      <c r="AH188" s="91">
        <f>IF(AD188="free",0,IF(AD188="me",0,IF(G188&gt;0,(VLOOKUP(A188,'Discount Lookup'!J:K,2)*G188),0)))</f>
        <v>0</v>
      </c>
      <c r="AI188" s="92" t="str">
        <f t="shared" si="523"/>
        <v/>
      </c>
      <c r="AJ188" s="828" t="str">
        <f t="shared" si="524"/>
        <v/>
      </c>
      <c r="AK188" s="828"/>
      <c r="AL188" s="313" t="str">
        <f t="shared" si="393"/>
        <v/>
      </c>
      <c r="AM188" s="312"/>
      <c r="AN188" s="101"/>
      <c r="AO188" s="101"/>
      <c r="AP188" s="101"/>
      <c r="AQ188" s="101"/>
      <c r="AR188" s="101"/>
      <c r="AS188" s="101"/>
      <c r="AT188" s="101"/>
    </row>
    <row r="189" spans="1:46" ht="12.95" customHeight="1">
      <c r="A189" s="419">
        <v>15</v>
      </c>
      <c r="B189" s="87" t="s">
        <v>50</v>
      </c>
      <c r="C189" s="128" t="s">
        <v>88</v>
      </c>
      <c r="D189" s="129" t="s">
        <v>90</v>
      </c>
      <c r="E189" s="98">
        <v>173.95</v>
      </c>
      <c r="F189" s="705" t="s">
        <v>1306</v>
      </c>
      <c r="G189" s="357">
        <v>0</v>
      </c>
      <c r="H189" s="704" t="str">
        <f t="shared" si="509"/>
        <v/>
      </c>
      <c r="I189" s="98">
        <f t="shared" si="510"/>
        <v>0</v>
      </c>
      <c r="J189" s="98">
        <f>IF(H189="warranty",0,(I189*($J$1782)))</f>
        <v>0</v>
      </c>
      <c r="K189" s="831">
        <f t="shared" si="511"/>
        <v>0</v>
      </c>
      <c r="L189" s="831"/>
      <c r="M189" s="832" t="str">
        <f>IF($H$1784=0,"",IF(G189=0,"",IF(F189="Qty=",CONCATENATE("$",ROUND(K189*(1-$H$1784),2)," with ",($H$1784*100),"% discount"),CONCATENATE("$",ROUND(K189*(1-$H$1784),2)," with ",(($H$1784*100+F189*100)-($H$1784*100*F189)),IF(F189&gt;0,"% discounts",IF($H$1781&gt;0,"% discounts","% discount"))))))</f>
        <v/>
      </c>
      <c r="N189" s="832"/>
      <c r="O189" s="832"/>
      <c r="P189" s="832"/>
      <c r="Q189" s="832"/>
      <c r="R189" s="832"/>
      <c r="S189" s="303">
        <f t="shared" ref="S189" si="525">E189*G189</f>
        <v>0</v>
      </c>
      <c r="T189" s="541">
        <f>VLOOKUP(A189,'Discount Lookup'!D:E,2,FALSE)*G189</f>
        <v>0</v>
      </c>
      <c r="U189" s="83">
        <f>VLOOKUP(A189,'Discount Lookup'!G:H,2,FALSE)*G189</f>
        <v>0</v>
      </c>
      <c r="V189" s="100">
        <f>E189*($J$1782)*G189</f>
        <v>0</v>
      </c>
      <c r="W189" s="100">
        <f t="shared" ref="W189" si="526">I189</f>
        <v>0</v>
      </c>
      <c r="X189" s="100" t="b">
        <f>IF(G189&gt;0,IF(AD189="me","",G189))</f>
        <v>0</v>
      </c>
      <c r="Y189" s="201"/>
      <c r="Z189" s="829" t="str">
        <f t="shared" si="462"/>
        <v/>
      </c>
      <c r="AA189" s="829"/>
      <c r="AB189" s="830" t="str">
        <f>IF(G189=0,"",IF(AD189="free","re-planting",IF(AD189="me","not NVP, by",IF($AD$8="yes",(VLOOKUP(A189,'Discount Lookup'!J:K,2)*G189*(1-$AC$1786)*(1+$AC$1788)),IF(AD189="NVP",(VLOOKUP(A189,'Discount Lookup'!J:K,2)*G189*(1-$AC$1786)*(1+$AC$1788)),IF(AD189="free","re-planting",IF(G189=0,"",IF($AD$8="",IF(AD189="me","not NVP, by",IF(AD189="",IF(G189&gt;0,(VLOOKUP(A189,'Discount Lookup'!J:K,2)*G189*(1-$AC$1786)*(1+$AC$1788)),""),"")),"not NVP, by"))))))))</f>
        <v/>
      </c>
      <c r="AC189" s="830"/>
      <c r="AD189" s="375" t="str">
        <f t="shared" si="498"/>
        <v/>
      </c>
      <c r="AE189" s="833" t="str">
        <f t="shared" ref="AE189" si="527">IF(G189&gt;0,(CONCATENATE((G189)," quantity, ",(A189)," ",B189)),"")</f>
        <v/>
      </c>
      <c r="AF189" s="833"/>
      <c r="AG189" s="833"/>
      <c r="AH189" s="91">
        <f>IF(AD189="free",0,IF(AD189="me",0,IF(G189&gt;0,(VLOOKUP(A189,'Discount Lookup'!J:K,2)*G189),0)))</f>
        <v>0</v>
      </c>
      <c r="AI189" s="92" t="str">
        <f t="shared" si="523"/>
        <v/>
      </c>
      <c r="AJ189" s="828" t="str">
        <f t="shared" si="463"/>
        <v/>
      </c>
      <c r="AK189" s="828"/>
      <c r="AL189" s="313" t="str">
        <f t="shared" si="393"/>
        <v/>
      </c>
      <c r="AM189" s="312"/>
      <c r="AN189" s="101"/>
      <c r="AO189" s="101"/>
      <c r="AP189" s="101"/>
      <c r="AQ189" s="101"/>
      <c r="AR189" s="101"/>
      <c r="AS189" s="101"/>
      <c r="AT189" s="101"/>
    </row>
    <row r="190" spans="1:46" ht="12.95" customHeight="1">
      <c r="A190" s="465"/>
      <c r="B190" s="103" t="s">
        <v>195</v>
      </c>
      <c r="C190" s="146"/>
      <c r="D190" s="146"/>
      <c r="E190" s="398"/>
      <c r="F190" s="712"/>
      <c r="G190" s="358"/>
      <c r="H190" s="744"/>
      <c r="I190" s="131"/>
      <c r="J190" s="131"/>
      <c r="K190" s="608"/>
      <c r="L190" s="608"/>
      <c r="M190" s="108"/>
      <c r="N190" s="108"/>
      <c r="O190" s="123">
        <f>VLOOKUP(A190,'Discount Lookup'!D:E,2,FALSE)*G190</f>
        <v>0</v>
      </c>
      <c r="P190" s="124">
        <f>VLOOKUP(A190,'Discount Lookup'!G:H,2,FALSE)*G190</f>
        <v>0</v>
      </c>
      <c r="Q190" s="124"/>
      <c r="R190" s="83">
        <f>IF(F190=0,E190*($J$1782)*G190,0)</f>
        <v>0</v>
      </c>
      <c r="S190" s="82">
        <f>E190*G190</f>
        <v>0</v>
      </c>
      <c r="T190" s="540"/>
      <c r="U190" s="83"/>
      <c r="V190" s="100" t="b">
        <f>IF(G190&gt;0,IF(AD190="me","",G190))</f>
        <v>0</v>
      </c>
      <c r="W190" s="100"/>
      <c r="X190" s="100"/>
      <c r="Y190" s="201"/>
      <c r="Z190" s="829" t="str">
        <f t="shared" si="462"/>
        <v/>
      </c>
      <c r="AA190" s="829"/>
      <c r="AB190" s="830" t="str">
        <f>IF(G190=0,"",IF(AD190="free","re-planting",IF(AD190="me","not NVP, by",IF($AD$8="yes",(VLOOKUP(A190,'Discount Lookup'!J:K,2)*G190*(1-$AC$1786)*(1+$AC$1788)),IF(AD190="NVP",(VLOOKUP(A190,'Discount Lookup'!J:K,2)*G190*(1-$AC$1786)*(1+$AC$1788)),IF(AD190="free","re-planting",IF(G190=0,"",IF($AD$8="",IF(AD190="me","not NVP, by",IF(AD190="",IF(G190&gt;0,(VLOOKUP(A190,'Discount Lookup'!J:K,2)*G190*(1-$AC$1786)*(1+$AC$1788)),""),"")),"not NVP, by"))))))))</f>
        <v/>
      </c>
      <c r="AC190" s="830"/>
      <c r="AD190" s="375" t="str">
        <f t="shared" si="498"/>
        <v/>
      </c>
      <c r="AE190" s="833" t="str">
        <f t="shared" si="375"/>
        <v/>
      </c>
      <c r="AF190" s="833"/>
      <c r="AG190" s="833"/>
      <c r="AH190" s="91">
        <f>IF(AD190="free",0,IF(AD190="me",0,IF(G190&gt;0,(VLOOKUP(A190,'Discount Lookup'!J:K,2)*G190),0)))</f>
        <v>0</v>
      </c>
      <c r="AI190" s="92" t="str">
        <f t="shared" si="523"/>
        <v/>
      </c>
      <c r="AJ190" s="828" t="str">
        <f t="shared" si="463"/>
        <v/>
      </c>
      <c r="AK190" s="828"/>
      <c r="AL190" s="313" t="str">
        <f t="shared" si="393"/>
        <v/>
      </c>
      <c r="AM190" s="312"/>
      <c r="AN190" s="101"/>
      <c r="AO190" s="101"/>
      <c r="AP190" s="101"/>
      <c r="AQ190" s="101"/>
      <c r="AR190" s="101"/>
      <c r="AS190" s="101"/>
      <c r="AT190" s="101"/>
    </row>
    <row r="191" spans="1:46" ht="12.95" customHeight="1">
      <c r="A191" s="852" t="s">
        <v>196</v>
      </c>
      <c r="B191" s="844"/>
      <c r="C191" s="844"/>
      <c r="D191" s="844"/>
      <c r="E191" s="844"/>
      <c r="F191" s="844"/>
      <c r="G191" s="844"/>
      <c r="H191" s="770" t="s">
        <v>197</v>
      </c>
      <c r="I191" s="88" t="s">
        <v>79</v>
      </c>
      <c r="J191" s="86"/>
      <c r="K191" s="600" t="s">
        <v>45</v>
      </c>
      <c r="L191" s="601" t="s">
        <v>46</v>
      </c>
      <c r="M191" s="86"/>
      <c r="N191" s="87" t="s">
        <v>69</v>
      </c>
      <c r="O191" s="87"/>
      <c r="P191" s="87"/>
      <c r="Q191" s="87"/>
      <c r="R191" s="86"/>
      <c r="S191" s="125"/>
      <c r="T191" s="543"/>
      <c r="U191" s="112"/>
      <c r="V191" s="100" t="b">
        <f>IF(G191&gt;0,IF(AD191="me","",G191))</f>
        <v>0</v>
      </c>
      <c r="W191" s="100"/>
      <c r="X191" s="100"/>
      <c r="Y191" s="201"/>
      <c r="Z191" s="829" t="str">
        <f t="shared" si="462"/>
        <v/>
      </c>
      <c r="AA191" s="829"/>
      <c r="AB191" s="830" t="str">
        <f>IF(G191=0,"",IF(AD191="free","re-planting",IF(AD191="me","not NVP, by",IF($AD$8="yes",(VLOOKUP(A191,'Discount Lookup'!J:K,2)*G191*(1-$AC$1786)*(1+$AC$1788)),IF(AD191="NVP",(VLOOKUP(A191,'Discount Lookup'!J:K,2)*G191*(1-$AC$1786)*(1+$AC$1788)),IF(AD191="free","re-planting",IF(G191=0,"",IF($AD$8="",IF(AD191="me","not NVP, by",IF(AD191="",IF(G191&gt;0,(VLOOKUP(A191,'Discount Lookup'!J:K,2)*G191*(1-$AC$1786)*(1+$AC$1788)),""),"")),"not NVP, by"))))))))</f>
        <v/>
      </c>
      <c r="AC191" s="830"/>
      <c r="AD191" s="375" t="str">
        <f t="shared" si="498"/>
        <v/>
      </c>
      <c r="AE191" s="833" t="str">
        <f t="shared" si="375"/>
        <v/>
      </c>
      <c r="AF191" s="833"/>
      <c r="AG191" s="833"/>
      <c r="AH191" s="91">
        <f>IF(AD191="free",0,IF(AD191="me",0,IF(G191&gt;0,(VLOOKUP(A191,'Discount Lookup'!J:K,2)*G191),0)))</f>
        <v>0</v>
      </c>
      <c r="AI191" s="92" t="str">
        <f t="shared" si="523"/>
        <v/>
      </c>
      <c r="AJ191" s="828" t="str">
        <f t="shared" si="463"/>
        <v/>
      </c>
      <c r="AK191" s="828"/>
      <c r="AL191" s="313" t="str">
        <f t="shared" si="393"/>
        <v/>
      </c>
      <c r="AM191" s="312"/>
      <c r="AN191" s="101"/>
      <c r="AO191" s="101"/>
      <c r="AP191" s="101"/>
      <c r="AQ191" s="101"/>
      <c r="AR191" s="101"/>
      <c r="AS191" s="101"/>
      <c r="AT191" s="101"/>
    </row>
    <row r="192" spans="1:46" ht="12.95" customHeight="1">
      <c r="A192" s="419">
        <v>3</v>
      </c>
      <c r="B192" s="87" t="s">
        <v>50</v>
      </c>
      <c r="C192" s="128" t="s">
        <v>556</v>
      </c>
      <c r="D192" s="129" t="s">
        <v>87</v>
      </c>
      <c r="E192" s="98">
        <v>24.95</v>
      </c>
      <c r="F192" s="705" t="s">
        <v>1306</v>
      </c>
      <c r="G192" s="357">
        <v>0</v>
      </c>
      <c r="H192" s="704" t="str">
        <f t="shared" ref="H192" si="528">IF(G192=0,"",IF(F192="Qty=",IF(G192=1,"plant","plants"),IF(F192&gt;0.0001,"warranty","Error")))</f>
        <v/>
      </c>
      <c r="I192" s="98">
        <f t="shared" ref="I192" si="529">IF(F192="Qty=",(E192*G192),((E192*(1-F192))*G192))</f>
        <v>0</v>
      </c>
      <c r="J192" s="98">
        <f t="shared" ref="J192:J202" si="530">IF(H192="warranty",0,(I192*($J$1782)))</f>
        <v>0</v>
      </c>
      <c r="K192" s="831">
        <f t="shared" ref="K192:K202" si="531">I192+J192</f>
        <v>0</v>
      </c>
      <c r="L192" s="831"/>
      <c r="M192" s="832" t="str">
        <f t="shared" ref="M192:M202" si="532">IF($H$1784=0,"",IF(G192=0,"",IF(F192="Qty=",CONCATENATE("$",ROUND(K192*(1-$H$1784),2)," with ",($H$1784*100),"% discount"),CONCATENATE("$",ROUND(K192*(1-$H$1784),2)," with ",(($H$1784*100+F192*100)-($H$1784*100*F192)),IF(F192&gt;0,"% discounts",IF($H$1781&gt;0,"% discounts","% discount"))))))</f>
        <v/>
      </c>
      <c r="N192" s="832"/>
      <c r="O192" s="832"/>
      <c r="P192" s="832"/>
      <c r="Q192" s="832"/>
      <c r="R192" s="832"/>
      <c r="S192" s="303">
        <f t="shared" ref="S192" si="533">E192*G192</f>
        <v>0</v>
      </c>
      <c r="T192" s="541">
        <f>VLOOKUP(A192,'Discount Lookup'!D:E,2,FALSE)*G192</f>
        <v>0</v>
      </c>
      <c r="U192" s="83">
        <f>VLOOKUP(A192,'Discount Lookup'!G:H,2,FALSE)*G192</f>
        <v>0</v>
      </c>
      <c r="V192" s="100">
        <f t="shared" ref="V192:V202" si="534">E192*($J$1782)*G192</f>
        <v>0</v>
      </c>
      <c r="W192" s="100">
        <f t="shared" ref="W192" si="535">I192</f>
        <v>0</v>
      </c>
      <c r="X192" s="100" t="b">
        <f t="shared" ref="X192" si="536">IF(G192&gt;0,IF(AD192="me","",G192))</f>
        <v>0</v>
      </c>
      <c r="Y192" s="201"/>
      <c r="Z192" s="829" t="str">
        <f t="shared" ref="Z192" si="537">IF(G192=0,"",IF(AD192="me","",IF($AD$8="me","",IF(AD192="free","warranty",IF($AD$8="yes","NVP planting:","to NVP install:")))))</f>
        <v/>
      </c>
      <c r="AA192" s="829"/>
      <c r="AB192" s="830" t="str">
        <f>IF(G192=0,"",IF(AD192="free","re-planting",IF(AD192="me","not NVP, by",IF($AD$8="yes",(VLOOKUP(A192,'Discount Lookup'!J:K,2)*G192*(1-$AC$1786)*(1+$AC$1788)),IF(AD192="NVP",(VLOOKUP(A192,'Discount Lookup'!J:K,2)*G192*(1-$AC$1786)*(1+$AC$1788)),IF(AD192="free","re-planting",IF(G192=0,"",IF($AD$8="",IF(AD192="me","not NVP, by",IF(AD192="",IF(G192&gt;0,(VLOOKUP(A192,'Discount Lookup'!J:K,2)*G192*(1-$AC$1786)*(1+$AC$1788)),""),"")),"not NVP, by"))))))))</f>
        <v/>
      </c>
      <c r="AC192" s="830"/>
      <c r="AD192" s="375" t="str">
        <f t="shared" si="498"/>
        <v/>
      </c>
      <c r="AE192" s="833" t="str">
        <f t="shared" ref="AE192" si="538">IF(G192&gt;0,(CONCATENATE((G192)," quantity, ",(A192)," ",B192)),"")</f>
        <v/>
      </c>
      <c r="AF192" s="833"/>
      <c r="AG192" s="833"/>
      <c r="AH192" s="91">
        <f>IF(AD192="free",0,IF(AD192="me",0,IF(G192&gt;0,(VLOOKUP(A192,'Discount Lookup'!J:K,2)*G192),0)))</f>
        <v>0</v>
      </c>
      <c r="AI192" s="92" t="str">
        <f t="shared" si="523"/>
        <v/>
      </c>
      <c r="AJ192" s="828" t="str">
        <f t="shared" ref="AJ192" si="539">IF(G192=0,"",IF(AD192="me","  delivery-only",IF($AD$8="me","  delivery-only",CONCATENATE(" $",ROUND(AI192/G192,2)," each"))))</f>
        <v/>
      </c>
      <c r="AK192" s="828"/>
      <c r="AL192" s="313" t="str">
        <f t="shared" si="393"/>
        <v/>
      </c>
      <c r="AM192" s="312"/>
      <c r="AN192" s="101"/>
      <c r="AO192" s="101"/>
      <c r="AP192" s="101"/>
      <c r="AQ192" s="101"/>
      <c r="AR192" s="101"/>
      <c r="AS192" s="101"/>
      <c r="AT192" s="101"/>
    </row>
    <row r="193" spans="1:46" ht="12.95" customHeight="1">
      <c r="A193" s="419">
        <v>3</v>
      </c>
      <c r="B193" s="87" t="s">
        <v>50</v>
      </c>
      <c r="C193" s="128" t="s">
        <v>51</v>
      </c>
      <c r="D193" s="129" t="s">
        <v>62</v>
      </c>
      <c r="E193" s="98">
        <v>22.95</v>
      </c>
      <c r="F193" s="705" t="s">
        <v>1306</v>
      </c>
      <c r="G193" s="357">
        <v>0</v>
      </c>
      <c r="H193" s="704" t="str">
        <f t="shared" ref="H193:H201" si="540">IF(G193=0,"",IF(F193="Qty=",IF(G193=1,"plant","plants"),IF(F193&gt;0.0001,"warranty","Error")))</f>
        <v/>
      </c>
      <c r="I193" s="98">
        <f t="shared" ref="I193:I201" si="541">IF(F193="Qty=",(E193*G193),((E193*(1-F193))*G193))</f>
        <v>0</v>
      </c>
      <c r="J193" s="98">
        <f t="shared" si="530"/>
        <v>0</v>
      </c>
      <c r="K193" s="831">
        <f t="shared" si="531"/>
        <v>0</v>
      </c>
      <c r="L193" s="831"/>
      <c r="M193" s="832" t="str">
        <f t="shared" si="532"/>
        <v/>
      </c>
      <c r="N193" s="832"/>
      <c r="O193" s="832"/>
      <c r="P193" s="832"/>
      <c r="Q193" s="832"/>
      <c r="R193" s="832"/>
      <c r="S193" s="303">
        <f t="shared" ref="S193:S194" si="542">E193*G193</f>
        <v>0</v>
      </c>
      <c r="T193" s="541">
        <f>VLOOKUP(A193,'Discount Lookup'!D:E,2,FALSE)*G193</f>
        <v>0</v>
      </c>
      <c r="U193" s="83">
        <f>VLOOKUP(A193,'Discount Lookup'!G:H,2,FALSE)*G193</f>
        <v>0</v>
      </c>
      <c r="V193" s="100">
        <f t="shared" si="534"/>
        <v>0</v>
      </c>
      <c r="W193" s="100">
        <f t="shared" ref="W193:W194" si="543">I193</f>
        <v>0</v>
      </c>
      <c r="X193" s="100" t="b">
        <f t="shared" ref="X193:X199" si="544">IF(G193&gt;0,IF(AD193="me","",G193))</f>
        <v>0</v>
      </c>
      <c r="Y193" s="201"/>
      <c r="Z193" s="829" t="str">
        <f t="shared" si="462"/>
        <v/>
      </c>
      <c r="AA193" s="829"/>
      <c r="AB193" s="830" t="str">
        <f>IF(G193=0,"",IF(AD193="free","re-planting",IF(AD193="me","not NVP, by",IF($AD$8="yes",(VLOOKUP(A193,'Discount Lookup'!J:K,2)*G193*(1-$AC$1786)*(1+$AC$1788)),IF(AD193="NVP",(VLOOKUP(A193,'Discount Lookup'!J:K,2)*G193*(1-$AC$1786)*(1+$AC$1788)),IF(AD193="free","re-planting",IF(G193=0,"",IF($AD$8="",IF(AD193="me","not NVP, by",IF(AD193="",IF(G193&gt;0,(VLOOKUP(A193,'Discount Lookup'!J:K,2)*G193*(1-$AC$1786)*(1+$AC$1788)),""),"")),"not NVP, by"))))))))</f>
        <v/>
      </c>
      <c r="AC193" s="830"/>
      <c r="AD193" s="375" t="str">
        <f t="shared" si="498"/>
        <v/>
      </c>
      <c r="AE193" s="833" t="str">
        <f t="shared" si="375"/>
        <v/>
      </c>
      <c r="AF193" s="833"/>
      <c r="AG193" s="833"/>
      <c r="AH193" s="91">
        <f>IF(AD193="free",0,IF(AD193="me",0,IF(G193&gt;0,(VLOOKUP(A193,'Discount Lookup'!J:K,2)*G193),0)))</f>
        <v>0</v>
      </c>
      <c r="AI193" s="92" t="str">
        <f t="shared" si="523"/>
        <v/>
      </c>
      <c r="AJ193" s="828" t="str">
        <f t="shared" si="463"/>
        <v/>
      </c>
      <c r="AK193" s="828"/>
      <c r="AL193" s="313" t="str">
        <f t="shared" si="393"/>
        <v/>
      </c>
      <c r="AM193" s="312"/>
      <c r="AN193" s="101"/>
      <c r="AO193" s="101"/>
      <c r="AP193" s="101"/>
      <c r="AQ193" s="101"/>
      <c r="AR193" s="101"/>
      <c r="AS193" s="101"/>
      <c r="AT193" s="101"/>
    </row>
    <row r="194" spans="1:46" ht="12" customHeight="1">
      <c r="A194" s="419">
        <v>3</v>
      </c>
      <c r="B194" s="87" t="s">
        <v>50</v>
      </c>
      <c r="C194" s="128" t="s">
        <v>1218</v>
      </c>
      <c r="D194" s="129" t="s">
        <v>54</v>
      </c>
      <c r="E194" s="98">
        <v>28.95</v>
      </c>
      <c r="F194" s="705" t="s">
        <v>1306</v>
      </c>
      <c r="G194" s="357">
        <v>0</v>
      </c>
      <c r="H194" s="704" t="str">
        <f t="shared" si="540"/>
        <v/>
      </c>
      <c r="I194" s="98">
        <f t="shared" si="541"/>
        <v>0</v>
      </c>
      <c r="J194" s="98">
        <f t="shared" si="530"/>
        <v>0</v>
      </c>
      <c r="K194" s="831">
        <f t="shared" si="531"/>
        <v>0</v>
      </c>
      <c r="L194" s="831"/>
      <c r="M194" s="832" t="str">
        <f t="shared" si="532"/>
        <v/>
      </c>
      <c r="N194" s="832"/>
      <c r="O194" s="832"/>
      <c r="P194" s="832"/>
      <c r="Q194" s="832"/>
      <c r="R194" s="832"/>
      <c r="S194" s="303">
        <f t="shared" si="542"/>
        <v>0</v>
      </c>
      <c r="T194" s="541">
        <f>VLOOKUP(A194,'Discount Lookup'!D:E,2,FALSE)*G194</f>
        <v>0</v>
      </c>
      <c r="U194" s="83">
        <f>VLOOKUP(A194,'Discount Lookup'!G:H,2,FALSE)*G194</f>
        <v>0</v>
      </c>
      <c r="V194" s="100">
        <f t="shared" si="534"/>
        <v>0</v>
      </c>
      <c r="W194" s="100">
        <f t="shared" si="543"/>
        <v>0</v>
      </c>
      <c r="X194" s="100" t="b">
        <f t="shared" ref="X194:X195" si="545">IF(G194&gt;0,IF(AD194="me","",G194))</f>
        <v>0</v>
      </c>
      <c r="Y194" s="201"/>
      <c r="Z194" s="829" t="str">
        <f t="shared" si="462"/>
        <v/>
      </c>
      <c r="AA194" s="829"/>
      <c r="AB194" s="830" t="str">
        <f>IF(G194=0,"",IF(AD194="free","re-planting",IF(AD194="me","not NVP, by",IF($AD$8="yes",(VLOOKUP(A194,'Discount Lookup'!J:K,2)*G194*(1-$AC$1786)*(1+$AC$1788)),IF(AD194="NVP",(VLOOKUP(A194,'Discount Lookup'!J:K,2)*G194*(1-$AC$1786)*(1+$AC$1788)),IF(AD194="free","re-planting",IF(G194=0,"",IF($AD$8="",IF(AD194="me","not NVP, by",IF(AD194="",IF(G194&gt;0,(VLOOKUP(A194,'Discount Lookup'!J:K,2)*G194*(1-$AC$1786)*(1+$AC$1788)),""),"")),"not NVP, by"))))))))</f>
        <v/>
      </c>
      <c r="AC194" s="830"/>
      <c r="AD194" s="375" t="str">
        <f t="shared" si="498"/>
        <v/>
      </c>
      <c r="AE194" s="833" t="str">
        <f t="shared" ref="AE194:AE195" si="546">IF(G194&gt;0,(CONCATENATE((G194)," quantity, ",(A194)," ",B194)),"")</f>
        <v/>
      </c>
      <c r="AF194" s="833"/>
      <c r="AG194" s="833"/>
      <c r="AH194" s="91">
        <f>IF(AD194="free",0,IF(AD194="me",0,IF(G194&gt;0,(VLOOKUP(A194,'Discount Lookup'!J:K,2)*G194),0)))</f>
        <v>0</v>
      </c>
      <c r="AI194" s="92" t="str">
        <f t="shared" si="523"/>
        <v/>
      </c>
      <c r="AJ194" s="828" t="str">
        <f t="shared" si="463"/>
        <v/>
      </c>
      <c r="AK194" s="828"/>
      <c r="AL194" s="313" t="str">
        <f t="shared" si="393"/>
        <v/>
      </c>
      <c r="AM194" s="312"/>
      <c r="AN194" s="101"/>
      <c r="AO194" s="101"/>
      <c r="AP194" s="101"/>
      <c r="AQ194" s="101"/>
      <c r="AR194" s="101"/>
      <c r="AS194" s="101"/>
      <c r="AT194" s="101"/>
    </row>
    <row r="195" spans="1:46" ht="12" customHeight="1">
      <c r="A195" s="419">
        <v>7</v>
      </c>
      <c r="B195" s="87" t="s">
        <v>50</v>
      </c>
      <c r="C195" s="128" t="s">
        <v>1233</v>
      </c>
      <c r="D195" s="129" t="s">
        <v>87</v>
      </c>
      <c r="E195" s="98">
        <v>76.95</v>
      </c>
      <c r="F195" s="705" t="s">
        <v>1306</v>
      </c>
      <c r="G195" s="357">
        <v>0</v>
      </c>
      <c r="H195" s="704" t="str">
        <f t="shared" ref="H195" si="547">IF(G195=0,"",IF(F195="Qty=",IF(G195=1,"plant","plants"),IF(F195&gt;0.0001,"warranty","Error")))</f>
        <v/>
      </c>
      <c r="I195" s="98">
        <f t="shared" ref="I195" si="548">IF(F195="Qty=",(E195*G195),((E195*(1-F195))*G195))</f>
        <v>0</v>
      </c>
      <c r="J195" s="98">
        <f t="shared" si="530"/>
        <v>0</v>
      </c>
      <c r="K195" s="831">
        <f t="shared" ref="K195" si="549">I195+J195</f>
        <v>0</v>
      </c>
      <c r="L195" s="831"/>
      <c r="M195" s="832" t="str">
        <f t="shared" si="532"/>
        <v/>
      </c>
      <c r="N195" s="832"/>
      <c r="O195" s="832"/>
      <c r="P195" s="832"/>
      <c r="Q195" s="832"/>
      <c r="R195" s="832"/>
      <c r="S195" s="303">
        <f t="shared" ref="S195" si="550">E195*G195</f>
        <v>0</v>
      </c>
      <c r="T195" s="541">
        <f>VLOOKUP(A195,'Discount Lookup'!D:E,2,FALSE)*G195</f>
        <v>0</v>
      </c>
      <c r="U195" s="83">
        <f>VLOOKUP(A195,'Discount Lookup'!G:H,2,FALSE)*G195</f>
        <v>0</v>
      </c>
      <c r="V195" s="100">
        <f t="shared" si="534"/>
        <v>0</v>
      </c>
      <c r="W195" s="100">
        <f t="shared" ref="W195" si="551">I195</f>
        <v>0</v>
      </c>
      <c r="X195" s="100" t="b">
        <f t="shared" si="545"/>
        <v>0</v>
      </c>
      <c r="Y195" s="201"/>
      <c r="Z195" s="829" t="str">
        <f t="shared" ref="Z195" si="552">IF(G195=0,"",IF(AD195="me","",IF($AD$8="me","",IF(AD195="free","warranty",IF($AD$8="yes","NVP planting:","to NVP install:")))))</f>
        <v/>
      </c>
      <c r="AA195" s="829"/>
      <c r="AB195" s="830" t="str">
        <f>IF(G195=0,"",IF(AD195="free","re-planting",IF(AD195="me","not NVP, by",IF($AD$8="yes",(VLOOKUP(A195,'Discount Lookup'!J:K,2)*G195*(1-$AC$1786)*(1+$AC$1788)),IF(AD195="NVP",(VLOOKUP(A195,'Discount Lookup'!J:K,2)*G195*(1-$AC$1786)*(1+$AC$1788)),IF(AD195="free","re-planting",IF(G195=0,"",IF($AD$8="",IF(AD195="me","not NVP, by",IF(AD195="",IF(G195&gt;0,(VLOOKUP(A195,'Discount Lookup'!J:K,2)*G195*(1-$AC$1786)*(1+$AC$1788)),""),"")),"not NVP, by"))))))))</f>
        <v/>
      </c>
      <c r="AC195" s="830"/>
      <c r="AD195" s="375" t="str">
        <f t="shared" ref="AD195" si="553">IF(G195=0,"",IF($AD$8="me","me",IF(H195="warranty","free",IF($AD$8="yes","NVP",""))))</f>
        <v/>
      </c>
      <c r="AE195" s="833" t="str">
        <f t="shared" si="546"/>
        <v/>
      </c>
      <c r="AF195" s="833"/>
      <c r="AG195" s="833"/>
      <c r="AH195" s="91">
        <f>IF(AD195="free",0,IF(AD195="me",0,IF(G195&gt;0,(VLOOKUP(A195,'Discount Lookup'!J:K,2)*G195),0)))</f>
        <v>0</v>
      </c>
      <c r="AI195" s="92" t="str">
        <f t="shared" si="523"/>
        <v/>
      </c>
      <c r="AJ195" s="828" t="str">
        <f t="shared" ref="AJ195" si="554">IF(G195=0,"",IF(AD195="me","  delivery-only",IF($AD$8="me","  delivery-only",CONCATENATE(" $",ROUND(AI195/G195,2)," each"))))</f>
        <v/>
      </c>
      <c r="AK195" s="828"/>
      <c r="AL195" s="313" t="str">
        <f t="shared" si="393"/>
        <v/>
      </c>
      <c r="AM195" s="312"/>
      <c r="AN195" s="101"/>
      <c r="AO195" s="101"/>
      <c r="AP195" s="101"/>
      <c r="AQ195" s="101"/>
      <c r="AR195" s="101"/>
      <c r="AS195" s="101"/>
      <c r="AT195" s="101"/>
    </row>
    <row r="196" spans="1:46" ht="12" customHeight="1">
      <c r="A196" s="419">
        <v>7</v>
      </c>
      <c r="B196" s="87" t="s">
        <v>50</v>
      </c>
      <c r="C196" s="128" t="s">
        <v>88</v>
      </c>
      <c r="D196" s="129" t="s">
        <v>62</v>
      </c>
      <c r="E196" s="98">
        <v>56.95</v>
      </c>
      <c r="F196" s="705" t="s">
        <v>1306</v>
      </c>
      <c r="G196" s="357">
        <v>0</v>
      </c>
      <c r="H196" s="704" t="str">
        <f t="shared" ref="H196:H197" si="555">IF(G196=0,"",IF(F196="Qty=",IF(G196=1,"plant","plants"),IF(F196&gt;0.0001,"warranty","Error")))</f>
        <v/>
      </c>
      <c r="I196" s="98">
        <f t="shared" ref="I196:I197" si="556">IF(F196="Qty=",(E196*G196),((E196*(1-F196))*G196))</f>
        <v>0</v>
      </c>
      <c r="J196" s="98">
        <f t="shared" si="530"/>
        <v>0</v>
      </c>
      <c r="K196" s="831">
        <f t="shared" si="531"/>
        <v>0</v>
      </c>
      <c r="L196" s="831"/>
      <c r="M196" s="832" t="str">
        <f t="shared" si="532"/>
        <v/>
      </c>
      <c r="N196" s="832"/>
      <c r="O196" s="832"/>
      <c r="P196" s="832"/>
      <c r="Q196" s="832"/>
      <c r="R196" s="832"/>
      <c r="S196" s="303">
        <f t="shared" ref="S196:S197" si="557">E196*G196</f>
        <v>0</v>
      </c>
      <c r="T196" s="541">
        <f>VLOOKUP(A196,'Discount Lookup'!D:E,2,FALSE)*G196</f>
        <v>0</v>
      </c>
      <c r="U196" s="83">
        <f>VLOOKUP(A196,'Discount Lookup'!G:H,2,FALSE)*G196</f>
        <v>0</v>
      </c>
      <c r="V196" s="100">
        <f t="shared" si="534"/>
        <v>0</v>
      </c>
      <c r="W196" s="100">
        <f t="shared" ref="W196:W197" si="558">I196</f>
        <v>0</v>
      </c>
      <c r="X196" s="100" t="b">
        <f t="shared" ref="X196:X197" si="559">IF(G196&gt;0,IF(AD196="me","",G196))</f>
        <v>0</v>
      </c>
      <c r="Y196" s="201"/>
      <c r="Z196" s="829" t="str">
        <f t="shared" ref="Z196:Z197" si="560">IF(G196=0,"",IF(AD196="me","",IF($AD$8="me","",IF(AD196="free","warranty",IF($AD$8="yes","NVP planting:","to NVP install:")))))</f>
        <v/>
      </c>
      <c r="AA196" s="829"/>
      <c r="AB196" s="830" t="str">
        <f>IF(G196=0,"",IF(AD196="free","re-planting",IF(AD196="me","not NVP, by",IF($AD$8="yes",(VLOOKUP(A196,'Discount Lookup'!J:K,2)*G196*(1-$AC$1786)*(1+$AC$1788)),IF(AD196="NVP",(VLOOKUP(A196,'Discount Lookup'!J:K,2)*G196*(1-$AC$1786)*(1+$AC$1788)),IF(AD196="free","re-planting",IF(G196=0,"",IF($AD$8="",IF(AD196="me","not NVP, by",IF(AD196="",IF(G196&gt;0,(VLOOKUP(A196,'Discount Lookup'!J:K,2)*G196*(1-$AC$1786)*(1+$AC$1788)),""),"")),"not NVP, by"))))))))</f>
        <v/>
      </c>
      <c r="AC196" s="830"/>
      <c r="AD196" s="375" t="str">
        <f t="shared" si="498"/>
        <v/>
      </c>
      <c r="AE196" s="833" t="str">
        <f t="shared" ref="AE196:AE197" si="561">IF(G196&gt;0,(CONCATENATE((G196)," quantity, ",(A196)," ",B196)),"")</f>
        <v/>
      </c>
      <c r="AF196" s="833"/>
      <c r="AG196" s="833"/>
      <c r="AH196" s="91">
        <f>IF(AD196="free",0,IF(AD196="me",0,IF(G196&gt;0,(VLOOKUP(A196,'Discount Lookup'!J:K,2)*G196),0)))</f>
        <v>0</v>
      </c>
      <c r="AI196" s="92" t="str">
        <f t="shared" si="523"/>
        <v/>
      </c>
      <c r="AJ196" s="828" t="str">
        <f t="shared" ref="AJ196:AJ197" si="562">IF(G196=0,"",IF(AD196="me","  delivery-only",IF($AD$8="me","  delivery-only",CONCATENATE(" $",ROUND(AI196/G196,2)," each"))))</f>
        <v/>
      </c>
      <c r="AK196" s="828"/>
      <c r="AL196" s="313" t="str">
        <f t="shared" si="393"/>
        <v/>
      </c>
      <c r="AM196" s="312"/>
      <c r="AN196" s="101"/>
      <c r="AO196" s="101"/>
      <c r="AP196" s="101"/>
      <c r="AQ196" s="101"/>
      <c r="AR196" s="101"/>
      <c r="AS196" s="101"/>
      <c r="AT196" s="101"/>
    </row>
    <row r="197" spans="1:46" ht="12" customHeight="1">
      <c r="A197" s="419">
        <v>7</v>
      </c>
      <c r="B197" s="87" t="s">
        <v>50</v>
      </c>
      <c r="C197" s="128" t="s">
        <v>223</v>
      </c>
      <c r="D197" s="129" t="s">
        <v>54</v>
      </c>
      <c r="E197" s="98">
        <v>68.95</v>
      </c>
      <c r="F197" s="705" t="s">
        <v>1306</v>
      </c>
      <c r="G197" s="357">
        <v>0</v>
      </c>
      <c r="H197" s="704" t="str">
        <f t="shared" si="555"/>
        <v/>
      </c>
      <c r="I197" s="98">
        <f t="shared" si="556"/>
        <v>0</v>
      </c>
      <c r="J197" s="98">
        <f t="shared" si="530"/>
        <v>0</v>
      </c>
      <c r="K197" s="831">
        <f t="shared" si="531"/>
        <v>0</v>
      </c>
      <c r="L197" s="831"/>
      <c r="M197" s="832" t="str">
        <f t="shared" si="532"/>
        <v/>
      </c>
      <c r="N197" s="832"/>
      <c r="O197" s="832"/>
      <c r="P197" s="832"/>
      <c r="Q197" s="832"/>
      <c r="R197" s="832"/>
      <c r="S197" s="303">
        <f t="shared" si="557"/>
        <v>0</v>
      </c>
      <c r="T197" s="541">
        <f>VLOOKUP(A197,'Discount Lookup'!D:E,2,FALSE)*G197</f>
        <v>0</v>
      </c>
      <c r="U197" s="83">
        <f>VLOOKUP(A197,'Discount Lookup'!G:H,2,FALSE)*G197</f>
        <v>0</v>
      </c>
      <c r="V197" s="100">
        <f t="shared" si="534"/>
        <v>0</v>
      </c>
      <c r="W197" s="100">
        <f t="shared" si="558"/>
        <v>0</v>
      </c>
      <c r="X197" s="100" t="b">
        <f t="shared" si="559"/>
        <v>0</v>
      </c>
      <c r="Y197" s="201"/>
      <c r="Z197" s="829" t="str">
        <f t="shared" si="560"/>
        <v/>
      </c>
      <c r="AA197" s="829"/>
      <c r="AB197" s="830" t="str">
        <f>IF(G197=0,"",IF(AD197="free","re-planting",IF(AD197="me","not NVP, by",IF($AD$8="yes",(VLOOKUP(A197,'Discount Lookup'!J:K,2)*G197*(1-$AC$1786)*(1+$AC$1788)),IF(AD197="NVP",(VLOOKUP(A197,'Discount Lookup'!J:K,2)*G197*(1-$AC$1786)*(1+$AC$1788)),IF(AD197="free","re-planting",IF(G197=0,"",IF($AD$8="",IF(AD197="me","not NVP, by",IF(AD197="",IF(G197&gt;0,(VLOOKUP(A197,'Discount Lookup'!J:K,2)*G197*(1-$AC$1786)*(1+$AC$1788)),""),"")),"not NVP, by"))))))))</f>
        <v/>
      </c>
      <c r="AC197" s="830"/>
      <c r="AD197" s="375" t="str">
        <f t="shared" si="498"/>
        <v/>
      </c>
      <c r="AE197" s="833" t="str">
        <f t="shared" si="561"/>
        <v/>
      </c>
      <c r="AF197" s="833"/>
      <c r="AG197" s="833"/>
      <c r="AH197" s="91">
        <f>IF(AD197="free",0,IF(AD197="me",0,IF(G197&gt;0,(VLOOKUP(A197,'Discount Lookup'!J:K,2)*G197),0)))</f>
        <v>0</v>
      </c>
      <c r="AI197" s="92" t="str">
        <f t="shared" si="523"/>
        <v/>
      </c>
      <c r="AJ197" s="828" t="str">
        <f t="shared" si="562"/>
        <v/>
      </c>
      <c r="AK197" s="828"/>
      <c r="AL197" s="313" t="str">
        <f t="shared" si="393"/>
        <v/>
      </c>
      <c r="AM197" s="312"/>
      <c r="AN197" s="101"/>
      <c r="AO197" s="101"/>
      <c r="AP197" s="101"/>
      <c r="AQ197" s="101"/>
      <c r="AR197" s="101"/>
      <c r="AS197" s="101"/>
      <c r="AT197" s="101"/>
    </row>
    <row r="198" spans="1:46" ht="12.95" customHeight="1">
      <c r="A198" s="419">
        <v>10</v>
      </c>
      <c r="B198" s="87" t="s">
        <v>50</v>
      </c>
      <c r="C198" s="128" t="s">
        <v>70</v>
      </c>
      <c r="D198" s="129" t="s">
        <v>62</v>
      </c>
      <c r="E198" s="98">
        <v>83.95</v>
      </c>
      <c r="F198" s="705" t="s">
        <v>1306</v>
      </c>
      <c r="G198" s="357">
        <v>0</v>
      </c>
      <c r="H198" s="704" t="str">
        <f t="shared" si="540"/>
        <v/>
      </c>
      <c r="I198" s="98">
        <f t="shared" si="541"/>
        <v>0</v>
      </c>
      <c r="J198" s="98">
        <f t="shared" si="530"/>
        <v>0</v>
      </c>
      <c r="K198" s="831">
        <f t="shared" si="531"/>
        <v>0</v>
      </c>
      <c r="L198" s="831"/>
      <c r="M198" s="832" t="str">
        <f t="shared" si="532"/>
        <v/>
      </c>
      <c r="N198" s="832"/>
      <c r="O198" s="832"/>
      <c r="P198" s="832"/>
      <c r="Q198" s="832"/>
      <c r="R198" s="832"/>
      <c r="S198" s="303">
        <f t="shared" ref="S198" si="563">E198*G198</f>
        <v>0</v>
      </c>
      <c r="T198" s="541">
        <f>VLOOKUP(A198,'Discount Lookup'!D:E,2,FALSE)*G198</f>
        <v>0</v>
      </c>
      <c r="U198" s="83">
        <f>VLOOKUP(A198,'Discount Lookup'!G:H,2,FALSE)*G198</f>
        <v>0</v>
      </c>
      <c r="V198" s="100">
        <f t="shared" si="534"/>
        <v>0</v>
      </c>
      <c r="W198" s="100">
        <f t="shared" ref="W198" si="564">I198</f>
        <v>0</v>
      </c>
      <c r="X198" s="100" t="b">
        <f t="shared" ref="X198" si="565">IF(G198&gt;0,IF(AD198="me","",G198))</f>
        <v>0</v>
      </c>
      <c r="Y198" s="201"/>
      <c r="Z198" s="829" t="str">
        <f t="shared" si="462"/>
        <v/>
      </c>
      <c r="AA198" s="829"/>
      <c r="AB198" s="830" t="str">
        <f>IF(G198=0,"",IF(AD198="free","re-planting",IF(AD198="me","not NVP, by",IF($AD$8="yes",(VLOOKUP(A198,'Discount Lookup'!J:K,2)*G198*(1-$AC$1786)*(1+$AC$1788)),IF(AD198="NVP",(VLOOKUP(A198,'Discount Lookup'!J:K,2)*G198*(1-$AC$1786)*(1+$AC$1788)),IF(AD198="free","re-planting",IF(G198=0,"",IF($AD$8="",IF(AD198="me","not NVP, by",IF(AD198="",IF(G198&gt;0,(VLOOKUP(A198,'Discount Lookup'!J:K,2)*G198*(1-$AC$1786)*(1+$AC$1788)),""),"")),"not NVP, by"))))))))</f>
        <v/>
      </c>
      <c r="AC198" s="830"/>
      <c r="AD198" s="375" t="str">
        <f t="shared" si="498"/>
        <v/>
      </c>
      <c r="AE198" s="833" t="str">
        <f t="shared" si="375"/>
        <v/>
      </c>
      <c r="AF198" s="833"/>
      <c r="AG198" s="833"/>
      <c r="AH198" s="91">
        <f>IF(AD198="free",0,IF(AD198="me",0,IF(G198&gt;0,(VLOOKUP(A198,'Discount Lookup'!J:K,2)*G198),0)))</f>
        <v>0</v>
      </c>
      <c r="AI198" s="92" t="str">
        <f t="shared" si="523"/>
        <v/>
      </c>
      <c r="AJ198" s="828" t="str">
        <f t="shared" si="463"/>
        <v/>
      </c>
      <c r="AK198" s="828"/>
      <c r="AL198" s="313" t="str">
        <f t="shared" si="393"/>
        <v/>
      </c>
      <c r="AM198" s="312"/>
      <c r="AN198" s="101"/>
      <c r="AO198" s="101"/>
      <c r="AP198" s="101"/>
      <c r="AQ198" s="101"/>
      <c r="AR198" s="101"/>
      <c r="AS198" s="101"/>
      <c r="AT198" s="101"/>
    </row>
    <row r="199" spans="1:46" ht="12.95" customHeight="1">
      <c r="A199" s="419">
        <v>10</v>
      </c>
      <c r="B199" s="87" t="s">
        <v>50</v>
      </c>
      <c r="C199" s="128" t="s">
        <v>1618</v>
      </c>
      <c r="D199" s="129" t="s">
        <v>90</v>
      </c>
      <c r="E199" s="98">
        <v>109.95</v>
      </c>
      <c r="F199" s="705" t="s">
        <v>1306</v>
      </c>
      <c r="G199" s="357">
        <v>0</v>
      </c>
      <c r="H199" s="704" t="str">
        <f t="shared" si="540"/>
        <v/>
      </c>
      <c r="I199" s="98">
        <f t="shared" si="541"/>
        <v>0</v>
      </c>
      <c r="J199" s="98">
        <f t="shared" si="530"/>
        <v>0</v>
      </c>
      <c r="K199" s="831">
        <f t="shared" si="531"/>
        <v>0</v>
      </c>
      <c r="L199" s="831"/>
      <c r="M199" s="832" t="str">
        <f t="shared" si="532"/>
        <v/>
      </c>
      <c r="N199" s="832"/>
      <c r="O199" s="832"/>
      <c r="P199" s="832"/>
      <c r="Q199" s="832"/>
      <c r="R199" s="832"/>
      <c r="S199" s="303">
        <f t="shared" ref="S199:S201" si="566">E199*G199</f>
        <v>0</v>
      </c>
      <c r="T199" s="541">
        <f>VLOOKUP(A199,'Discount Lookup'!D:E,2,FALSE)*G199</f>
        <v>0</v>
      </c>
      <c r="U199" s="83">
        <f>VLOOKUP(A199,'Discount Lookup'!G:H,2,FALSE)*G199</f>
        <v>0</v>
      </c>
      <c r="V199" s="100">
        <f t="shared" si="534"/>
        <v>0</v>
      </c>
      <c r="W199" s="100">
        <f t="shared" ref="W199:W201" si="567">I199</f>
        <v>0</v>
      </c>
      <c r="X199" s="100" t="b">
        <f t="shared" si="544"/>
        <v>0</v>
      </c>
      <c r="Y199" s="201"/>
      <c r="Z199" s="829" t="str">
        <f t="shared" si="462"/>
        <v/>
      </c>
      <c r="AA199" s="829"/>
      <c r="AB199" s="830" t="str">
        <f>IF(G199=0,"",IF(AD199="free","re-planting",IF(AD199="me","not NVP, by",IF($AD$8="yes",(VLOOKUP(A199,'Discount Lookup'!J:K,2)*G199*(1-$AC$1786)*(1+$AC$1788)),IF(AD199="NVP",(VLOOKUP(A199,'Discount Lookup'!J:K,2)*G199*(1-$AC$1786)*(1+$AC$1788)),IF(AD199="free","re-planting",IF(G199=0,"",IF($AD$8="",IF(AD199="me","not NVP, by",IF(AD199="",IF(G199&gt;0,(VLOOKUP(A199,'Discount Lookup'!J:K,2)*G199*(1-$AC$1786)*(1+$AC$1788)),""),"")),"not NVP, by"))))))))</f>
        <v/>
      </c>
      <c r="AC199" s="830"/>
      <c r="AD199" s="375" t="str">
        <f t="shared" si="498"/>
        <v/>
      </c>
      <c r="AE199" s="833" t="str">
        <f t="shared" ref="AE199:AE201" si="568">IF(G199&gt;0,(CONCATENATE((G199)," quantity, ",(A199)," ",B199)),"")</f>
        <v/>
      </c>
      <c r="AF199" s="833"/>
      <c r="AG199" s="833"/>
      <c r="AH199" s="91">
        <f>IF(AD199="free",0,IF(AD199="me",0,IF(G199&gt;0,(VLOOKUP(A199,'Discount Lookup'!J:K,2)*G199),0)))</f>
        <v>0</v>
      </c>
      <c r="AI199" s="92" t="str">
        <f t="shared" si="523"/>
        <v/>
      </c>
      <c r="AJ199" s="828" t="str">
        <f t="shared" si="463"/>
        <v/>
      </c>
      <c r="AK199" s="828"/>
      <c r="AL199" s="313" t="str">
        <f t="shared" si="393"/>
        <v/>
      </c>
      <c r="AM199" s="312"/>
      <c r="AN199" s="101"/>
      <c r="AO199" s="101"/>
      <c r="AP199" s="101"/>
      <c r="AQ199" s="101"/>
      <c r="AR199" s="101"/>
      <c r="AS199" s="101"/>
      <c r="AT199" s="101"/>
    </row>
    <row r="200" spans="1:46" ht="12" customHeight="1">
      <c r="A200" s="419">
        <v>15</v>
      </c>
      <c r="B200" s="87" t="s">
        <v>50</v>
      </c>
      <c r="C200" s="128" t="s">
        <v>1681</v>
      </c>
      <c r="D200" s="129" t="s">
        <v>54</v>
      </c>
      <c r="E200" s="98">
        <v>178.95</v>
      </c>
      <c r="F200" s="705" t="s">
        <v>1306</v>
      </c>
      <c r="G200" s="357">
        <v>0</v>
      </c>
      <c r="H200" s="704" t="str">
        <f>IF(G200=0,"",IF(F200="Qty=",IF(G200=1,"plant","plants"),IF(F200&gt;0.0001,"warranty","Error")))</f>
        <v/>
      </c>
      <c r="I200" s="98">
        <f>IF(F200="Qty=",(E200*G200),((E200*(1-F200))*G200))</f>
        <v>0</v>
      </c>
      <c r="J200" s="98">
        <f t="shared" si="530"/>
        <v>0</v>
      </c>
      <c r="K200" s="831">
        <f t="shared" ref="K200" si="569">I200+J200</f>
        <v>0</v>
      </c>
      <c r="L200" s="831"/>
      <c r="M200" s="832" t="str">
        <f t="shared" si="532"/>
        <v/>
      </c>
      <c r="N200" s="832"/>
      <c r="O200" s="832"/>
      <c r="P200" s="832"/>
      <c r="Q200" s="832"/>
      <c r="R200" s="832"/>
      <c r="S200" s="303">
        <f>E200*G200</f>
        <v>0</v>
      </c>
      <c r="T200" s="541">
        <f>VLOOKUP(A200,'Discount Lookup'!D:E,2,FALSE)*G200</f>
        <v>0</v>
      </c>
      <c r="U200" s="83">
        <f>VLOOKUP(A200,'Discount Lookup'!G:H,2,FALSE)*G200</f>
        <v>0</v>
      </c>
      <c r="V200" s="100">
        <f t="shared" si="534"/>
        <v>0</v>
      </c>
      <c r="W200" s="100">
        <f>I200</f>
        <v>0</v>
      </c>
      <c r="X200" s="100" t="b">
        <f>IF(G200&gt;0,IF(AD200="me","",G200))</f>
        <v>0</v>
      </c>
      <c r="Y200" s="201"/>
      <c r="Z200" s="829" t="str">
        <f>IF(G200=0,"",IF(AD200="me","",IF($AD$8="me","",IF(AD200="free","warranty",IF($AD$8="yes","NVP planting:","to NVP install:")))))</f>
        <v/>
      </c>
      <c r="AA200" s="829"/>
      <c r="AB200" s="830" t="str">
        <f>IF(G200=0,"",IF(AD200="free","re-planting",IF(AD200="me","not NVP, by",IF($AD$8="yes",(VLOOKUP(A200,'Discount Lookup'!J:K,2)*G200*(1-$AC$1786)*(1+$AC$1788)),IF(AD200="NVP",(VLOOKUP(A200,'Discount Lookup'!J:K,2)*G200*(1-$AC$1786)*(1+$AC$1788)),IF(AD200="free","re-planting",IF(G200=0,"",IF($AD$8="",IF(AD200="me","not NVP, by",IF(AD200="",IF(G200&gt;0,(VLOOKUP(A200,'Discount Lookup'!J:K,2)*G200*(1-$AC$1786)*(1+$AC$1788)),""),"")),"not NVP, by"))))))))</f>
        <v/>
      </c>
      <c r="AC200" s="830"/>
      <c r="AD200" s="375" t="str">
        <f t="shared" ref="AD200" si="570">IF(G200=0,"",IF($AD$8="me","me",IF(H200="warranty","free",IF($AD$8="yes","NVP",""))))</f>
        <v/>
      </c>
      <c r="AE200" s="833" t="str">
        <f>IF(G200&gt;0,(CONCATENATE((G200)," quantity, ",(A200)," ",B200)),"")</f>
        <v/>
      </c>
      <c r="AF200" s="833"/>
      <c r="AG200" s="833"/>
      <c r="AH200" s="91">
        <f>IF(AD200="free",0,IF(AD200="me",0,IF(G200&gt;0,(VLOOKUP(A200,'Discount Lookup'!J:K,2)*G200),0)))</f>
        <v>0</v>
      </c>
      <c r="AI200" s="92" t="str">
        <f t="shared" si="523"/>
        <v/>
      </c>
      <c r="AJ200" s="828" t="str">
        <f>IF(G200=0,"",IF(AD200="me","  delivery-only",IF($AD$8="me","  delivery-only",CONCATENATE(" $",ROUND(AI200/G200,2)," each"))))</f>
        <v/>
      </c>
      <c r="AK200" s="828"/>
      <c r="AL200" s="313" t="str">
        <f t="shared" si="393"/>
        <v/>
      </c>
      <c r="AM200" s="312"/>
      <c r="AN200" s="101"/>
      <c r="AO200" s="101"/>
      <c r="AP200" s="101"/>
      <c r="AQ200" s="101"/>
      <c r="AR200" s="101"/>
      <c r="AS200" s="101"/>
      <c r="AT200" s="101"/>
    </row>
    <row r="201" spans="1:46" ht="12.95" customHeight="1">
      <c r="A201" s="419">
        <v>15</v>
      </c>
      <c r="B201" s="87" t="s">
        <v>50</v>
      </c>
      <c r="C201" s="128" t="s">
        <v>111</v>
      </c>
      <c r="D201" s="129" t="s">
        <v>63</v>
      </c>
      <c r="E201" s="98">
        <v>155.94999999999999</v>
      </c>
      <c r="F201" s="705" t="s">
        <v>1306</v>
      </c>
      <c r="G201" s="357">
        <v>0</v>
      </c>
      <c r="H201" s="704" t="str">
        <f t="shared" si="540"/>
        <v/>
      </c>
      <c r="I201" s="98">
        <f t="shared" si="541"/>
        <v>0</v>
      </c>
      <c r="J201" s="98">
        <f t="shared" si="530"/>
        <v>0</v>
      </c>
      <c r="K201" s="831">
        <f t="shared" si="531"/>
        <v>0</v>
      </c>
      <c r="L201" s="831"/>
      <c r="M201" s="832" t="str">
        <f t="shared" si="532"/>
        <v/>
      </c>
      <c r="N201" s="832"/>
      <c r="O201" s="832"/>
      <c r="P201" s="832"/>
      <c r="Q201" s="832"/>
      <c r="R201" s="832"/>
      <c r="S201" s="303">
        <f t="shared" si="566"/>
        <v>0</v>
      </c>
      <c r="T201" s="541">
        <f>VLOOKUP(A201,'Discount Lookup'!D:E,2,FALSE)*G201</f>
        <v>0</v>
      </c>
      <c r="U201" s="83">
        <f>VLOOKUP(A201,'Discount Lookup'!G:H,2,FALSE)*G201</f>
        <v>0</v>
      </c>
      <c r="V201" s="100">
        <f t="shared" si="534"/>
        <v>0</v>
      </c>
      <c r="W201" s="100">
        <f t="shared" si="567"/>
        <v>0</v>
      </c>
      <c r="X201" s="100" t="b">
        <f t="shared" ref="X201" si="571">IF(G201&gt;0,IF(AD201="me","",G201))</f>
        <v>0</v>
      </c>
      <c r="Y201" s="201"/>
      <c r="Z201" s="829" t="str">
        <f t="shared" si="462"/>
        <v/>
      </c>
      <c r="AA201" s="829"/>
      <c r="AB201" s="830" t="str">
        <f>IF(G201=0,"",IF(AD201="free","re-planting",IF(AD201="me","not NVP, by",IF($AD$8="yes",(VLOOKUP(A201,'Discount Lookup'!J:K,2)*G201*(1-$AC$1786)*(1+$AC$1788)),IF(AD201="NVP",(VLOOKUP(A201,'Discount Lookup'!J:K,2)*G201*(1-$AC$1786)*(1+$AC$1788)),IF(AD201="free","re-planting",IF(G201=0,"",IF($AD$8="",IF(AD201="me","not NVP, by",IF(AD201="",IF(G201&gt;0,(VLOOKUP(A201,'Discount Lookup'!J:K,2)*G201*(1-$AC$1786)*(1+$AC$1788)),""),"")),"not NVP, by"))))))))</f>
        <v/>
      </c>
      <c r="AC201" s="830"/>
      <c r="AD201" s="375" t="str">
        <f t="shared" si="498"/>
        <v/>
      </c>
      <c r="AE201" s="833" t="str">
        <f t="shared" si="568"/>
        <v/>
      </c>
      <c r="AF201" s="833"/>
      <c r="AG201" s="833"/>
      <c r="AH201" s="91">
        <f>IF(AD201="free",0,IF(AD201="me",0,IF(G201&gt;0,(VLOOKUP(A201,'Discount Lookup'!J:K,2)*G201),0)))</f>
        <v>0</v>
      </c>
      <c r="AI201" s="92" t="str">
        <f t="shared" si="523"/>
        <v/>
      </c>
      <c r="AJ201" s="828" t="str">
        <f t="shared" si="463"/>
        <v/>
      </c>
      <c r="AK201" s="828"/>
      <c r="AL201" s="313" t="str">
        <f t="shared" si="393"/>
        <v/>
      </c>
      <c r="AM201" s="312"/>
      <c r="AN201" s="101"/>
      <c r="AO201" s="101"/>
      <c r="AP201" s="101"/>
      <c r="AQ201" s="101"/>
      <c r="AR201" s="101"/>
      <c r="AS201" s="101"/>
      <c r="AT201" s="101"/>
    </row>
    <row r="202" spans="1:46" ht="12" customHeight="1">
      <c r="A202" s="419">
        <v>25</v>
      </c>
      <c r="B202" s="87" t="s">
        <v>50</v>
      </c>
      <c r="C202" s="128" t="s">
        <v>1535</v>
      </c>
      <c r="D202" s="129" t="s">
        <v>54</v>
      </c>
      <c r="E202" s="98">
        <v>355.95</v>
      </c>
      <c r="F202" s="705" t="s">
        <v>1306</v>
      </c>
      <c r="G202" s="357">
        <v>0</v>
      </c>
      <c r="H202" s="704" t="str">
        <f>IF(G202=0,"",IF(F202="Qty=",IF(G202=1,"plant","plants"),IF(F202&gt;0.0001,"warranty","Error")))</f>
        <v/>
      </c>
      <c r="I202" s="98">
        <f>IF(F202="Qty=",(E202*G202),((E202*(1-F202))*G202))</f>
        <v>0</v>
      </c>
      <c r="J202" s="98">
        <f t="shared" si="530"/>
        <v>0</v>
      </c>
      <c r="K202" s="831">
        <f t="shared" si="531"/>
        <v>0</v>
      </c>
      <c r="L202" s="831"/>
      <c r="M202" s="832" t="str">
        <f t="shared" si="532"/>
        <v/>
      </c>
      <c r="N202" s="832"/>
      <c r="O202" s="832"/>
      <c r="P202" s="832"/>
      <c r="Q202" s="832"/>
      <c r="R202" s="832"/>
      <c r="S202" s="303">
        <f>E202*G202</f>
        <v>0</v>
      </c>
      <c r="T202" s="541">
        <f>VLOOKUP(A202,'Discount Lookup'!D:E,2,FALSE)*G202</f>
        <v>0</v>
      </c>
      <c r="U202" s="83">
        <f>VLOOKUP(A202,'Discount Lookup'!G:H,2,FALSE)*G202</f>
        <v>0</v>
      </c>
      <c r="V202" s="100">
        <f t="shared" si="534"/>
        <v>0</v>
      </c>
      <c r="W202" s="100">
        <f>I202</f>
        <v>0</v>
      </c>
      <c r="X202" s="100" t="b">
        <f>IF(G202&gt;0,IF(AD202="me","",G202))</f>
        <v>0</v>
      </c>
      <c r="Y202" s="201"/>
      <c r="Z202" s="829" t="str">
        <f>IF(G202=0,"",IF(AD202="me","",IF($AD$8="me","",IF(AD202="free","warranty",IF($AD$8="yes","NVP planting:","to NVP install:")))))</f>
        <v/>
      </c>
      <c r="AA202" s="829"/>
      <c r="AB202" s="830" t="str">
        <f>IF(G202=0,"",IF(AD202="free","re-planting",IF(AD202="me","not NVP, by",IF($AD$8="yes",(VLOOKUP(A202,'Discount Lookup'!J:K,2)*G202*(1-$AC$1786)*(1+$AC$1788)),IF(AD202="NVP",(VLOOKUP(A202,'Discount Lookup'!J:K,2)*G202*(1-$AC$1786)*(1+$AC$1788)),IF(AD202="free","re-planting",IF(G202=0,"",IF($AD$8="",IF(AD202="me","not NVP, by",IF(AD202="",IF(G202&gt;0,(VLOOKUP(A202,'Discount Lookup'!J:K,2)*G202*(1-$AC$1786)*(1+$AC$1788)),""),"")),"not NVP, by"))))))))</f>
        <v/>
      </c>
      <c r="AC202" s="830"/>
      <c r="AD202" s="375" t="str">
        <f t="shared" si="498"/>
        <v/>
      </c>
      <c r="AE202" s="833" t="str">
        <f>IF(G202&gt;0,(CONCATENATE((G202)," quantity, ",(A202)," ",B202)),"")</f>
        <v/>
      </c>
      <c r="AF202" s="833"/>
      <c r="AG202" s="833"/>
      <c r="AH202" s="91">
        <f>IF(AD202="free",0,IF(AD202="me",0,IF(G202&gt;0,(VLOOKUP(A202,'Discount Lookup'!J:K,2)*G202),0)))</f>
        <v>0</v>
      </c>
      <c r="AI202" s="92" t="str">
        <f t="shared" si="523"/>
        <v/>
      </c>
      <c r="AJ202" s="828" t="str">
        <f>IF(G202=0,"",IF(AD202="me","  delivery-only",IF($AD$8="me","  delivery-only",CONCATENATE(" $",ROUND(AI202/G202,2)," each"))))</f>
        <v/>
      </c>
      <c r="AK202" s="828"/>
      <c r="AL202" s="313" t="str">
        <f t="shared" si="393"/>
        <v/>
      </c>
      <c r="AM202" s="312"/>
      <c r="AN202" s="101"/>
      <c r="AO202" s="101"/>
      <c r="AP202" s="101"/>
      <c r="AQ202" s="101"/>
      <c r="AR202" s="101"/>
      <c r="AS202" s="101"/>
      <c r="AT202" s="101"/>
    </row>
    <row r="203" spans="1:46" ht="12.75" customHeight="1">
      <c r="A203" s="465"/>
      <c r="B203" s="149" t="s">
        <v>1452</v>
      </c>
      <c r="C203" s="104"/>
      <c r="D203" s="104"/>
      <c r="E203" s="131"/>
      <c r="F203" s="710"/>
      <c r="G203" s="358"/>
      <c r="H203" s="744"/>
      <c r="I203" s="131"/>
      <c r="J203" s="131"/>
      <c r="K203" s="608"/>
      <c r="L203" s="608"/>
      <c r="M203" s="121"/>
      <c r="N203" s="122" t="s">
        <v>162</v>
      </c>
      <c r="O203" s="123"/>
      <c r="P203" s="124"/>
      <c r="Q203" s="124"/>
      <c r="R203" s="83"/>
      <c r="S203" s="82">
        <f t="shared" ref="S203" si="572">E203*G203</f>
        <v>0</v>
      </c>
      <c r="T203" s="540"/>
      <c r="U203" s="83"/>
      <c r="V203" s="100" t="b">
        <f>IF(G203&gt;0,IF(AD203="me","",G203))</f>
        <v>0</v>
      </c>
      <c r="W203" s="100"/>
      <c r="X203" s="100"/>
      <c r="Y203" s="201"/>
      <c r="Z203" s="829" t="str">
        <f t="shared" si="462"/>
        <v/>
      </c>
      <c r="AA203" s="829"/>
      <c r="AB203" s="830" t="str">
        <f>IF(G203=0,"",IF(AD203="free","re-planting",IF(AD203="me","not NVP, by",IF($AD$8="yes",(VLOOKUP(A203,'Discount Lookup'!J:K,2)*G203*(1-$AC$1786)*(1+$AC$1788)),IF(AD203="NVP",(VLOOKUP(A203,'Discount Lookup'!J:K,2)*G203*(1-$AC$1786)*(1+$AC$1788)),IF(AD203="free","re-planting",IF(G203=0,"",IF($AD$8="",IF(AD203="me","not NVP, by",IF(AD203="",IF(G203&gt;0,(VLOOKUP(A203,'Discount Lookup'!J:K,2)*G203*(1-$AC$1786)*(1+$AC$1788)),""),"")),"not NVP, by"))))))))</f>
        <v/>
      </c>
      <c r="AC203" s="830"/>
      <c r="AD203" s="375" t="str">
        <f t="shared" si="498"/>
        <v/>
      </c>
      <c r="AE203" s="833" t="str">
        <f t="shared" si="375"/>
        <v/>
      </c>
      <c r="AF203" s="833"/>
      <c r="AG203" s="833"/>
      <c r="AH203" s="91">
        <f>IF(AD203="free",0,IF(AD203="me",0,IF(G203&gt;0,(VLOOKUP(A203,'Discount Lookup'!J:K,2)*G203),0)))</f>
        <v>0</v>
      </c>
      <c r="AI203" s="92" t="str">
        <f t="shared" si="523"/>
        <v/>
      </c>
      <c r="AJ203" s="828" t="str">
        <f t="shared" si="463"/>
        <v/>
      </c>
      <c r="AK203" s="828"/>
      <c r="AL203" s="313" t="str">
        <f t="shared" ref="AL203:AL266" si="573">IF(AD203="free","      ~ discounts included, no tax or planting fee applies ~",IF(G203=0,"",IF($AD$8="me",CONCATENATE(" $",ROUND(AI203/G203,2)," per plant, with tax &amp; discount"),IF(AD203="me",CONCATENATE(" $",ROUND(AI203/G203,2)," per plant, with tax &amp; discount"),CONCATENATE("= $",ROUND((K203*(1-$H$1784))/G203,2)," per plant + $",AB203/G203,(" per planting      ~ includes tax &amp; discounts ~"))))))</f>
        <v/>
      </c>
      <c r="AM203" s="312"/>
      <c r="AN203" s="101"/>
      <c r="AO203" s="101"/>
      <c r="AP203" s="101"/>
      <c r="AQ203" s="101"/>
      <c r="AR203" s="101"/>
      <c r="AS203" s="101"/>
      <c r="AT203" s="101"/>
    </row>
    <row r="204" spans="1:46" ht="12.95" customHeight="1">
      <c r="A204" s="843" t="s">
        <v>200</v>
      </c>
      <c r="B204" s="844"/>
      <c r="C204" s="844"/>
      <c r="D204" s="844"/>
      <c r="E204" s="844"/>
      <c r="F204" s="844"/>
      <c r="G204" s="844"/>
      <c r="H204" s="770" t="s">
        <v>197</v>
      </c>
      <c r="I204" s="88" t="s">
        <v>79</v>
      </c>
      <c r="J204" s="86"/>
      <c r="K204" s="600" t="s">
        <v>45</v>
      </c>
      <c r="L204" s="601" t="s">
        <v>46</v>
      </c>
      <c r="M204" s="86"/>
      <c r="N204" s="87" t="s">
        <v>69</v>
      </c>
      <c r="O204" s="87"/>
      <c r="P204" s="87"/>
      <c r="Q204" s="87"/>
      <c r="R204" s="86"/>
      <c r="S204" s="125"/>
      <c r="T204" s="543"/>
      <c r="U204" s="112"/>
      <c r="V204" s="100" t="b">
        <f>IF(G204&gt;0,IF(AD204="me","",G204))</f>
        <v>0</v>
      </c>
      <c r="W204" s="100"/>
      <c r="X204" s="100"/>
      <c r="Y204" s="201"/>
      <c r="Z204" s="829" t="str">
        <f t="shared" si="462"/>
        <v/>
      </c>
      <c r="AA204" s="829"/>
      <c r="AB204" s="830" t="str">
        <f>IF(G204=0,"",IF(AD204="free","re-planting",IF(AD204="me","not NVP, by",IF($AD$8="yes",(VLOOKUP(A204,'Discount Lookup'!J:K,2)*G204*(1-$AC$1786)*(1+$AC$1788)),IF(AD204="NVP",(VLOOKUP(A204,'Discount Lookup'!J:K,2)*G204*(1-$AC$1786)*(1+$AC$1788)),IF(AD204="free","re-planting",IF(G204=0,"",IF($AD$8="",IF(AD204="me","not NVP, by",IF(AD204="",IF(G204&gt;0,(VLOOKUP(A204,'Discount Lookup'!J:K,2)*G204*(1-$AC$1786)*(1+$AC$1788)),""),"")),"not NVP, by"))))))))</f>
        <v/>
      </c>
      <c r="AC204" s="830"/>
      <c r="AD204" s="375" t="str">
        <f t="shared" si="498"/>
        <v/>
      </c>
      <c r="AE204" s="833" t="str">
        <f>IF(G204&gt;0,(CONCATENATE((G204)," quantity, ",(A204)," ",B204)),"")</f>
        <v/>
      </c>
      <c r="AF204" s="833"/>
      <c r="AG204" s="833"/>
      <c r="AH204" s="91">
        <f>IF(AD204="free",0,IF(AD204="me",0,IF(G204&gt;0,(VLOOKUP(A204,'Discount Lookup'!J:K,2)*G204),0)))</f>
        <v>0</v>
      </c>
      <c r="AI204" s="92" t="str">
        <f t="shared" si="523"/>
        <v/>
      </c>
      <c r="AJ204" s="828" t="str">
        <f t="shared" si="463"/>
        <v/>
      </c>
      <c r="AK204" s="828"/>
      <c r="AL204" s="313" t="str">
        <f t="shared" si="573"/>
        <v/>
      </c>
      <c r="AM204" s="312"/>
      <c r="AN204" s="101"/>
      <c r="AO204" s="101"/>
      <c r="AP204" s="101"/>
      <c r="AQ204" s="101"/>
      <c r="AR204" s="101"/>
      <c r="AS204" s="101"/>
      <c r="AT204" s="101"/>
    </row>
    <row r="205" spans="1:46" ht="12.95" customHeight="1">
      <c r="A205" s="447">
        <v>3</v>
      </c>
      <c r="B205" s="87" t="s">
        <v>50</v>
      </c>
      <c r="C205" s="128" t="s">
        <v>170</v>
      </c>
      <c r="D205" s="129" t="s">
        <v>62</v>
      </c>
      <c r="E205" s="98">
        <v>22.95</v>
      </c>
      <c r="F205" s="705" t="s">
        <v>1306</v>
      </c>
      <c r="G205" s="357">
        <v>0</v>
      </c>
      <c r="H205" s="704" t="str">
        <f t="shared" ref="H205:H207" si="574">IF(G205=0,"",IF(F205="Qty=",IF(G205=1,"plant","plants"),IF(F205&gt;0.0001,"warranty","Error")))</f>
        <v/>
      </c>
      <c r="I205" s="98">
        <f t="shared" ref="I205:I207" si="575">IF(F205="Qty=",(E205*G205),((E205*(1-F205))*G205))</f>
        <v>0</v>
      </c>
      <c r="J205" s="98">
        <f>IF(H205="warranty",0,(I205*($J$1782)))</f>
        <v>0</v>
      </c>
      <c r="K205" s="831">
        <f t="shared" ref="K205:K207" si="576">I205+J205</f>
        <v>0</v>
      </c>
      <c r="L205" s="831"/>
      <c r="M205" s="832" t="str">
        <f>IF($H$1784=0,"",IF(G205=0,"",IF(F205="Qty=",CONCATENATE("$",ROUND(K205*(1-$H$1784),2)," with ",($H$1784*100),"% discount"),CONCATENATE("$",ROUND(K205*(1-$H$1784),2)," with ",(($H$1784*100+F205*100)-($H$1784*100*F205)),IF(F205&gt;0,"% discounts",IF($H$1781&gt;0,"% discounts","% discount"))))))</f>
        <v/>
      </c>
      <c r="N205" s="832"/>
      <c r="O205" s="832"/>
      <c r="P205" s="832"/>
      <c r="Q205" s="832"/>
      <c r="R205" s="832"/>
      <c r="S205" s="303">
        <f t="shared" ref="S205" si="577">E205*G205</f>
        <v>0</v>
      </c>
      <c r="T205" s="541">
        <f>VLOOKUP(A205,'Discount Lookup'!D:E,2,FALSE)*G205</f>
        <v>0</v>
      </c>
      <c r="U205" s="83">
        <f>VLOOKUP(A205,'Discount Lookup'!G:H,2,FALSE)*G205</f>
        <v>0</v>
      </c>
      <c r="V205" s="100">
        <f>E205*($J$1782)*G205</f>
        <v>0</v>
      </c>
      <c r="W205" s="100">
        <f t="shared" ref="W205" si="578">I205</f>
        <v>0</v>
      </c>
      <c r="X205" s="100" t="b">
        <f>IF(G205&gt;0,IF(AD205="me","",G205))</f>
        <v>0</v>
      </c>
      <c r="Y205" s="201"/>
      <c r="Z205" s="829" t="str">
        <f t="shared" si="462"/>
        <v/>
      </c>
      <c r="AA205" s="829"/>
      <c r="AB205" s="830" t="str">
        <f>IF(G205=0,"",IF(AD205="free","re-planting",IF(AD205="me","not NVP, by",IF($AD$8="yes",(VLOOKUP(A205,'Discount Lookup'!J:K,2)*G205*(1-$AC$1786)*(1+$AC$1788)),IF(AD205="NVP",(VLOOKUP(A205,'Discount Lookup'!J:K,2)*G205*(1-$AC$1786)*(1+$AC$1788)),IF(AD205="free","re-planting",IF(G205=0,"",IF($AD$8="",IF(AD205="me","not NVP, by",IF(AD205="",IF(G205&gt;0,(VLOOKUP(A205,'Discount Lookup'!J:K,2)*G205*(1-$AC$1786)*(1+$AC$1788)),""),"")),"not NVP, by"))))))))</f>
        <v/>
      </c>
      <c r="AC205" s="830"/>
      <c r="AD205" s="375" t="str">
        <f t="shared" si="498"/>
        <v/>
      </c>
      <c r="AE205" s="833" t="str">
        <f>IF(G205&gt;0,(CONCATENATE((G205)," quantity, ",(A205)," ",B205)),"")</f>
        <v/>
      </c>
      <c r="AF205" s="833"/>
      <c r="AG205" s="833"/>
      <c r="AH205" s="91">
        <f>IF(AD205="free",0,IF(AD205="me",0,IF(G205&gt;0,(VLOOKUP(A205,'Discount Lookup'!J:K,2)*G205),0)))</f>
        <v>0</v>
      </c>
      <c r="AI205" s="92" t="str">
        <f t="shared" si="523"/>
        <v/>
      </c>
      <c r="AJ205" s="828" t="str">
        <f t="shared" si="463"/>
        <v/>
      </c>
      <c r="AK205" s="828"/>
      <c r="AL205" s="313" t="str">
        <f t="shared" si="573"/>
        <v/>
      </c>
      <c r="AM205" s="312"/>
      <c r="AN205" s="101"/>
      <c r="AO205" s="101"/>
      <c r="AP205" s="101"/>
      <c r="AQ205" s="101"/>
      <c r="AR205" s="101"/>
      <c r="AS205" s="101"/>
      <c r="AT205" s="101"/>
    </row>
    <row r="206" spans="1:46" ht="12.95" customHeight="1">
      <c r="A206" s="447">
        <v>3</v>
      </c>
      <c r="B206" s="87" t="s">
        <v>50</v>
      </c>
      <c r="C206" s="128" t="s">
        <v>88</v>
      </c>
      <c r="D206" s="129" t="s">
        <v>62</v>
      </c>
      <c r="E206" s="98">
        <v>40.950000000000003</v>
      </c>
      <c r="F206" s="705" t="s">
        <v>1306</v>
      </c>
      <c r="G206" s="357">
        <v>0</v>
      </c>
      <c r="H206" s="704" t="str">
        <f t="shared" si="574"/>
        <v/>
      </c>
      <c r="I206" s="98">
        <f t="shared" si="575"/>
        <v>0</v>
      </c>
      <c r="J206" s="98">
        <f>IF(H206="warranty",0,(I206*($J$1782)))</f>
        <v>0</v>
      </c>
      <c r="K206" s="831">
        <f t="shared" si="576"/>
        <v>0</v>
      </c>
      <c r="L206" s="831"/>
      <c r="M206" s="832" t="str">
        <f>IF($H$1784=0,"",IF(G206=0,"",IF(F206="Qty=",CONCATENATE("$",ROUND(K206*(1-$H$1784),2)," with ",($H$1784*100),"% discount"),CONCATENATE("$",ROUND(K206*(1-$H$1784),2)," with ",(($H$1784*100+F206*100)-($H$1784*100*F206)),IF(F206&gt;0,"% discounts",IF($H$1781&gt;0,"% discounts","% discount"))))))</f>
        <v/>
      </c>
      <c r="N206" s="832"/>
      <c r="O206" s="832"/>
      <c r="P206" s="832"/>
      <c r="Q206" s="832"/>
      <c r="R206" s="832"/>
      <c r="S206" s="303">
        <f t="shared" ref="S206" si="579">E206*G206</f>
        <v>0</v>
      </c>
      <c r="T206" s="541">
        <f>VLOOKUP(A206,'Discount Lookup'!D:E,2,FALSE)*G206</f>
        <v>0</v>
      </c>
      <c r="U206" s="83">
        <f>VLOOKUP(A206,'Discount Lookup'!G:H,2,FALSE)*G206</f>
        <v>0</v>
      </c>
      <c r="V206" s="100">
        <f>E206*($J$1782)*G206</f>
        <v>0</v>
      </c>
      <c r="W206" s="100">
        <f t="shared" ref="W206" si="580">I206</f>
        <v>0</v>
      </c>
      <c r="X206" s="100" t="b">
        <f>IF(G206&gt;0,IF(AD206="me","",G206))</f>
        <v>0</v>
      </c>
      <c r="Y206" s="201"/>
      <c r="Z206" s="829" t="str">
        <f t="shared" si="462"/>
        <v/>
      </c>
      <c r="AA206" s="829"/>
      <c r="AB206" s="830" t="str">
        <f>IF(G206=0,"",IF(AD206="free","re-planting",IF(AD206="me","not NVP, by",IF($AD$8="yes",(VLOOKUP(A206,'Discount Lookup'!J:K,2)*G206*(1-$AC$1786)*(1+$AC$1788)),IF(AD206="NVP",(VLOOKUP(A206,'Discount Lookup'!J:K,2)*G206*(1-$AC$1786)*(1+$AC$1788)),IF(AD206="free","re-planting",IF(G206=0,"",IF($AD$8="",IF(AD206="me","not NVP, by",IF(AD206="",IF(G206&gt;0,(VLOOKUP(A206,'Discount Lookup'!J:K,2)*G206*(1-$AC$1786)*(1+$AC$1788)),""),"")),"not NVP, by"))))))))</f>
        <v/>
      </c>
      <c r="AC206" s="830"/>
      <c r="AD206" s="375" t="str">
        <f t="shared" si="498"/>
        <v/>
      </c>
      <c r="AE206" s="833" t="str">
        <f>IF(G206&gt;0,(CONCATENATE((G206)," quantity, ",(A206)," ",B206)),"")</f>
        <v/>
      </c>
      <c r="AF206" s="833"/>
      <c r="AG206" s="833"/>
      <c r="AH206" s="91">
        <f>IF(AD206="free",0,IF(AD206="me",0,IF(G206&gt;0,(VLOOKUP(A206,'Discount Lookup'!J:K,2)*G206),0)))</f>
        <v>0</v>
      </c>
      <c r="AI206" s="92" t="str">
        <f t="shared" si="523"/>
        <v/>
      </c>
      <c r="AJ206" s="828" t="str">
        <f t="shared" si="463"/>
        <v/>
      </c>
      <c r="AK206" s="828"/>
      <c r="AL206" s="313" t="str">
        <f t="shared" si="573"/>
        <v/>
      </c>
      <c r="AM206" s="312"/>
      <c r="AN206" s="101"/>
      <c r="AO206" s="101"/>
      <c r="AP206" s="101"/>
      <c r="AQ206" s="101"/>
      <c r="AR206" s="101"/>
      <c r="AS206" s="101"/>
      <c r="AT206" s="101"/>
    </row>
    <row r="207" spans="1:46" ht="12.95" customHeight="1">
      <c r="A207" s="447">
        <v>10</v>
      </c>
      <c r="B207" s="87" t="s">
        <v>50</v>
      </c>
      <c r="C207" s="128" t="s">
        <v>1208</v>
      </c>
      <c r="D207" s="129" t="s">
        <v>62</v>
      </c>
      <c r="E207" s="98">
        <v>68.95</v>
      </c>
      <c r="F207" s="705" t="s">
        <v>1306</v>
      </c>
      <c r="G207" s="357">
        <v>0</v>
      </c>
      <c r="H207" s="704" t="str">
        <f t="shared" si="574"/>
        <v/>
      </c>
      <c r="I207" s="98">
        <f t="shared" si="575"/>
        <v>0</v>
      </c>
      <c r="J207" s="98">
        <f>IF(H207="warranty",0,(I207*($J$1782)))</f>
        <v>0</v>
      </c>
      <c r="K207" s="831">
        <f t="shared" si="576"/>
        <v>0</v>
      </c>
      <c r="L207" s="831"/>
      <c r="M207" s="832" t="str">
        <f>IF($H$1784=0,"",IF(G207=0,"",IF(F207="Qty=",CONCATENATE("$",ROUND(K207*(1-$H$1784),2)," with ",($H$1784*100),"% discount"),CONCATENATE("$",ROUND(K207*(1-$H$1784),2)," with ",(($H$1784*100+F207*100)-($H$1784*100*F207)),IF(F207&gt;0,"% discounts",IF($H$1781&gt;0,"% discounts","% discount"))))))</f>
        <v/>
      </c>
      <c r="N207" s="832"/>
      <c r="O207" s="832"/>
      <c r="P207" s="832"/>
      <c r="Q207" s="832"/>
      <c r="R207" s="832"/>
      <c r="S207" s="303">
        <f t="shared" ref="S207" si="581">E207*G207</f>
        <v>0</v>
      </c>
      <c r="T207" s="541">
        <f>VLOOKUP(A207,'Discount Lookup'!D:E,2,FALSE)*G207</f>
        <v>0</v>
      </c>
      <c r="U207" s="83">
        <f>VLOOKUP(A207,'Discount Lookup'!G:H,2,FALSE)*G207</f>
        <v>0</v>
      </c>
      <c r="V207" s="100">
        <f>E207*($J$1782)*G207</f>
        <v>0</v>
      </c>
      <c r="W207" s="100">
        <f t="shared" ref="W207" si="582">I207</f>
        <v>0</v>
      </c>
      <c r="X207" s="100" t="b">
        <f>IF(G207&gt;0,IF(AD207="me","",G207))</f>
        <v>0</v>
      </c>
      <c r="Y207" s="201"/>
      <c r="Z207" s="829" t="str">
        <f t="shared" si="462"/>
        <v/>
      </c>
      <c r="AA207" s="829"/>
      <c r="AB207" s="830" t="str">
        <f>IF(G207=0,"",IF(AD207="free","re-planting",IF(AD207="me","not NVP, by",IF($AD$8="yes",(VLOOKUP(A207,'Discount Lookup'!J:K,2)*G207*(1-$AC$1786)*(1+$AC$1788)),IF(AD207="NVP",(VLOOKUP(A207,'Discount Lookup'!J:K,2)*G207*(1-$AC$1786)*(1+$AC$1788)),IF(AD207="free","re-planting",IF(G207=0,"",IF($AD$8="",IF(AD207="me","not NVP, by",IF(AD207="",IF(G207&gt;0,(VLOOKUP(A207,'Discount Lookup'!J:K,2)*G207*(1-$AC$1786)*(1+$AC$1788)),""),"")),"not NVP, by"))))))))</f>
        <v/>
      </c>
      <c r="AC207" s="830"/>
      <c r="AD207" s="375" t="str">
        <f t="shared" si="498"/>
        <v/>
      </c>
      <c r="AE207" s="833" t="str">
        <f>IF(G207&gt;0,(CONCATENATE((G207)," quantity, ",(A207)," ",B207)),"")</f>
        <v/>
      </c>
      <c r="AF207" s="833"/>
      <c r="AG207" s="833"/>
      <c r="AH207" s="91">
        <f>IF(AD207="free",0,IF(AD207="me",0,IF(G207&gt;0,(VLOOKUP(A207,'Discount Lookup'!J:K,2)*G207),0)))</f>
        <v>0</v>
      </c>
      <c r="AI207" s="92" t="str">
        <f t="shared" si="523"/>
        <v/>
      </c>
      <c r="AJ207" s="828" t="str">
        <f t="shared" si="463"/>
        <v/>
      </c>
      <c r="AK207" s="828"/>
      <c r="AL207" s="313" t="str">
        <f t="shared" si="573"/>
        <v/>
      </c>
      <c r="AM207" s="312"/>
      <c r="AN207" s="101"/>
      <c r="AO207" s="101"/>
      <c r="AP207" s="101"/>
      <c r="AQ207" s="101"/>
      <c r="AR207" s="101"/>
      <c r="AS207" s="101"/>
      <c r="AT207" s="101"/>
    </row>
    <row r="208" spans="1:46" ht="12.95" customHeight="1">
      <c r="A208" s="504"/>
      <c r="B208" s="150" t="s">
        <v>201</v>
      </c>
      <c r="C208" s="130"/>
      <c r="D208" s="104"/>
      <c r="E208" s="131"/>
      <c r="F208" s="710"/>
      <c r="G208" s="356"/>
      <c r="H208" s="744"/>
      <c r="I208" s="131"/>
      <c r="J208" s="840"/>
      <c r="K208" s="840"/>
      <c r="L208" s="840"/>
      <c r="M208" s="48"/>
      <c r="N208" s="122" t="s">
        <v>162</v>
      </c>
      <c r="O208" s="123"/>
      <c r="P208" s="124"/>
      <c r="Q208" s="124"/>
      <c r="R208" s="48"/>
      <c r="S208" s="48"/>
      <c r="T208" s="546"/>
      <c r="V208" s="100" t="b">
        <f>IF(G208&gt;0,IF(AD208="me","",G208))</f>
        <v>0</v>
      </c>
      <c r="W208" s="100"/>
      <c r="X208" s="100"/>
      <c r="Y208" s="201"/>
      <c r="Z208" s="829" t="str">
        <f t="shared" si="462"/>
        <v/>
      </c>
      <c r="AA208" s="829"/>
      <c r="AB208" s="830" t="str">
        <f>IF(G208=0,"",IF(AD208="free","re-planting",IF(AD208="me","not NVP, by",IF($AD$8="yes",(VLOOKUP(A208,'Discount Lookup'!J:K,2)*G208*(1-$AC$1786)*(1+$AC$1788)),IF(AD208="NVP",(VLOOKUP(A208,'Discount Lookup'!J:K,2)*G208*(1-$AC$1786)*(1+$AC$1788)),IF(AD208="free","re-planting",IF(G208=0,"",IF($AD$8="",IF(AD208="me","not NVP, by",IF(AD208="",IF(G208&gt;0,(VLOOKUP(A208,'Discount Lookup'!J:K,2)*G208*(1-$AC$1786)*(1+$AC$1788)),""),"")),"not NVP, by"))))))))</f>
        <v/>
      </c>
      <c r="AC208" s="830"/>
      <c r="AD208" s="375" t="str">
        <f t="shared" si="498"/>
        <v/>
      </c>
      <c r="AE208" s="833" t="str">
        <f>IF(G208&gt;0,(CONCATENATE((G208)," quantity, ",(A208)," ",B208)),"")</f>
        <v/>
      </c>
      <c r="AF208" s="833"/>
      <c r="AG208" s="833"/>
      <c r="AH208" s="91">
        <f>IF(AD208="free",0,IF(AD208="me",0,IF(G208&gt;0,(VLOOKUP(A208,'Discount Lookup'!J:K,2)*G208),0)))</f>
        <v>0</v>
      </c>
      <c r="AI208" s="92" t="str">
        <f t="shared" si="523"/>
        <v/>
      </c>
      <c r="AJ208" s="828" t="str">
        <f t="shared" si="463"/>
        <v/>
      </c>
      <c r="AK208" s="828"/>
      <c r="AL208" s="313" t="str">
        <f t="shared" si="573"/>
        <v/>
      </c>
      <c r="AM208" s="312"/>
      <c r="AN208" s="101"/>
      <c r="AO208" s="101"/>
      <c r="AP208" s="101"/>
      <c r="AQ208" s="101"/>
      <c r="AR208" s="101"/>
      <c r="AS208" s="101"/>
      <c r="AT208" s="101"/>
    </row>
    <row r="209" spans="1:46" ht="12.95" customHeight="1">
      <c r="A209" s="847" t="s">
        <v>202</v>
      </c>
      <c r="B209" s="848"/>
      <c r="C209" s="848"/>
      <c r="D209" s="848"/>
      <c r="E209" s="848"/>
      <c r="F209" s="848"/>
      <c r="G209" s="848"/>
      <c r="H209" s="770" t="s">
        <v>203</v>
      </c>
      <c r="I209" s="88" t="s">
        <v>79</v>
      </c>
      <c r="J209" s="86"/>
      <c r="K209" s="603" t="s">
        <v>45</v>
      </c>
      <c r="L209" s="601" t="s">
        <v>46</v>
      </c>
      <c r="M209" s="86"/>
      <c r="N209" s="87" t="s">
        <v>75</v>
      </c>
      <c r="O209" s="87"/>
      <c r="P209" s="87"/>
      <c r="Q209" s="87"/>
      <c r="R209" s="86"/>
      <c r="S209" s="125"/>
      <c r="T209" s="543"/>
      <c r="U209" s="112"/>
      <c r="V209" s="100" t="b">
        <f>IF(G209&gt;0,IF(AD209="me","",G209))</f>
        <v>0</v>
      </c>
      <c r="W209" s="100"/>
      <c r="X209" s="100"/>
      <c r="Y209" s="201"/>
      <c r="Z209" s="829" t="str">
        <f t="shared" si="462"/>
        <v/>
      </c>
      <c r="AA209" s="829"/>
      <c r="AB209" s="830" t="str">
        <f>IF(G209=0,"",IF(AD209="free","re-planting",IF(AD209="me","not NVP, by",IF($AD$8="yes",(VLOOKUP(A209,'Discount Lookup'!J:K,2)*G209*(1-$AC$1786)*(1+$AC$1788)),IF(AD209="NVP",(VLOOKUP(A209,'Discount Lookup'!J:K,2)*G209*(1-$AC$1786)*(1+$AC$1788)),IF(AD209="free","re-planting",IF(G209=0,"",IF($AD$8="",IF(AD209="me","not NVP, by",IF(AD209="",IF(G209&gt;0,(VLOOKUP(A209,'Discount Lookup'!J:K,2)*G209*(1-$AC$1786)*(1+$AC$1788)),""),"")),"not NVP, by"))))))))</f>
        <v/>
      </c>
      <c r="AC209" s="830"/>
      <c r="AD209" s="375" t="str">
        <f t="shared" si="498"/>
        <v/>
      </c>
      <c r="AE209" s="833" t="str">
        <f t="shared" si="375"/>
        <v/>
      </c>
      <c r="AF209" s="833"/>
      <c r="AG209" s="833"/>
      <c r="AH209" s="91">
        <f>IF(AD209="free",0,IF(AD209="me",0,IF(G209&gt;0,(VLOOKUP(A209,'Discount Lookup'!J:K,2)*G209),0)))</f>
        <v>0</v>
      </c>
      <c r="AI209" s="92" t="str">
        <f t="shared" si="523"/>
        <v/>
      </c>
      <c r="AJ209" s="828" t="str">
        <f t="shared" si="463"/>
        <v/>
      </c>
      <c r="AK209" s="828"/>
      <c r="AL209" s="313" t="str">
        <f t="shared" si="573"/>
        <v/>
      </c>
      <c r="AM209" s="312"/>
      <c r="AN209" s="101"/>
      <c r="AO209" s="101"/>
      <c r="AP209" s="101"/>
      <c r="AQ209" s="101"/>
      <c r="AR209" s="101"/>
      <c r="AS209" s="101"/>
      <c r="AT209" s="101"/>
    </row>
    <row r="210" spans="1:46" ht="12.95" customHeight="1">
      <c r="A210" s="419">
        <v>10</v>
      </c>
      <c r="B210" s="87" t="s">
        <v>50</v>
      </c>
      <c r="C210" s="128" t="s">
        <v>1211</v>
      </c>
      <c r="D210" s="129" t="s">
        <v>62</v>
      </c>
      <c r="E210" s="98">
        <v>83.95</v>
      </c>
      <c r="F210" s="705" t="s">
        <v>1306</v>
      </c>
      <c r="G210" s="357">
        <v>0</v>
      </c>
      <c r="H210" s="704" t="str">
        <f t="shared" ref="H210:H212" si="583">IF(G210=0,"",IF(F210="Qty=",IF(G210=1,"plant","plants"),IF(F210&gt;0.0001,"warranty","Error")))</f>
        <v/>
      </c>
      <c r="I210" s="98">
        <f t="shared" ref="I210:I212" si="584">IF(F210="Qty=",(E210*G210),((E210*(1-F210))*G210))</f>
        <v>0</v>
      </c>
      <c r="J210" s="98">
        <f>IF(H210="warranty",0,(I210*($J$1782)))</f>
        <v>0</v>
      </c>
      <c r="K210" s="831">
        <f t="shared" ref="K210:K212" si="585">I210+J210</f>
        <v>0</v>
      </c>
      <c r="L210" s="831"/>
      <c r="M210" s="832" t="str">
        <f>IF($H$1784=0,"",IF(G210=0,"",IF(F210="Qty=",CONCATENATE("$",ROUND(K210*(1-$H$1784),2)," with ",($H$1784*100),"% discount"),CONCATENATE("$",ROUND(K210*(1-$H$1784),2)," with ",(($H$1784*100+F210*100)-($H$1784*100*F210)),IF(F210&gt;0,"% discounts",IF($H$1781&gt;0,"% discounts","% discount"))))))</f>
        <v/>
      </c>
      <c r="N210" s="832"/>
      <c r="O210" s="832"/>
      <c r="P210" s="832"/>
      <c r="Q210" s="832"/>
      <c r="R210" s="832"/>
      <c r="S210" s="303">
        <f t="shared" ref="S210:S212" si="586">E210*G210</f>
        <v>0</v>
      </c>
      <c r="T210" s="541">
        <f>VLOOKUP(A210,'Discount Lookup'!D:E,2,FALSE)*G210</f>
        <v>0</v>
      </c>
      <c r="U210" s="83">
        <f>VLOOKUP(A210,'Discount Lookup'!G:H,2,FALSE)*G210</f>
        <v>0</v>
      </c>
      <c r="V210" s="100">
        <f>E210*($J$1782)*G210</f>
        <v>0</v>
      </c>
      <c r="W210" s="100">
        <f t="shared" ref="W210:W212" si="587">I210</f>
        <v>0</v>
      </c>
      <c r="X210" s="100" t="b">
        <f>IF(G210&gt;0,IF(AD210="me","",G210))</f>
        <v>0</v>
      </c>
      <c r="Y210" s="201"/>
      <c r="Z210" s="829" t="str">
        <f t="shared" si="462"/>
        <v/>
      </c>
      <c r="AA210" s="829"/>
      <c r="AB210" s="830" t="str">
        <f>IF(G210=0,"",IF(AD210="free","re-planting",IF(AD210="me","not NVP, by",IF($AD$8="yes",(VLOOKUP(A210,'Discount Lookup'!J:K,2)*G210*(1-$AC$1786)*(1+$AC$1788)),IF(AD210="NVP",(VLOOKUP(A210,'Discount Lookup'!J:K,2)*G210*(1-$AC$1786)*(1+$AC$1788)),IF(AD210="free","re-planting",IF(G210=0,"",IF($AD$8="",IF(AD210="me","not NVP, by",IF(AD210="",IF(G210&gt;0,(VLOOKUP(A210,'Discount Lookup'!J:K,2)*G210*(1-$AC$1786)*(1+$AC$1788)),""),"")),"not NVP, by"))))))))</f>
        <v/>
      </c>
      <c r="AC210" s="830"/>
      <c r="AD210" s="375" t="str">
        <f t="shared" si="498"/>
        <v/>
      </c>
      <c r="AE210" s="833" t="str">
        <f t="shared" si="375"/>
        <v/>
      </c>
      <c r="AF210" s="833"/>
      <c r="AG210" s="833"/>
      <c r="AH210" s="91">
        <f>IF(AD210="free",0,IF(AD210="me",0,IF(G210&gt;0,(VLOOKUP(A210,'Discount Lookup'!J:K,2)*G210),0)))</f>
        <v>0</v>
      </c>
      <c r="AI210" s="92" t="str">
        <f t="shared" si="523"/>
        <v/>
      </c>
      <c r="AJ210" s="828" t="str">
        <f t="shared" si="463"/>
        <v/>
      </c>
      <c r="AK210" s="828"/>
      <c r="AL210" s="313" t="str">
        <f t="shared" si="573"/>
        <v/>
      </c>
      <c r="AM210" s="312"/>
      <c r="AN210" s="101"/>
      <c r="AO210" s="101"/>
      <c r="AP210" s="101"/>
      <c r="AQ210" s="101"/>
      <c r="AR210" s="101"/>
      <c r="AS210" s="101"/>
      <c r="AT210" s="101"/>
    </row>
    <row r="211" spans="1:46" ht="12.95" customHeight="1">
      <c r="A211" s="419">
        <v>25</v>
      </c>
      <c r="B211" s="87" t="s">
        <v>50</v>
      </c>
      <c r="C211" s="128" t="s">
        <v>1278</v>
      </c>
      <c r="D211" s="129" t="s">
        <v>54</v>
      </c>
      <c r="E211" s="98">
        <v>367.95</v>
      </c>
      <c r="F211" s="705" t="s">
        <v>1306</v>
      </c>
      <c r="G211" s="357">
        <v>0</v>
      </c>
      <c r="H211" s="704" t="str">
        <f t="shared" si="583"/>
        <v/>
      </c>
      <c r="I211" s="98">
        <f t="shared" si="584"/>
        <v>0</v>
      </c>
      <c r="J211" s="98">
        <f>IF(H211="warranty",0,(I211*($J$1782)))</f>
        <v>0</v>
      </c>
      <c r="K211" s="831">
        <f t="shared" si="585"/>
        <v>0</v>
      </c>
      <c r="L211" s="831"/>
      <c r="M211" s="832" t="str">
        <f>IF($H$1784=0,"",IF(G211=0,"",IF(F211="Qty=",CONCATENATE("$",ROUND(K211*(1-$H$1784),2)," with ",($H$1784*100),"% discount"),CONCATENATE("$",ROUND(K211*(1-$H$1784),2)," with ",(($H$1784*100+F211*100)-($H$1784*100*F211)),IF(F211&gt;0,"% discounts",IF($H$1781&gt;0,"% discounts","% discount"))))))</f>
        <v/>
      </c>
      <c r="N211" s="832"/>
      <c r="O211" s="832"/>
      <c r="P211" s="832"/>
      <c r="Q211" s="832"/>
      <c r="R211" s="832"/>
      <c r="S211" s="303">
        <f t="shared" ref="S211" si="588">E211*G211</f>
        <v>0</v>
      </c>
      <c r="T211" s="541">
        <f>VLOOKUP(A211,'Discount Lookup'!D:E,2,FALSE)*G211</f>
        <v>0</v>
      </c>
      <c r="U211" s="83">
        <f>VLOOKUP(A211,'Discount Lookup'!G:H,2,FALSE)*G211</f>
        <v>0</v>
      </c>
      <c r="V211" s="100">
        <f>E211*($J$1782)*G211</f>
        <v>0</v>
      </c>
      <c r="W211" s="100">
        <f t="shared" ref="W211" si="589">I211</f>
        <v>0</v>
      </c>
      <c r="X211" s="100" t="b">
        <f>IF(G211&gt;0,IF(AD211="me","",G211))</f>
        <v>0</v>
      </c>
      <c r="Y211" s="201"/>
      <c r="Z211" s="829" t="str">
        <f t="shared" si="462"/>
        <v/>
      </c>
      <c r="AA211" s="829"/>
      <c r="AB211" s="830" t="str">
        <f>IF(G211=0,"",IF(AD211="free","re-planting",IF(AD211="me","not NVP, by",IF($AD$8="yes",(VLOOKUP(A211,'Discount Lookup'!J:K,2)*G211*(1-$AC$1786)*(1+$AC$1788)),IF(AD211="NVP",(VLOOKUP(A211,'Discount Lookup'!J:K,2)*G211*(1-$AC$1786)*(1+$AC$1788)),IF(AD211="free","re-planting",IF(G211=0,"",IF($AD$8="",IF(AD211="me","not NVP, by",IF(AD211="",IF(G211&gt;0,(VLOOKUP(A211,'Discount Lookup'!J:K,2)*G211*(1-$AC$1786)*(1+$AC$1788)),""),"")),"not NVP, by"))))))))</f>
        <v/>
      </c>
      <c r="AC211" s="830"/>
      <c r="AD211" s="375" t="str">
        <f t="shared" si="498"/>
        <v/>
      </c>
      <c r="AE211" s="833" t="str">
        <f t="shared" ref="AE211" si="590">IF(G211&gt;0,(CONCATENATE((G211)," quantity, ",(A211)," ",B211)),"")</f>
        <v/>
      </c>
      <c r="AF211" s="833"/>
      <c r="AG211" s="833"/>
      <c r="AH211" s="91">
        <f>IF(AD211="free",0,IF(AD211="me",0,IF(G211&gt;0,(VLOOKUP(A211,'Discount Lookup'!J:K,2)*G211),0)))</f>
        <v>0</v>
      </c>
      <c r="AI211" s="92" t="str">
        <f t="shared" si="523"/>
        <v/>
      </c>
      <c r="AJ211" s="828" t="str">
        <f t="shared" si="463"/>
        <v/>
      </c>
      <c r="AK211" s="828"/>
      <c r="AL211" s="313" t="str">
        <f t="shared" si="573"/>
        <v/>
      </c>
      <c r="AM211" s="312"/>
      <c r="AN211" s="101"/>
      <c r="AO211" s="101"/>
      <c r="AP211" s="101"/>
      <c r="AQ211" s="101"/>
      <c r="AR211" s="101"/>
      <c r="AS211" s="101"/>
      <c r="AT211" s="101"/>
    </row>
    <row r="212" spans="1:46" ht="12.95" customHeight="1">
      <c r="A212" s="419">
        <v>65</v>
      </c>
      <c r="B212" s="87" t="s">
        <v>50</v>
      </c>
      <c r="C212" s="128" t="s">
        <v>204</v>
      </c>
      <c r="D212" s="129" t="s">
        <v>54</v>
      </c>
      <c r="E212" s="98">
        <v>710.95</v>
      </c>
      <c r="F212" s="705" t="s">
        <v>1306</v>
      </c>
      <c r="G212" s="357">
        <v>0</v>
      </c>
      <c r="H212" s="704" t="str">
        <f t="shared" si="583"/>
        <v/>
      </c>
      <c r="I212" s="98">
        <f t="shared" si="584"/>
        <v>0</v>
      </c>
      <c r="J212" s="98">
        <f>IF(H212="warranty",0,(I212*($J$1782)))</f>
        <v>0</v>
      </c>
      <c r="K212" s="831">
        <f t="shared" si="585"/>
        <v>0</v>
      </c>
      <c r="L212" s="831"/>
      <c r="M212" s="832" t="str">
        <f>IF($H$1784=0,"",IF(G212=0,"",IF(F212="Qty=",CONCATENATE("$",ROUND(K212*(1-$H$1784),2)," with ",($H$1784*100),"% discount"),CONCATENATE("$",ROUND(K212*(1-$H$1784),2)," with ",(($H$1784*100+F212*100)-($H$1784*100*F212)),IF(F212&gt;0,"% discounts",IF($H$1781&gt;0,"% discounts","% discount"))))))</f>
        <v/>
      </c>
      <c r="N212" s="832"/>
      <c r="O212" s="832"/>
      <c r="P212" s="832"/>
      <c r="Q212" s="832"/>
      <c r="R212" s="832"/>
      <c r="S212" s="303">
        <f t="shared" si="586"/>
        <v>0</v>
      </c>
      <c r="T212" s="541">
        <f>VLOOKUP(A212,'Discount Lookup'!D:E,2,FALSE)*G212</f>
        <v>0</v>
      </c>
      <c r="U212" s="83">
        <f>VLOOKUP(A212,'Discount Lookup'!G:H,2,FALSE)*G212</f>
        <v>0</v>
      </c>
      <c r="V212" s="100">
        <f>E212*($J$1782)*G212</f>
        <v>0</v>
      </c>
      <c r="W212" s="100">
        <f t="shared" si="587"/>
        <v>0</v>
      </c>
      <c r="X212" s="100" t="b">
        <f>IF(G212&gt;0,IF(AD212="me","",G212))</f>
        <v>0</v>
      </c>
      <c r="Y212" s="201"/>
      <c r="Z212" s="829" t="str">
        <f t="shared" si="462"/>
        <v/>
      </c>
      <c r="AA212" s="829"/>
      <c r="AB212" s="830" t="str">
        <f>IF(G212=0,"",IF(AD212="free","re-planting",IF(AD212="me","not NVP, by",IF($AD$8="yes",(VLOOKUP(A212,'Discount Lookup'!J:K,2)*G212*(1-$AC$1786)*(1+$AC$1788)),IF(AD212="NVP",(VLOOKUP(A212,'Discount Lookup'!J:K,2)*G212*(1-$AC$1786)*(1+$AC$1788)),IF(AD212="free","re-planting",IF(G212=0,"",IF($AD$8="",IF(AD212="me","not NVP, by",IF(AD212="",IF(G212&gt;0,(VLOOKUP(A212,'Discount Lookup'!J:K,2)*G212*(1-$AC$1786)*(1+$AC$1788)),""),"")),"not NVP, by"))))))))</f>
        <v/>
      </c>
      <c r="AC212" s="830"/>
      <c r="AD212" s="375" t="str">
        <f t="shared" si="498"/>
        <v/>
      </c>
      <c r="AE212" s="833" t="str">
        <f t="shared" si="375"/>
        <v/>
      </c>
      <c r="AF212" s="833"/>
      <c r="AG212" s="833"/>
      <c r="AH212" s="91">
        <f>IF(AD212="free",0,IF(AD212="me",0,IF(G212&gt;0,(VLOOKUP(A212,'Discount Lookup'!J:K,2)*G212),0)))</f>
        <v>0</v>
      </c>
      <c r="AI212" s="92" t="str">
        <f t="shared" si="523"/>
        <v/>
      </c>
      <c r="AJ212" s="828" t="str">
        <f t="shared" si="463"/>
        <v/>
      </c>
      <c r="AK212" s="828"/>
      <c r="AL212" s="313" t="str">
        <f t="shared" si="573"/>
        <v/>
      </c>
      <c r="AM212" s="312"/>
      <c r="AN212" s="101"/>
      <c r="AO212" s="101"/>
      <c r="AP212" s="101"/>
      <c r="AQ212" s="101"/>
      <c r="AR212" s="101"/>
      <c r="AS212" s="101"/>
      <c r="AT212" s="101"/>
    </row>
    <row r="213" spans="1:46" ht="12.95" customHeight="1">
      <c r="A213" s="465"/>
      <c r="B213" s="106" t="s">
        <v>205</v>
      </c>
      <c r="E213" s="148" t="s">
        <v>206</v>
      </c>
      <c r="H213" s="363"/>
      <c r="M213" s="121"/>
      <c r="N213" s="163" t="s">
        <v>121</v>
      </c>
      <c r="O213" s="48"/>
      <c r="P213" s="111"/>
      <c r="Q213" s="841" t="s">
        <v>125</v>
      </c>
      <c r="R213" s="841"/>
      <c r="S213" s="841"/>
      <c r="T213" s="841"/>
      <c r="U213" s="841"/>
      <c r="V213" s="841"/>
      <c r="W213" s="100"/>
      <c r="X213" s="100"/>
      <c r="Y213" s="201"/>
      <c r="Z213" s="829" t="str">
        <f t="shared" si="462"/>
        <v/>
      </c>
      <c r="AA213" s="829"/>
      <c r="AB213" s="830" t="str">
        <f>IF(G213=0,"",IF(AD213="free","re-planting",IF(AD213="me","not NVP, by",IF($AD$8="yes",(VLOOKUP(A213,'Discount Lookup'!J:K,2)*G213*(1-$AC$1786)*(1+$AC$1788)),IF(AD213="NVP",(VLOOKUP(A213,'Discount Lookup'!J:K,2)*G213*(1-$AC$1786)*(1+$AC$1788)),IF(AD213="free","re-planting",IF(G213=0,"",IF($AD$8="",IF(AD213="me","not NVP, by",IF(AD213="",IF(G213&gt;0,(VLOOKUP(A213,'Discount Lookup'!J:K,2)*G213*(1-$AC$1786)*(1+$AC$1788)),""),"")),"not NVP, by"))))))))</f>
        <v/>
      </c>
      <c r="AC213" s="830"/>
      <c r="AD213" s="375" t="str">
        <f t="shared" si="498"/>
        <v/>
      </c>
      <c r="AE213" s="833" t="str">
        <f t="shared" si="375"/>
        <v/>
      </c>
      <c r="AF213" s="833"/>
      <c r="AG213" s="833"/>
      <c r="AH213" s="91">
        <f>IF(AD213="free",0,IF(AD213="me",0,IF(G213&gt;0,(VLOOKUP(A213,'Discount Lookup'!J:K,2)*G213),0)))</f>
        <v>0</v>
      </c>
      <c r="AI213" s="92" t="str">
        <f t="shared" si="523"/>
        <v/>
      </c>
      <c r="AJ213" s="828" t="str">
        <f t="shared" si="463"/>
        <v/>
      </c>
      <c r="AK213" s="828"/>
      <c r="AL213" s="313" t="str">
        <f t="shared" si="573"/>
        <v/>
      </c>
      <c r="AM213" s="312"/>
      <c r="AN213" s="101"/>
      <c r="AO213" s="101"/>
      <c r="AP213" s="101"/>
      <c r="AQ213" s="101"/>
      <c r="AR213" s="101"/>
      <c r="AS213" s="101"/>
      <c r="AT213" s="101"/>
    </row>
    <row r="214" spans="1:46" ht="12.95" customHeight="1">
      <c r="A214" s="847" t="s">
        <v>207</v>
      </c>
      <c r="B214" s="848"/>
      <c r="C214" s="848"/>
      <c r="D214" s="848"/>
      <c r="E214" s="848"/>
      <c r="F214" s="848"/>
      <c r="G214" s="848"/>
      <c r="H214" s="770" t="s">
        <v>203</v>
      </c>
      <c r="I214" s="348" t="s">
        <v>44</v>
      </c>
      <c r="J214" s="93"/>
      <c r="K214" s="603" t="s">
        <v>45</v>
      </c>
      <c r="L214" s="601" t="s">
        <v>46</v>
      </c>
      <c r="M214" s="86"/>
      <c r="N214" s="87" t="s">
        <v>69</v>
      </c>
      <c r="O214" s="87"/>
      <c r="P214" s="87"/>
      <c r="Q214" s="87"/>
      <c r="R214" s="86"/>
      <c r="S214" s="125"/>
      <c r="T214" s="543"/>
      <c r="U214" s="89" t="s">
        <v>48</v>
      </c>
      <c r="V214" s="100" t="b">
        <f>IF(G214&gt;0,IF(AD214="me","",G214))</f>
        <v>0</v>
      </c>
      <c r="W214" s="100"/>
      <c r="X214" s="100"/>
      <c r="Y214" s="201"/>
      <c r="Z214" s="829" t="str">
        <f t="shared" si="462"/>
        <v/>
      </c>
      <c r="AA214" s="829"/>
      <c r="AB214" s="830" t="str">
        <f>IF(G214=0,"",IF(AD214="free","re-planting",IF(AD214="me","not NVP, by",IF($AD$8="yes",(VLOOKUP(A214,'Discount Lookup'!J:K,2)*G214*(1-$AC$1786)*(1+$AC$1788)),IF(AD214="NVP",(VLOOKUP(A214,'Discount Lookup'!J:K,2)*G214*(1-$AC$1786)*(1+$AC$1788)),IF(AD214="free","re-planting",IF(G214=0,"",IF($AD$8="",IF(AD214="me","not NVP, by",IF(AD214="",IF(G214&gt;0,(VLOOKUP(A214,'Discount Lookup'!J:K,2)*G214*(1-$AC$1786)*(1+$AC$1788)),""),"")),"not NVP, by"))))))))</f>
        <v/>
      </c>
      <c r="AC214" s="830"/>
      <c r="AD214" s="375" t="str">
        <f t="shared" si="498"/>
        <v/>
      </c>
      <c r="AE214" s="833" t="str">
        <f t="shared" si="375"/>
        <v/>
      </c>
      <c r="AF214" s="833"/>
      <c r="AG214" s="833"/>
      <c r="AH214" s="91">
        <f>IF(AD214="free",0,IF(AD214="me",0,IF(G214&gt;0,(VLOOKUP(A214,'Discount Lookup'!J:K,2)*G214),0)))</f>
        <v>0</v>
      </c>
      <c r="AI214" s="92" t="str">
        <f t="shared" si="523"/>
        <v/>
      </c>
      <c r="AJ214" s="828" t="str">
        <f t="shared" si="463"/>
        <v/>
      </c>
      <c r="AK214" s="828"/>
      <c r="AL214" s="313" t="str">
        <f t="shared" si="573"/>
        <v/>
      </c>
      <c r="AM214" s="312"/>
      <c r="AN214" s="101"/>
      <c r="AO214" s="101"/>
      <c r="AP214" s="101"/>
      <c r="AQ214" s="101"/>
      <c r="AR214" s="101"/>
      <c r="AS214" s="101"/>
      <c r="AT214" s="101"/>
    </row>
    <row r="215" spans="1:46" ht="12.95" customHeight="1">
      <c r="A215" s="419">
        <v>7</v>
      </c>
      <c r="B215" s="87" t="s">
        <v>50</v>
      </c>
      <c r="C215" s="399" t="s">
        <v>80</v>
      </c>
      <c r="D215" s="129" t="s">
        <v>54</v>
      </c>
      <c r="E215" s="98">
        <v>79.95</v>
      </c>
      <c r="F215" s="705" t="s">
        <v>1306</v>
      </c>
      <c r="G215" s="357">
        <v>0</v>
      </c>
      <c r="H215" s="704" t="str">
        <f t="shared" ref="H215:H216" si="591">IF(G215=0,"",IF(F215="Qty=",IF(G215=1,"plant","plants"),IF(F215&gt;0.0001,"warranty","Error")))</f>
        <v/>
      </c>
      <c r="I215" s="98">
        <f t="shared" ref="I215:I216" si="592">IF(F215="Qty=",(E215*G215),((E215*(1-F215))*G215))</f>
        <v>0</v>
      </c>
      <c r="J215" s="98">
        <f>IF(H215="warranty",0,(I215*($J$1782)))</f>
        <v>0</v>
      </c>
      <c r="K215" s="831">
        <f t="shared" ref="K215:K216" si="593">I215+J215</f>
        <v>0</v>
      </c>
      <c r="L215" s="831"/>
      <c r="M215" s="832" t="str">
        <f>IF($H$1784=0,"",IF(G215=0,"",IF(F215="Qty=",CONCATENATE("$",ROUND(K215*(1-$H$1784),2)," with ",($H$1784*100),"% discount"),CONCATENATE("$",ROUND(K215*(1-$H$1784),2)," with ",(($H$1784*100+F215*100)-($H$1784*100*F215)),IF(F215&gt;0,"% discounts",IF($H$1781&gt;0,"% discounts","% discount"))))))</f>
        <v/>
      </c>
      <c r="N215" s="832"/>
      <c r="O215" s="832"/>
      <c r="P215" s="832"/>
      <c r="Q215" s="832"/>
      <c r="R215" s="832"/>
      <c r="S215" s="303">
        <f t="shared" ref="S215:S216" si="594">E215*G215</f>
        <v>0</v>
      </c>
      <c r="T215" s="541">
        <f>VLOOKUP(A215,'Discount Lookup'!D:E,2,FALSE)*G215</f>
        <v>0</v>
      </c>
      <c r="U215" s="83">
        <f>VLOOKUP(A215,'Discount Lookup'!G:H,2,FALSE)*G215</f>
        <v>0</v>
      </c>
      <c r="V215" s="100">
        <f>E215*($J$1782)*G215</f>
        <v>0</v>
      </c>
      <c r="W215" s="100">
        <f t="shared" ref="W215:W216" si="595">I215</f>
        <v>0</v>
      </c>
      <c r="X215" s="100" t="b">
        <f t="shared" ref="X215:X216" si="596">IF(G215&gt;0,IF(AD215="me","",G215))</f>
        <v>0</v>
      </c>
      <c r="Y215" s="201"/>
      <c r="Z215" s="829" t="str">
        <f t="shared" ref="Z215:Z216" si="597">IF(G215=0,"",IF(AD215="me","",IF($AD$8="me","",IF(AD215="free","warranty",IF($AD$8="yes","NVP planting:","to NVP install:")))))</f>
        <v/>
      </c>
      <c r="AA215" s="829"/>
      <c r="AB215" s="830" t="str">
        <f>IF(G215=0,"",IF(AD215="free","re-planting",IF(AD215="me","not NVP, by",IF($AD$8="yes",(VLOOKUP(A215,'Discount Lookup'!J:K,2)*G215*(1-$AC$1786)*(1+$AC$1788)),IF(AD215="NVP",(VLOOKUP(A215,'Discount Lookup'!J:K,2)*G215*(1-$AC$1786)*(1+$AC$1788)),IF(AD215="free","re-planting",IF(G215=0,"",IF($AD$8="",IF(AD215="me","not NVP, by",IF(AD215="",IF(G215&gt;0,(VLOOKUP(A215,'Discount Lookup'!J:K,2)*G215*(1-$AC$1786)*(1+$AC$1788)),""),"")),"not NVP, by"))))))))</f>
        <v/>
      </c>
      <c r="AC215" s="830"/>
      <c r="AD215" s="375" t="str">
        <f t="shared" si="498"/>
        <v/>
      </c>
      <c r="AE215" s="833" t="str">
        <f t="shared" si="375"/>
        <v/>
      </c>
      <c r="AF215" s="833"/>
      <c r="AG215" s="833"/>
      <c r="AH215" s="91">
        <f>IF(AD215="free",0,IF(AD215="me",0,IF(G215&gt;0,(VLOOKUP(A215,'Discount Lookup'!J:K,2)*G215),0)))</f>
        <v>0</v>
      </c>
      <c r="AI215" s="92" t="str">
        <f t="shared" si="523"/>
        <v/>
      </c>
      <c r="AJ215" s="828" t="str">
        <f t="shared" ref="AJ215:AJ216" si="598">IF(G215=0,"",IF(AD215="me","  delivery-only",IF($AD$8="me","  delivery-only",CONCATENATE(" $",ROUND(AI215/G215,2)," each"))))</f>
        <v/>
      </c>
      <c r="AK215" s="828"/>
      <c r="AL215" s="313" t="str">
        <f t="shared" si="573"/>
        <v/>
      </c>
      <c r="AM215" s="312"/>
      <c r="AN215" s="101"/>
      <c r="AO215" s="101"/>
      <c r="AP215" s="101"/>
      <c r="AQ215" s="101"/>
      <c r="AR215" s="101"/>
      <c r="AS215" s="101"/>
      <c r="AT215" s="101"/>
    </row>
    <row r="216" spans="1:46" ht="12.95" customHeight="1">
      <c r="A216" s="419">
        <v>25</v>
      </c>
      <c r="B216" s="87" t="s">
        <v>50</v>
      </c>
      <c r="C216" s="399" t="s">
        <v>358</v>
      </c>
      <c r="D216" s="129" t="s">
        <v>54</v>
      </c>
      <c r="E216" s="98">
        <v>401.95</v>
      </c>
      <c r="F216" s="705" t="s">
        <v>1306</v>
      </c>
      <c r="G216" s="357">
        <v>0</v>
      </c>
      <c r="H216" s="704" t="str">
        <f t="shared" si="591"/>
        <v/>
      </c>
      <c r="I216" s="98">
        <f t="shared" si="592"/>
        <v>0</v>
      </c>
      <c r="J216" s="98">
        <f>IF(H216="warranty",0,(I216*($J$1782)))</f>
        <v>0</v>
      </c>
      <c r="K216" s="831">
        <f t="shared" si="593"/>
        <v>0</v>
      </c>
      <c r="L216" s="831"/>
      <c r="M216" s="832" t="str">
        <f>IF($H$1784=0,"",IF(G216=0,"",IF(F216="Qty=",CONCATENATE("$",ROUND(K216*(1-$H$1784),2)," with ",($H$1784*100),"% discount"),CONCATENATE("$",ROUND(K216*(1-$H$1784),2)," with ",(($H$1784*100+F216*100)-($H$1784*100*F216)),IF(F216&gt;0,"% discounts",IF($H$1781&gt;0,"% discounts","% discount"))))))</f>
        <v/>
      </c>
      <c r="N216" s="832"/>
      <c r="O216" s="832"/>
      <c r="P216" s="832"/>
      <c r="Q216" s="832"/>
      <c r="R216" s="832"/>
      <c r="S216" s="303">
        <f t="shared" si="594"/>
        <v>0</v>
      </c>
      <c r="T216" s="541">
        <f>VLOOKUP(A216,'Discount Lookup'!D:E,2,FALSE)*G216</f>
        <v>0</v>
      </c>
      <c r="U216" s="83">
        <f>VLOOKUP(A216,'Discount Lookup'!G:H,2,FALSE)*G216</f>
        <v>0</v>
      </c>
      <c r="V216" s="100">
        <f>E216*($J$1782)*G216</f>
        <v>0</v>
      </c>
      <c r="W216" s="100">
        <f t="shared" si="595"/>
        <v>0</v>
      </c>
      <c r="X216" s="100" t="b">
        <f t="shared" si="596"/>
        <v>0</v>
      </c>
      <c r="Y216" s="201"/>
      <c r="Z216" s="829" t="str">
        <f t="shared" si="597"/>
        <v/>
      </c>
      <c r="AA216" s="829"/>
      <c r="AB216" s="830" t="str">
        <f>IF(G216=0,"",IF(AD216="free","re-planting",IF(AD216="me","not NVP, by",IF($AD$8="yes",(VLOOKUP(A216,'Discount Lookup'!J:K,2)*G216*(1-$AC$1786)*(1+$AC$1788)),IF(AD216="NVP",(VLOOKUP(A216,'Discount Lookup'!J:K,2)*G216*(1-$AC$1786)*(1+$AC$1788)),IF(AD216="free","re-planting",IF(G216=0,"",IF($AD$8="",IF(AD216="me","not NVP, by",IF(AD216="",IF(G216&gt;0,(VLOOKUP(A216,'Discount Lookup'!J:K,2)*G216*(1-$AC$1786)*(1+$AC$1788)),""),"")),"not NVP, by"))))))))</f>
        <v/>
      </c>
      <c r="AC216" s="830"/>
      <c r="AD216" s="375" t="str">
        <f t="shared" si="498"/>
        <v/>
      </c>
      <c r="AE216" s="833" t="str">
        <f t="shared" si="375"/>
        <v/>
      </c>
      <c r="AF216" s="833"/>
      <c r="AG216" s="833"/>
      <c r="AH216" s="91">
        <f>IF(AD216="free",0,IF(AD216="me",0,IF(G216&gt;0,(VLOOKUP(A216,'Discount Lookup'!J:K,2)*G216),0)))</f>
        <v>0</v>
      </c>
      <c r="AI216" s="92" t="str">
        <f t="shared" si="523"/>
        <v/>
      </c>
      <c r="AJ216" s="828" t="str">
        <f t="shared" si="598"/>
        <v/>
      </c>
      <c r="AK216" s="828"/>
      <c r="AL216" s="313" t="str">
        <f t="shared" si="573"/>
        <v/>
      </c>
      <c r="AM216" s="312"/>
      <c r="AN216" s="101"/>
      <c r="AO216" s="101"/>
      <c r="AP216" s="101"/>
      <c r="AQ216" s="101"/>
      <c r="AR216" s="101"/>
      <c r="AS216" s="101"/>
      <c r="AT216" s="101"/>
    </row>
    <row r="217" spans="1:46" ht="12.95" customHeight="1">
      <c r="A217" s="465"/>
      <c r="B217" s="150" t="s">
        <v>208</v>
      </c>
      <c r="C217" s="130"/>
      <c r="D217" s="104"/>
      <c r="E217" s="131"/>
      <c r="F217" s="710"/>
      <c r="G217" s="356"/>
      <c r="H217" s="744"/>
      <c r="I217" s="131"/>
      <c r="J217" s="131"/>
      <c r="K217" s="608"/>
      <c r="L217" s="608"/>
      <c r="M217" s="840"/>
      <c r="N217" s="840"/>
      <c r="O217" s="123"/>
      <c r="P217" s="124"/>
      <c r="Q217" s="841"/>
      <c r="R217" s="841"/>
      <c r="S217" s="841"/>
      <c r="T217" s="841"/>
      <c r="U217" s="841"/>
      <c r="V217" s="841"/>
      <c r="Y217" s="132"/>
      <c r="Z217" s="829" t="str">
        <f t="shared" si="462"/>
        <v/>
      </c>
      <c r="AA217" s="829"/>
      <c r="AB217" s="830" t="str">
        <f>IF(G217=0,"",IF(AD217="free","re-planting",IF(AD217="me","not NVP, by",IF($AD$8="yes",(VLOOKUP(A217,'Discount Lookup'!J:K,2)*G217*(1-$AC$1786)*(1+$AC$1788)),IF(AD217="NVP",(VLOOKUP(A217,'Discount Lookup'!J:K,2)*G217*(1-$AC$1786)*(1+$AC$1788)),IF(AD217="free","re-planting",IF(G217=0,"",IF($AD$8="",IF(AD217="me","not NVP, by",IF(AD217="",IF(G217&gt;0,(VLOOKUP(A217,'Discount Lookup'!J:K,2)*G217*(1-$AC$1786)*(1+$AC$1788)),""),"")),"not NVP, by"))))))))</f>
        <v/>
      </c>
      <c r="AC217" s="830"/>
      <c r="AD217" s="375" t="str">
        <f t="shared" si="498"/>
        <v/>
      </c>
      <c r="AE217" s="833" t="str">
        <f t="shared" si="375"/>
        <v/>
      </c>
      <c r="AF217" s="833"/>
      <c r="AG217" s="833"/>
      <c r="AH217" s="91">
        <f>IF(AD217="free",0,IF(AD217="me",0,IF(G217&gt;0,(VLOOKUP(A217,'Discount Lookup'!J:K,2)*G217),0)))</f>
        <v>0</v>
      </c>
      <c r="AI217" s="92" t="str">
        <f t="shared" si="523"/>
        <v/>
      </c>
      <c r="AJ217" s="828" t="str">
        <f t="shared" si="463"/>
        <v/>
      </c>
      <c r="AK217" s="828"/>
      <c r="AL217" s="313" t="str">
        <f t="shared" si="573"/>
        <v/>
      </c>
      <c r="AM217" s="312"/>
      <c r="AN217" s="101"/>
      <c r="AO217" s="101"/>
      <c r="AP217" s="101"/>
      <c r="AQ217" s="101"/>
      <c r="AR217" s="101"/>
      <c r="AS217" s="101"/>
      <c r="AT217" s="101"/>
    </row>
    <row r="218" spans="1:46" ht="12.95" customHeight="1">
      <c r="A218" s="847" t="s">
        <v>209</v>
      </c>
      <c r="B218" s="848"/>
      <c r="C218" s="848"/>
      <c r="D218" s="848"/>
      <c r="E218" s="848"/>
      <c r="F218" s="848"/>
      <c r="G218" s="848"/>
      <c r="H218" s="770" t="s">
        <v>210</v>
      </c>
      <c r="I218" s="348" t="s">
        <v>44</v>
      </c>
      <c r="J218" s="93"/>
      <c r="K218" s="600" t="s">
        <v>45</v>
      </c>
      <c r="L218" s="601" t="s">
        <v>46</v>
      </c>
      <c r="M218" s="86"/>
      <c r="N218" s="87" t="s">
        <v>157</v>
      </c>
      <c r="O218" s="133"/>
      <c r="P218" s="133"/>
      <c r="Q218" s="133"/>
      <c r="R218" s="86"/>
      <c r="S218" s="125"/>
      <c r="T218" s="543"/>
      <c r="U218" s="112"/>
      <c r="V218" s="100" t="b">
        <f>IF(G218&gt;0,IF(AD218="me","",G218))</f>
        <v>0</v>
      </c>
      <c r="W218" s="100"/>
      <c r="X218" s="100"/>
      <c r="Y218" s="201"/>
      <c r="Z218" s="829" t="str">
        <f t="shared" si="462"/>
        <v/>
      </c>
      <c r="AA218" s="829"/>
      <c r="AB218" s="830" t="str">
        <f>IF(G218=0,"",IF(AD218="free","re-planting",IF(AD218="me","not NVP, by",IF($AD$8="yes",(VLOOKUP(A218,'Discount Lookup'!J:K,2)*G218*(1-$AC$1786)*(1+$AC$1788)),IF(AD218="NVP",(VLOOKUP(A218,'Discount Lookup'!J:K,2)*G218*(1-$AC$1786)*(1+$AC$1788)),IF(AD218="free","re-planting",IF(G218=0,"",IF($AD$8="",IF(AD218="me","not NVP, by",IF(AD218="",IF(G218&gt;0,(VLOOKUP(A218,'Discount Lookup'!J:K,2)*G218*(1-$AC$1786)*(1+$AC$1788)),""),"")),"not NVP, by"))))))))</f>
        <v/>
      </c>
      <c r="AC218" s="830"/>
      <c r="AD218" s="375" t="str">
        <f t="shared" si="498"/>
        <v/>
      </c>
      <c r="AE218" s="833" t="str">
        <f t="shared" ref="AE218:AE289" si="599">IF(G218&gt;0,(CONCATENATE((G218)," quantity, ",(A218)," ",B218)),"")</f>
        <v/>
      </c>
      <c r="AF218" s="833"/>
      <c r="AG218" s="833"/>
      <c r="AH218" s="91">
        <f>IF(AD218="free",0,IF(AD218="me",0,IF(G218&gt;0,(VLOOKUP(A218,'Discount Lookup'!J:K,2)*G218),0)))</f>
        <v>0</v>
      </c>
      <c r="AI218" s="92" t="str">
        <f t="shared" si="523"/>
        <v/>
      </c>
      <c r="AJ218" s="828" t="str">
        <f t="shared" si="463"/>
        <v/>
      </c>
      <c r="AK218" s="828"/>
      <c r="AL218" s="313" t="str">
        <f t="shared" si="573"/>
        <v/>
      </c>
      <c r="AM218" s="312"/>
      <c r="AN218" s="101"/>
      <c r="AO218" s="101"/>
      <c r="AP218" s="101"/>
      <c r="AQ218" s="101"/>
      <c r="AR218" s="101"/>
      <c r="AS218" s="101"/>
      <c r="AT218" s="101"/>
    </row>
    <row r="219" spans="1:46" ht="12.95" customHeight="1">
      <c r="A219" s="419">
        <v>15</v>
      </c>
      <c r="B219" s="87" t="s">
        <v>50</v>
      </c>
      <c r="C219" s="128" t="s">
        <v>91</v>
      </c>
      <c r="D219" s="129" t="s">
        <v>90</v>
      </c>
      <c r="E219" s="98">
        <v>228.95</v>
      </c>
      <c r="F219" s="705" t="s">
        <v>1306</v>
      </c>
      <c r="G219" s="357">
        <v>0</v>
      </c>
      <c r="H219" s="704" t="str">
        <f t="shared" ref="H219" si="600">IF(G219=0,"",IF(F219="Qty=",IF(G219=1,"plant","plants"),IF(F219&gt;0.0001,"warranty","Error")))</f>
        <v/>
      </c>
      <c r="I219" s="98">
        <f t="shared" ref="I219" si="601">IF(F219="Qty=",(E219*G219),((E219*(1-F219))*G219))</f>
        <v>0</v>
      </c>
      <c r="J219" s="98">
        <f>IF(H219="warranty",0,(I219*($J$1782)))</f>
        <v>0</v>
      </c>
      <c r="K219" s="831">
        <f t="shared" ref="K219" si="602">I219+J219</f>
        <v>0</v>
      </c>
      <c r="L219" s="831"/>
      <c r="M219" s="832" t="str">
        <f>IF($H$1784=0,"",IF(G219=0,"",IF(F219="Qty=",CONCATENATE("$",ROUND(K219*(1-$H$1784),2)," with ",($H$1784*100),"% discount"),CONCATENATE("$",ROUND(K219*(1-$H$1784),2)," with ",(($H$1784*100+F219*100)-($H$1784*100*F219)),IF(F219&gt;0,"% discounts",IF($H$1781&gt;0,"% discounts","% discount"))))))</f>
        <v/>
      </c>
      <c r="N219" s="832"/>
      <c r="O219" s="832"/>
      <c r="P219" s="832"/>
      <c r="Q219" s="832"/>
      <c r="R219" s="832"/>
      <c r="S219" s="303">
        <f t="shared" ref="S219" si="603">E219*G219</f>
        <v>0</v>
      </c>
      <c r="T219" s="541">
        <f>VLOOKUP(A219,'Discount Lookup'!D:E,2,FALSE)*G219</f>
        <v>0</v>
      </c>
      <c r="U219" s="83">
        <f>VLOOKUP(A219,'Discount Lookup'!G:H,2,FALSE)*G219</f>
        <v>0</v>
      </c>
      <c r="V219" s="100">
        <f>E219*($J$1782)*G219</f>
        <v>0</v>
      </c>
      <c r="W219" s="100">
        <f t="shared" ref="W219" si="604">I219</f>
        <v>0</v>
      </c>
      <c r="X219" s="100" t="b">
        <f>IF(G219&gt;0,IF(AD219="me","",G219))</f>
        <v>0</v>
      </c>
      <c r="Y219" s="201"/>
      <c r="Z219" s="829" t="str">
        <f t="shared" si="462"/>
        <v/>
      </c>
      <c r="AA219" s="829"/>
      <c r="AB219" s="830" t="str">
        <f>IF(G219=0,"",IF(AD219="free","re-planting",IF(AD219="me","not NVP, by",IF($AD$8="yes",(VLOOKUP(A219,'Discount Lookup'!J:K,2)*G219*(1-$AC$1786)*(1+$AC$1788)),IF(AD219="NVP",(VLOOKUP(A219,'Discount Lookup'!J:K,2)*G219*(1-$AC$1786)*(1+$AC$1788)),IF(AD219="free","re-planting",IF(G219=0,"",IF($AD$8="",IF(AD219="me","not NVP, by",IF(AD219="",IF(G219&gt;0,(VLOOKUP(A219,'Discount Lookup'!J:K,2)*G219*(1-$AC$1786)*(1+$AC$1788)),""),"")),"not NVP, by"))))))))</f>
        <v/>
      </c>
      <c r="AC219" s="830"/>
      <c r="AD219" s="375" t="str">
        <f t="shared" si="498"/>
        <v/>
      </c>
      <c r="AE219" s="833" t="str">
        <f t="shared" si="599"/>
        <v/>
      </c>
      <c r="AF219" s="833"/>
      <c r="AG219" s="833"/>
      <c r="AH219" s="91">
        <f>IF(AD219="free",0,IF(AD219="me",0,IF(G219&gt;0,(VLOOKUP(A219,'Discount Lookup'!J:K,2)*G219),0)))</f>
        <v>0</v>
      </c>
      <c r="AI219" s="92" t="str">
        <f t="shared" si="523"/>
        <v/>
      </c>
      <c r="AJ219" s="828" t="str">
        <f t="shared" si="463"/>
        <v/>
      </c>
      <c r="AK219" s="828"/>
      <c r="AL219" s="313" t="str">
        <f t="shared" si="573"/>
        <v/>
      </c>
      <c r="AM219" s="312"/>
      <c r="AN219" s="101"/>
      <c r="AO219" s="101"/>
      <c r="AP219" s="101"/>
      <c r="AQ219" s="101"/>
      <c r="AR219" s="101"/>
      <c r="AS219" s="101"/>
      <c r="AT219" s="101"/>
    </row>
    <row r="220" spans="1:46" ht="12.95" customHeight="1">
      <c r="A220" s="465"/>
      <c r="B220" s="103" t="s">
        <v>212</v>
      </c>
      <c r="C220" s="130"/>
      <c r="D220" s="104"/>
      <c r="E220" s="131"/>
      <c r="F220" s="710"/>
      <c r="G220" s="356"/>
      <c r="H220" s="744"/>
      <c r="I220" s="131"/>
      <c r="J220" s="131"/>
      <c r="K220" s="608"/>
      <c r="L220" s="608"/>
      <c r="M220" s="121"/>
      <c r="N220" s="145"/>
      <c r="O220" s="123"/>
      <c r="P220" s="124"/>
      <c r="Q220" s="124"/>
      <c r="R220" s="83"/>
      <c r="S220" s="82">
        <f>E220*G220</f>
        <v>0</v>
      </c>
      <c r="T220" s="540"/>
      <c r="U220" s="83"/>
      <c r="V220" s="100" t="b">
        <f>IF(G220&gt;0,IF(AD220="me","",G220))</f>
        <v>0</v>
      </c>
      <c r="W220" s="100"/>
      <c r="X220" s="100"/>
      <c r="Y220" s="201"/>
      <c r="Z220" s="829" t="str">
        <f t="shared" si="462"/>
        <v/>
      </c>
      <c r="AA220" s="829"/>
      <c r="AB220" s="830" t="str">
        <f>IF(G220=0,"",IF(AD220="free","re-planting",IF(AD220="me","not NVP, by",IF($AD$8="yes",(VLOOKUP(A220,'Discount Lookup'!J:K,2)*G220*(1-$AC$1786)*(1+$AC$1788)),IF(AD220="NVP",(VLOOKUP(A220,'Discount Lookup'!J:K,2)*G220*(1-$AC$1786)*(1+$AC$1788)),IF(AD220="free","re-planting",IF(G220=0,"",IF($AD$8="",IF(AD220="me","not NVP, by",IF(AD220="",IF(G220&gt;0,(VLOOKUP(A220,'Discount Lookup'!J:K,2)*G220*(1-$AC$1786)*(1+$AC$1788)),""),"")),"not NVP, by"))))))))</f>
        <v/>
      </c>
      <c r="AC220" s="830"/>
      <c r="AD220" s="375" t="str">
        <f t="shared" si="498"/>
        <v/>
      </c>
      <c r="AE220" s="833" t="str">
        <f t="shared" si="599"/>
        <v/>
      </c>
      <c r="AF220" s="833"/>
      <c r="AG220" s="833"/>
      <c r="AH220" s="91">
        <f>IF(AD220="free",0,IF(AD220="me",0,IF(G220&gt;0,(VLOOKUP(A220,'Discount Lookup'!J:K,2)*G220),0)))</f>
        <v>0</v>
      </c>
      <c r="AI220" s="92" t="str">
        <f t="shared" si="523"/>
        <v/>
      </c>
      <c r="AJ220" s="828" t="str">
        <f t="shared" si="463"/>
        <v/>
      </c>
      <c r="AK220" s="828"/>
      <c r="AL220" s="313" t="str">
        <f t="shared" si="573"/>
        <v/>
      </c>
      <c r="AM220" s="312"/>
      <c r="AN220" s="101"/>
      <c r="AO220" s="101"/>
      <c r="AP220" s="101"/>
      <c r="AQ220" s="101"/>
      <c r="AR220" s="101"/>
      <c r="AS220" s="101"/>
      <c r="AT220" s="101"/>
    </row>
    <row r="221" spans="1:46" ht="12.95" customHeight="1">
      <c r="A221" s="847" t="s">
        <v>213</v>
      </c>
      <c r="B221" s="848"/>
      <c r="C221" s="848"/>
      <c r="D221" s="848"/>
      <c r="E221" s="848"/>
      <c r="F221" s="848"/>
      <c r="G221" s="848"/>
      <c r="H221" s="770" t="s">
        <v>214</v>
      </c>
      <c r="I221" s="348" t="s">
        <v>44</v>
      </c>
      <c r="J221" s="93"/>
      <c r="K221" s="600" t="s">
        <v>45</v>
      </c>
      <c r="L221" s="601" t="s">
        <v>46</v>
      </c>
      <c r="M221" s="86"/>
      <c r="N221" s="87" t="s">
        <v>157</v>
      </c>
      <c r="O221" s="133"/>
      <c r="P221" s="133"/>
      <c r="Q221" s="133"/>
      <c r="R221" s="835" t="s">
        <v>49</v>
      </c>
      <c r="S221" s="835"/>
      <c r="T221" s="835"/>
      <c r="U221" s="835"/>
      <c r="V221" s="100" t="b">
        <f>IF(G221&gt;0,IF(AD221="me","",G221))</f>
        <v>0</v>
      </c>
      <c r="W221" s="100"/>
      <c r="X221" s="100"/>
      <c r="Y221" s="201"/>
      <c r="Z221" s="829" t="str">
        <f t="shared" si="462"/>
        <v/>
      </c>
      <c r="AA221" s="829"/>
      <c r="AB221" s="830" t="str">
        <f>IF(G221=0,"",IF(AD221="free","re-planting",IF(AD221="me","not NVP, by",IF($AD$8="yes",(VLOOKUP(A221,'Discount Lookup'!J:K,2)*G221*(1-$AC$1786)*(1+$AC$1788)),IF(AD221="NVP",(VLOOKUP(A221,'Discount Lookup'!J:K,2)*G221*(1-$AC$1786)*(1+$AC$1788)),IF(AD221="free","re-planting",IF(G221=0,"",IF($AD$8="",IF(AD221="me","not NVP, by",IF(AD221="",IF(G221&gt;0,(VLOOKUP(A221,'Discount Lookup'!J:K,2)*G221*(1-$AC$1786)*(1+$AC$1788)),""),"")),"not NVP, by"))))))))</f>
        <v/>
      </c>
      <c r="AC221" s="830"/>
      <c r="AD221" s="375" t="str">
        <f t="shared" si="498"/>
        <v/>
      </c>
      <c r="AE221" s="833" t="str">
        <f t="shared" si="599"/>
        <v/>
      </c>
      <c r="AF221" s="833"/>
      <c r="AG221" s="833"/>
      <c r="AH221" s="91">
        <f>IF(AD221="free",0,IF(AD221="me",0,IF(G221&gt;0,(VLOOKUP(A221,'Discount Lookup'!J:K,2)*G221),0)))</f>
        <v>0</v>
      </c>
      <c r="AI221" s="92" t="str">
        <f t="shared" si="523"/>
        <v/>
      </c>
      <c r="AJ221" s="828" t="str">
        <f t="shared" si="463"/>
        <v/>
      </c>
      <c r="AK221" s="828"/>
      <c r="AL221" s="313" t="str">
        <f t="shared" si="573"/>
        <v/>
      </c>
      <c r="AM221" s="312"/>
      <c r="AN221" s="101"/>
      <c r="AO221" s="101"/>
      <c r="AP221" s="101"/>
      <c r="AQ221" s="101"/>
      <c r="AR221" s="101"/>
      <c r="AS221" s="101"/>
      <c r="AT221" s="101"/>
    </row>
    <row r="222" spans="1:46" ht="12.95" customHeight="1">
      <c r="A222" s="419">
        <v>3</v>
      </c>
      <c r="B222" s="87" t="s">
        <v>50</v>
      </c>
      <c r="C222" s="399" t="s">
        <v>136</v>
      </c>
      <c r="D222" s="129" t="s">
        <v>87</v>
      </c>
      <c r="E222" s="98">
        <v>28.95</v>
      </c>
      <c r="F222" s="705" t="s">
        <v>1306</v>
      </c>
      <c r="G222" s="357">
        <v>0</v>
      </c>
      <c r="H222" s="704" t="str">
        <f t="shared" ref="H222:H235" si="605">IF(G222=0,"",IF(F222="Qty=",IF(G222=1,"plant","plants"),IF(F222&gt;0.0001,"warranty","Error")))</f>
        <v/>
      </c>
      <c r="I222" s="98">
        <f t="shared" ref="I222:I235" si="606">IF(F222="Qty=",(E222*G222),((E222*(1-F222))*G222))</f>
        <v>0</v>
      </c>
      <c r="J222" s="98">
        <f t="shared" ref="J222:J235" si="607">IF(H222="warranty",0,(I222*($J$1782)))</f>
        <v>0</v>
      </c>
      <c r="K222" s="831">
        <f t="shared" ref="K222:K235" si="608">I222+J222</f>
        <v>0</v>
      </c>
      <c r="L222" s="831"/>
      <c r="M222" s="832" t="str">
        <f t="shared" ref="M222:M235" si="609">IF($H$1784=0,"",IF(G222=0,"",IF(F222="Qty=",CONCATENATE("$",ROUND(K222*(1-$H$1784),2)," with ",($H$1784*100),"% discount"),CONCATENATE("$",ROUND(K222*(1-$H$1784),2)," with ",(($H$1784*100+F222*100)-($H$1784*100*F222)),IF(F222&gt;0,"% discounts",IF($H$1781&gt;0,"% discounts","% discount"))))))</f>
        <v/>
      </c>
      <c r="N222" s="832"/>
      <c r="O222" s="832"/>
      <c r="P222" s="832"/>
      <c r="Q222" s="832"/>
      <c r="R222" s="832"/>
      <c r="S222" s="303">
        <f t="shared" ref="S222" si="610">E222*G222</f>
        <v>0</v>
      </c>
      <c r="T222" s="541">
        <f>VLOOKUP(A222,'Discount Lookup'!D:E,2,FALSE)*G222</f>
        <v>0</v>
      </c>
      <c r="U222" s="83">
        <f>VLOOKUP(A222,'Discount Lookup'!G:H,2,FALSE)*G222</f>
        <v>0</v>
      </c>
      <c r="V222" s="100">
        <f t="shared" ref="V222:V235" si="611">E222*($J$1782)*G222</f>
        <v>0</v>
      </c>
      <c r="W222" s="100">
        <f t="shared" ref="W222" si="612">I222</f>
        <v>0</v>
      </c>
      <c r="X222" s="100" t="b">
        <f t="shared" ref="X222:X235" si="613">IF(G222&gt;0,IF(AD222="me","",G222))</f>
        <v>0</v>
      </c>
      <c r="Y222" s="201"/>
      <c r="Z222" s="829" t="str">
        <f t="shared" si="462"/>
        <v/>
      </c>
      <c r="AA222" s="829"/>
      <c r="AB222" s="830" t="str">
        <f>IF(G222=0,"",IF(AD222="free","re-planting",IF(AD222="me","not NVP, by",IF($AD$8="yes",(VLOOKUP(A222,'Discount Lookup'!J:K,2)*G222*(1-$AC$1786)*(1+$AC$1788)),IF(AD222="NVP",(VLOOKUP(A222,'Discount Lookup'!J:K,2)*G222*(1-$AC$1786)*(1+$AC$1788)),IF(AD222="free","re-planting",IF(G222=0,"",IF($AD$8="",IF(AD222="me","not NVP, by",IF(AD222="",IF(G222&gt;0,(VLOOKUP(A222,'Discount Lookup'!J:K,2)*G222*(1-$AC$1786)*(1+$AC$1788)),""),"")),"not NVP, by"))))))))</f>
        <v/>
      </c>
      <c r="AC222" s="830"/>
      <c r="AD222" s="375" t="str">
        <f t="shared" si="498"/>
        <v/>
      </c>
      <c r="AE222" s="833" t="str">
        <f t="shared" si="599"/>
        <v/>
      </c>
      <c r="AF222" s="833"/>
      <c r="AG222" s="833"/>
      <c r="AH222" s="91">
        <f>IF(AD222="free",0,IF(AD222="me",0,IF(G222&gt;0,(VLOOKUP(A222,'Discount Lookup'!J:K,2)*G222),0)))</f>
        <v>0</v>
      </c>
      <c r="AI222" s="92" t="str">
        <f t="shared" si="523"/>
        <v/>
      </c>
      <c r="AJ222" s="828" t="str">
        <f t="shared" si="463"/>
        <v/>
      </c>
      <c r="AK222" s="828"/>
      <c r="AL222" s="313" t="str">
        <f t="shared" si="573"/>
        <v/>
      </c>
      <c r="AM222" s="312"/>
      <c r="AN222" s="101"/>
      <c r="AO222" s="101"/>
      <c r="AP222" s="101"/>
      <c r="AQ222" s="101"/>
      <c r="AR222" s="101"/>
      <c r="AS222" s="101"/>
      <c r="AT222" s="101"/>
    </row>
    <row r="223" spans="1:46" ht="12.95" customHeight="1">
      <c r="A223" s="419">
        <v>3</v>
      </c>
      <c r="B223" s="87" t="s">
        <v>50</v>
      </c>
      <c r="C223" s="399" t="s">
        <v>170</v>
      </c>
      <c r="D223" s="129" t="s">
        <v>62</v>
      </c>
      <c r="E223" s="98">
        <v>26.95</v>
      </c>
      <c r="F223" s="705" t="s">
        <v>1306</v>
      </c>
      <c r="G223" s="357">
        <v>0</v>
      </c>
      <c r="H223" s="704" t="str">
        <f t="shared" ref="H223" si="614">IF(G223=0,"",IF(F223="Qty=",IF(G223=1,"plant","plants"),IF(F223&gt;0.0001,"warranty","Error")))</f>
        <v/>
      </c>
      <c r="I223" s="98">
        <f t="shared" ref="I223" si="615">IF(F223="Qty=",(E223*G223),((E223*(1-F223))*G223))</f>
        <v>0</v>
      </c>
      <c r="J223" s="98">
        <f t="shared" si="607"/>
        <v>0</v>
      </c>
      <c r="K223" s="831">
        <f t="shared" ref="K223" si="616">I223+J223</f>
        <v>0</v>
      </c>
      <c r="L223" s="831"/>
      <c r="M223" s="832" t="str">
        <f t="shared" si="609"/>
        <v/>
      </c>
      <c r="N223" s="832"/>
      <c r="O223" s="832"/>
      <c r="P223" s="832"/>
      <c r="Q223" s="832"/>
      <c r="R223" s="832"/>
      <c r="S223" s="303">
        <f t="shared" ref="S223" si="617">E223*G223</f>
        <v>0</v>
      </c>
      <c r="T223" s="541">
        <f>VLOOKUP(A223,'Discount Lookup'!D:E,2,FALSE)*G223</f>
        <v>0</v>
      </c>
      <c r="U223" s="83">
        <f>VLOOKUP(A223,'Discount Lookup'!G:H,2,FALSE)*G223</f>
        <v>0</v>
      </c>
      <c r="V223" s="100">
        <f t="shared" si="611"/>
        <v>0</v>
      </c>
      <c r="W223" s="100">
        <f t="shared" ref="W223" si="618">I223</f>
        <v>0</v>
      </c>
      <c r="X223" s="100" t="b">
        <f t="shared" ref="X223" si="619">IF(G223&gt;0,IF(AD223="me","",G223))</f>
        <v>0</v>
      </c>
      <c r="Y223" s="201"/>
      <c r="Z223" s="829" t="str">
        <f t="shared" ref="Z223" si="620">IF(G223=0,"",IF(AD223="me","",IF($AD$8="me","",IF(AD223="free","warranty",IF($AD$8="yes","NVP planting:","to NVP install:")))))</f>
        <v/>
      </c>
      <c r="AA223" s="829"/>
      <c r="AB223" s="830" t="str">
        <f>IF(G223=0,"",IF(AD223="free","re-planting",IF(AD223="me","not NVP, by",IF($AD$8="yes",(VLOOKUP(A223,'Discount Lookup'!J:K,2)*G223*(1-$AC$1786)*(1+$AC$1788)),IF(AD223="NVP",(VLOOKUP(A223,'Discount Lookup'!J:K,2)*G223*(1-$AC$1786)*(1+$AC$1788)),IF(AD223="free","re-planting",IF(G223=0,"",IF($AD$8="",IF(AD223="me","not NVP, by",IF(AD223="",IF(G223&gt;0,(VLOOKUP(A223,'Discount Lookup'!J:K,2)*G223*(1-$AC$1786)*(1+$AC$1788)),""),"")),"not NVP, by"))))))))</f>
        <v/>
      </c>
      <c r="AC223" s="830"/>
      <c r="AD223" s="375" t="str">
        <f t="shared" ref="AD223" si="621">IF(G223=0,"",IF($AD$8="me","me",IF(H223="warranty","free",IF($AD$8="yes","NVP",""))))</f>
        <v/>
      </c>
      <c r="AE223" s="833" t="str">
        <f t="shared" ref="AE223" si="622">IF(G223&gt;0,(CONCATENATE((G223)," quantity, ",(A223)," ",B223)),"")</f>
        <v/>
      </c>
      <c r="AF223" s="833"/>
      <c r="AG223" s="833"/>
      <c r="AH223" s="91">
        <f>IF(AD223="free",0,IF(AD223="me",0,IF(G223&gt;0,(VLOOKUP(A223,'Discount Lookup'!J:K,2)*G223),0)))</f>
        <v>0</v>
      </c>
      <c r="AI223" s="92" t="str">
        <f t="shared" si="523"/>
        <v/>
      </c>
      <c r="AJ223" s="828" t="str">
        <f t="shared" ref="AJ223" si="623">IF(G223=0,"",IF(AD223="me","  delivery-only",IF($AD$8="me","  delivery-only",CONCATENATE(" $",ROUND(AI223/G223,2)," each"))))</f>
        <v/>
      </c>
      <c r="AK223" s="828"/>
      <c r="AL223" s="313" t="str">
        <f t="shared" si="573"/>
        <v/>
      </c>
      <c r="AM223" s="312"/>
      <c r="AN223" s="101"/>
      <c r="AO223" s="101"/>
      <c r="AP223" s="101"/>
      <c r="AQ223" s="101"/>
      <c r="AR223" s="101"/>
      <c r="AS223" s="101"/>
      <c r="AT223" s="101"/>
    </row>
    <row r="224" spans="1:46" ht="12.95" customHeight="1">
      <c r="A224" s="419">
        <v>3</v>
      </c>
      <c r="B224" s="87" t="s">
        <v>50</v>
      </c>
      <c r="C224" s="399" t="s">
        <v>51</v>
      </c>
      <c r="D224" s="129" t="s">
        <v>63</v>
      </c>
      <c r="E224" s="98">
        <v>33.950000000000003</v>
      </c>
      <c r="F224" s="705" t="s">
        <v>1306</v>
      </c>
      <c r="G224" s="357">
        <v>0</v>
      </c>
      <c r="H224" s="704" t="str">
        <f t="shared" si="605"/>
        <v/>
      </c>
      <c r="I224" s="98">
        <f t="shared" si="606"/>
        <v>0</v>
      </c>
      <c r="J224" s="98">
        <f t="shared" si="607"/>
        <v>0</v>
      </c>
      <c r="K224" s="831">
        <f t="shared" si="608"/>
        <v>0</v>
      </c>
      <c r="L224" s="831"/>
      <c r="M224" s="832" t="str">
        <f t="shared" si="609"/>
        <v/>
      </c>
      <c r="N224" s="832"/>
      <c r="O224" s="832"/>
      <c r="P224" s="832"/>
      <c r="Q224" s="832"/>
      <c r="R224" s="832"/>
      <c r="S224" s="303">
        <f t="shared" ref="S224:S234" si="624">E224*G224</f>
        <v>0</v>
      </c>
      <c r="T224" s="541">
        <f>VLOOKUP(A224,'Discount Lookup'!D:E,2,FALSE)*G224</f>
        <v>0</v>
      </c>
      <c r="U224" s="83">
        <f>VLOOKUP(A224,'Discount Lookup'!G:H,2,FALSE)*G224</f>
        <v>0</v>
      </c>
      <c r="V224" s="100">
        <f t="shared" si="611"/>
        <v>0</v>
      </c>
      <c r="W224" s="100">
        <f t="shared" ref="W224:W234" si="625">I224</f>
        <v>0</v>
      </c>
      <c r="X224" s="100" t="b">
        <f t="shared" si="613"/>
        <v>0</v>
      </c>
      <c r="Y224" s="201"/>
      <c r="Z224" s="829" t="str">
        <f t="shared" si="462"/>
        <v/>
      </c>
      <c r="AA224" s="829"/>
      <c r="AB224" s="830" t="str">
        <f>IF(G224=0,"",IF(AD224="free","re-planting",IF(AD224="me","not NVP, by",IF($AD$8="yes",(VLOOKUP(A224,'Discount Lookup'!J:K,2)*G224*(1-$AC$1786)*(1+$AC$1788)),IF(AD224="NVP",(VLOOKUP(A224,'Discount Lookup'!J:K,2)*G224*(1-$AC$1786)*(1+$AC$1788)),IF(AD224="free","re-planting",IF(G224=0,"",IF($AD$8="",IF(AD224="me","not NVP, by",IF(AD224="",IF(G224&gt;0,(VLOOKUP(A224,'Discount Lookup'!J:K,2)*G224*(1-$AC$1786)*(1+$AC$1788)),""),"")),"not NVP, by"))))))))</f>
        <v/>
      </c>
      <c r="AC224" s="830"/>
      <c r="AD224" s="375" t="str">
        <f t="shared" si="498"/>
        <v/>
      </c>
      <c r="AE224" s="833" t="str">
        <f t="shared" si="599"/>
        <v/>
      </c>
      <c r="AF224" s="833"/>
      <c r="AG224" s="833"/>
      <c r="AH224" s="91">
        <f>IF(AD224="free",0,IF(AD224="me",0,IF(G224&gt;0,(VLOOKUP(A224,'Discount Lookup'!J:K,2)*G224),0)))</f>
        <v>0</v>
      </c>
      <c r="AI224" s="92" t="str">
        <f t="shared" si="523"/>
        <v/>
      </c>
      <c r="AJ224" s="828" t="str">
        <f t="shared" si="463"/>
        <v/>
      </c>
      <c r="AK224" s="828"/>
      <c r="AL224" s="313" t="str">
        <f t="shared" si="573"/>
        <v/>
      </c>
      <c r="AM224" s="312"/>
      <c r="AN224" s="101"/>
      <c r="AO224" s="101"/>
      <c r="AP224" s="101"/>
      <c r="AQ224" s="101"/>
      <c r="AR224" s="101"/>
      <c r="AS224" s="101"/>
      <c r="AT224" s="101"/>
    </row>
    <row r="225" spans="1:46" ht="12.95" customHeight="1">
      <c r="A225" s="419">
        <v>5</v>
      </c>
      <c r="B225" s="87" t="s">
        <v>50</v>
      </c>
      <c r="C225" s="399" t="s">
        <v>136</v>
      </c>
      <c r="D225" s="129" t="s">
        <v>87</v>
      </c>
      <c r="E225" s="98">
        <v>75.95</v>
      </c>
      <c r="F225" s="705" t="s">
        <v>1306</v>
      </c>
      <c r="G225" s="357">
        <v>0</v>
      </c>
      <c r="H225" s="704" t="str">
        <f t="shared" ref="H225" si="626">IF(G225=0,"",IF(F225="Qty=",IF(G225=1,"plant","plants"),IF(F225&gt;0.0001,"warranty","Error")))</f>
        <v/>
      </c>
      <c r="I225" s="98">
        <f t="shared" ref="I225" si="627">IF(F225="Qty=",(E225*G225),((E225*(1-F225))*G225))</f>
        <v>0</v>
      </c>
      <c r="J225" s="98">
        <f t="shared" si="607"/>
        <v>0</v>
      </c>
      <c r="K225" s="831">
        <f t="shared" si="608"/>
        <v>0</v>
      </c>
      <c r="L225" s="831"/>
      <c r="M225" s="832" t="str">
        <f t="shared" si="609"/>
        <v/>
      </c>
      <c r="N225" s="832"/>
      <c r="O225" s="832"/>
      <c r="P225" s="832"/>
      <c r="Q225" s="832"/>
      <c r="R225" s="832"/>
      <c r="S225" s="303">
        <f t="shared" si="624"/>
        <v>0</v>
      </c>
      <c r="T225" s="541">
        <f>VLOOKUP(A225,'Discount Lookup'!D:E,2,FALSE)*G225</f>
        <v>0</v>
      </c>
      <c r="U225" s="83">
        <f>VLOOKUP(A225,'Discount Lookup'!G:H,2,FALSE)*G225</f>
        <v>0</v>
      </c>
      <c r="V225" s="100">
        <f t="shared" si="611"/>
        <v>0</v>
      </c>
      <c r="W225" s="100">
        <f t="shared" si="625"/>
        <v>0</v>
      </c>
      <c r="X225" s="100" t="b">
        <f t="shared" si="613"/>
        <v>0</v>
      </c>
      <c r="Y225" s="201"/>
      <c r="Z225" s="829" t="str">
        <f t="shared" ref="Z225" si="628">IF(G225=0,"",IF(AD225="me","",IF($AD$8="me","",IF(AD225="free","warranty",IF($AD$8="yes","NVP planting:","to NVP install:")))))</f>
        <v/>
      </c>
      <c r="AA225" s="829"/>
      <c r="AB225" s="830" t="str">
        <f>IF(G225=0,"",IF(AD225="free","re-planting",IF(AD225="me","not NVP, by",IF($AD$8="yes",(VLOOKUP(A225,'Discount Lookup'!J:K,2)*G225*(1-$AC$1786)*(1+$AC$1788)),IF(AD225="NVP",(VLOOKUP(A225,'Discount Lookup'!J:K,2)*G225*(1-$AC$1786)*(1+$AC$1788)),IF(AD225="free","re-planting",IF(G225=0,"",IF($AD$8="",IF(AD225="me","not NVP, by",IF(AD225="",IF(G225&gt;0,(VLOOKUP(A225,'Discount Lookup'!J:K,2)*G225*(1-$AC$1786)*(1+$AC$1788)),""),"")),"not NVP, by"))))))))</f>
        <v/>
      </c>
      <c r="AC225" s="830"/>
      <c r="AD225" s="375" t="str">
        <f t="shared" si="498"/>
        <v/>
      </c>
      <c r="AE225" s="833" t="str">
        <f t="shared" si="599"/>
        <v/>
      </c>
      <c r="AF225" s="833"/>
      <c r="AG225" s="833"/>
      <c r="AH225" s="91">
        <f>IF(AD225="free",0,IF(AD225="me",0,IF(G225&gt;0,(VLOOKUP(A225,'Discount Lookup'!J:K,2)*G225),0)))</f>
        <v>0</v>
      </c>
      <c r="AI225" s="92" t="str">
        <f t="shared" si="523"/>
        <v/>
      </c>
      <c r="AJ225" s="828" t="str">
        <f t="shared" ref="AJ225" si="629">IF(G225=0,"",IF(AD225="me","  delivery-only",IF($AD$8="me","  delivery-only",CONCATENATE(" $",ROUND(AI225/G225,2)," each"))))</f>
        <v/>
      </c>
      <c r="AK225" s="828"/>
      <c r="AL225" s="313" t="str">
        <f t="shared" si="573"/>
        <v/>
      </c>
      <c r="AM225" s="312"/>
      <c r="AN225" s="101"/>
      <c r="AO225" s="101"/>
      <c r="AP225" s="101"/>
      <c r="AQ225" s="101"/>
      <c r="AR225" s="101"/>
      <c r="AS225" s="101"/>
      <c r="AT225" s="101"/>
    </row>
    <row r="226" spans="1:46" ht="12.95" customHeight="1">
      <c r="A226" s="419">
        <v>5</v>
      </c>
      <c r="B226" s="87" t="s">
        <v>50</v>
      </c>
      <c r="C226" s="399" t="s">
        <v>198</v>
      </c>
      <c r="D226" s="129" t="s">
        <v>54</v>
      </c>
      <c r="E226" s="98">
        <v>68.95</v>
      </c>
      <c r="F226" s="705" t="s">
        <v>1306</v>
      </c>
      <c r="G226" s="357">
        <v>0</v>
      </c>
      <c r="H226" s="704" t="str">
        <f t="shared" si="605"/>
        <v/>
      </c>
      <c r="I226" s="98">
        <f t="shared" si="606"/>
        <v>0</v>
      </c>
      <c r="J226" s="98">
        <f t="shared" si="607"/>
        <v>0</v>
      </c>
      <c r="K226" s="831">
        <f t="shared" si="608"/>
        <v>0</v>
      </c>
      <c r="L226" s="831"/>
      <c r="M226" s="832" t="str">
        <f t="shared" si="609"/>
        <v/>
      </c>
      <c r="N226" s="832"/>
      <c r="O226" s="832"/>
      <c r="P226" s="832"/>
      <c r="Q226" s="832"/>
      <c r="R226" s="832"/>
      <c r="S226" s="303">
        <f t="shared" ref="S226" si="630">E226*G226</f>
        <v>0</v>
      </c>
      <c r="T226" s="541">
        <f>VLOOKUP(A226,'Discount Lookup'!D:E,2,FALSE)*G226</f>
        <v>0</v>
      </c>
      <c r="U226" s="83">
        <f>VLOOKUP(A226,'Discount Lookup'!G:H,2,FALSE)*G226</f>
        <v>0</v>
      </c>
      <c r="V226" s="100">
        <f t="shared" si="611"/>
        <v>0</v>
      </c>
      <c r="W226" s="100">
        <f t="shared" ref="W226" si="631">I226</f>
        <v>0</v>
      </c>
      <c r="X226" s="100" t="b">
        <f t="shared" ref="X226" si="632">IF(G226&gt;0,IF(AD226="me","",G226))</f>
        <v>0</v>
      </c>
      <c r="Y226" s="201"/>
      <c r="Z226" s="829" t="str">
        <f t="shared" si="462"/>
        <v/>
      </c>
      <c r="AA226" s="829"/>
      <c r="AB226" s="830" t="str">
        <f>IF(G226=0,"",IF(AD226="free","re-planting",IF(AD226="me","not NVP, by",IF($AD$8="yes",(VLOOKUP(A226,'Discount Lookup'!J:K,2)*G226*(1-$AC$1786)*(1+$AC$1788)),IF(AD226="NVP",(VLOOKUP(A226,'Discount Lookup'!J:K,2)*G226*(1-$AC$1786)*(1+$AC$1788)),IF(AD226="free","re-planting",IF(G226=0,"",IF($AD$8="",IF(AD226="me","not NVP, by",IF(AD226="",IF(G226&gt;0,(VLOOKUP(A226,'Discount Lookup'!J:K,2)*G226*(1-$AC$1786)*(1+$AC$1788)),""),"")),"not NVP, by"))))))))</f>
        <v/>
      </c>
      <c r="AC226" s="830"/>
      <c r="AD226" s="375" t="str">
        <f t="shared" si="498"/>
        <v/>
      </c>
      <c r="AE226" s="833" t="str">
        <f t="shared" ref="AE226" si="633">IF(G226&gt;0,(CONCATENATE((G226)," quantity, ",(A226)," ",B226)),"")</f>
        <v/>
      </c>
      <c r="AF226" s="833"/>
      <c r="AG226" s="833"/>
      <c r="AH226" s="91">
        <f>IF(AD226="free",0,IF(AD226="me",0,IF(G226&gt;0,(VLOOKUP(A226,'Discount Lookup'!J:K,2)*G226),0)))</f>
        <v>0</v>
      </c>
      <c r="AI226" s="92" t="str">
        <f t="shared" si="523"/>
        <v/>
      </c>
      <c r="AJ226" s="828" t="str">
        <f t="shared" si="463"/>
        <v/>
      </c>
      <c r="AK226" s="828"/>
      <c r="AL226" s="313" t="str">
        <f t="shared" si="573"/>
        <v/>
      </c>
      <c r="AM226" s="312"/>
      <c r="AN226" s="101"/>
      <c r="AO226" s="101"/>
      <c r="AP226" s="101"/>
      <c r="AQ226" s="101"/>
      <c r="AR226" s="101"/>
      <c r="AS226" s="101"/>
      <c r="AT226" s="101"/>
    </row>
    <row r="227" spans="1:46" ht="12.95" customHeight="1">
      <c r="A227" s="419">
        <v>7</v>
      </c>
      <c r="B227" s="87" t="s">
        <v>50</v>
      </c>
      <c r="C227" s="128" t="s">
        <v>88</v>
      </c>
      <c r="D227" s="129" t="s">
        <v>62</v>
      </c>
      <c r="E227" s="98">
        <v>56.95</v>
      </c>
      <c r="F227" s="705" t="s">
        <v>1306</v>
      </c>
      <c r="G227" s="357">
        <v>0</v>
      </c>
      <c r="H227" s="704" t="str">
        <f t="shared" si="605"/>
        <v/>
      </c>
      <c r="I227" s="98">
        <f t="shared" si="606"/>
        <v>0</v>
      </c>
      <c r="J227" s="98">
        <f t="shared" si="607"/>
        <v>0</v>
      </c>
      <c r="K227" s="831">
        <f t="shared" si="608"/>
        <v>0</v>
      </c>
      <c r="L227" s="831"/>
      <c r="M227" s="832" t="str">
        <f t="shared" si="609"/>
        <v/>
      </c>
      <c r="N227" s="832"/>
      <c r="O227" s="832"/>
      <c r="P227" s="832"/>
      <c r="Q227" s="832"/>
      <c r="R227" s="832"/>
      <c r="S227" s="303">
        <f t="shared" si="624"/>
        <v>0</v>
      </c>
      <c r="T227" s="541">
        <f>VLOOKUP(A227,'Discount Lookup'!D:E,2,FALSE)*G227</f>
        <v>0</v>
      </c>
      <c r="U227" s="83">
        <f>VLOOKUP(A227,'Discount Lookup'!G:H,2,FALSE)*G227</f>
        <v>0</v>
      </c>
      <c r="V227" s="100">
        <f t="shared" si="611"/>
        <v>0</v>
      </c>
      <c r="W227" s="100">
        <f t="shared" si="625"/>
        <v>0</v>
      </c>
      <c r="X227" s="100" t="b">
        <f t="shared" si="613"/>
        <v>0</v>
      </c>
      <c r="Y227" s="201"/>
      <c r="Z227" s="829" t="str">
        <f t="shared" si="462"/>
        <v/>
      </c>
      <c r="AA227" s="829"/>
      <c r="AB227" s="830" t="str">
        <f>IF(G227=0,"",IF(AD227="free","re-planting",IF(AD227="me","not NVP, by",IF($AD$8="yes",(VLOOKUP(A227,'Discount Lookup'!J:K,2)*G227*(1-$AC$1786)*(1+$AC$1788)),IF(AD227="NVP",(VLOOKUP(A227,'Discount Lookup'!J:K,2)*G227*(1-$AC$1786)*(1+$AC$1788)),IF(AD227="free","re-planting",IF(G227=0,"",IF($AD$8="",IF(AD227="me","not NVP, by",IF(AD227="",IF(G227&gt;0,(VLOOKUP(A227,'Discount Lookup'!J:K,2)*G227*(1-$AC$1786)*(1+$AC$1788)),""),"")),"not NVP, by"))))))))</f>
        <v/>
      </c>
      <c r="AC227" s="830"/>
      <c r="AD227" s="375" t="str">
        <f t="shared" si="498"/>
        <v/>
      </c>
      <c r="AE227" s="833" t="str">
        <f t="shared" si="599"/>
        <v/>
      </c>
      <c r="AF227" s="833"/>
      <c r="AG227" s="833"/>
      <c r="AH227" s="91">
        <f>IF(AD227="free",0,IF(AD227="me",0,IF(G227&gt;0,(VLOOKUP(A227,'Discount Lookup'!J:K,2)*G227),0)))</f>
        <v>0</v>
      </c>
      <c r="AI227" s="92" t="str">
        <f t="shared" si="523"/>
        <v/>
      </c>
      <c r="AJ227" s="828" t="str">
        <f t="shared" si="463"/>
        <v/>
      </c>
      <c r="AK227" s="828"/>
      <c r="AL227" s="313" t="str">
        <f t="shared" si="573"/>
        <v/>
      </c>
      <c r="AM227" s="312"/>
      <c r="AN227" s="101"/>
      <c r="AO227" s="101"/>
      <c r="AP227" s="101"/>
      <c r="AQ227" s="101"/>
      <c r="AR227" s="101"/>
      <c r="AS227" s="101"/>
      <c r="AT227" s="101"/>
    </row>
    <row r="228" spans="1:46" ht="12.95" customHeight="1">
      <c r="A228" s="419">
        <v>7</v>
      </c>
      <c r="B228" s="87" t="s">
        <v>50</v>
      </c>
      <c r="C228" s="399" t="s">
        <v>85</v>
      </c>
      <c r="D228" s="129" t="s">
        <v>63</v>
      </c>
      <c r="E228" s="98">
        <v>68.95</v>
      </c>
      <c r="F228" s="705" t="s">
        <v>1306</v>
      </c>
      <c r="G228" s="357">
        <v>0</v>
      </c>
      <c r="H228" s="704" t="str">
        <f t="shared" si="605"/>
        <v/>
      </c>
      <c r="I228" s="98">
        <f t="shared" si="606"/>
        <v>0</v>
      </c>
      <c r="J228" s="98">
        <f t="shared" si="607"/>
        <v>0</v>
      </c>
      <c r="K228" s="831">
        <f t="shared" ref="K228" si="634">I228+J228</f>
        <v>0</v>
      </c>
      <c r="L228" s="831"/>
      <c r="M228" s="832" t="str">
        <f t="shared" si="609"/>
        <v/>
      </c>
      <c r="N228" s="832"/>
      <c r="O228" s="832"/>
      <c r="P228" s="832"/>
      <c r="Q228" s="832"/>
      <c r="R228" s="832"/>
      <c r="S228" s="303">
        <f t="shared" si="624"/>
        <v>0</v>
      </c>
      <c r="T228" s="541">
        <f>VLOOKUP(A228,'Discount Lookup'!D:E,2,FALSE)*G228</f>
        <v>0</v>
      </c>
      <c r="U228" s="83">
        <f>VLOOKUP(A228,'Discount Lookup'!G:H,2,FALSE)*G228</f>
        <v>0</v>
      </c>
      <c r="V228" s="100">
        <f t="shared" si="611"/>
        <v>0</v>
      </c>
      <c r="W228" s="100">
        <f t="shared" si="625"/>
        <v>0</v>
      </c>
      <c r="X228" s="100" t="b">
        <f t="shared" si="613"/>
        <v>0</v>
      </c>
      <c r="Y228" s="201"/>
      <c r="Z228" s="829" t="str">
        <f t="shared" si="462"/>
        <v/>
      </c>
      <c r="AA228" s="829"/>
      <c r="AB228" s="830" t="str">
        <f>IF(G228=0,"",IF(AD228="free","re-planting",IF(AD228="me","not NVP, by",IF($AD$8="yes",(VLOOKUP(A228,'Discount Lookup'!J:K,2)*G228*(1-$AC$1786)*(1+$AC$1788)),IF(AD228="NVP",(VLOOKUP(A228,'Discount Lookup'!J:K,2)*G228*(1-$AC$1786)*(1+$AC$1788)),IF(AD228="free","re-planting",IF(G228=0,"",IF($AD$8="",IF(AD228="me","not NVP, by",IF(AD228="",IF(G228&gt;0,(VLOOKUP(A228,'Discount Lookup'!J:K,2)*G228*(1-$AC$1786)*(1+$AC$1788)),""),"")),"not NVP, by"))))))))</f>
        <v/>
      </c>
      <c r="AC228" s="830"/>
      <c r="AD228" s="375" t="str">
        <f t="shared" ref="AD228" si="635">IF(G228=0,"",IF($AD$8="me","me",IF(H228="warranty","free",IF($AD$8="yes","NVP",""))))</f>
        <v/>
      </c>
      <c r="AE228" s="833" t="str">
        <f t="shared" si="599"/>
        <v/>
      </c>
      <c r="AF228" s="833"/>
      <c r="AG228" s="833"/>
      <c r="AH228" s="91">
        <f>IF(AD228="free",0,IF(AD228="me",0,IF(G228&gt;0,(VLOOKUP(A228,'Discount Lookup'!J:K,2)*G228),0)))</f>
        <v>0</v>
      </c>
      <c r="AI228" s="92" t="str">
        <f t="shared" si="523"/>
        <v/>
      </c>
      <c r="AJ228" s="828" t="str">
        <f t="shared" si="463"/>
        <v/>
      </c>
      <c r="AK228" s="828"/>
      <c r="AL228" s="313" t="str">
        <f t="shared" si="573"/>
        <v/>
      </c>
      <c r="AM228" s="312"/>
      <c r="AN228" s="101"/>
      <c r="AO228" s="101"/>
      <c r="AP228" s="101"/>
      <c r="AQ228" s="101"/>
      <c r="AR228" s="101"/>
      <c r="AS228" s="101"/>
      <c r="AT228" s="101"/>
    </row>
    <row r="229" spans="1:46" ht="12.95" customHeight="1">
      <c r="A229" s="419">
        <v>7</v>
      </c>
      <c r="B229" s="87" t="s">
        <v>50</v>
      </c>
      <c r="C229" s="399" t="s">
        <v>215</v>
      </c>
      <c r="D229" s="129" t="s">
        <v>54</v>
      </c>
      <c r="E229" s="98">
        <v>91.95</v>
      </c>
      <c r="F229" s="705" t="s">
        <v>1306</v>
      </c>
      <c r="G229" s="357">
        <v>0</v>
      </c>
      <c r="H229" s="704" t="str">
        <f t="shared" ref="H229" si="636">IF(G229=0,"",IF(F229="Qty=",IF(G229=1,"plant","plants"),IF(F229&gt;0.0001,"warranty","Error")))</f>
        <v/>
      </c>
      <c r="I229" s="98">
        <f t="shared" ref="I229" si="637">IF(F229="Qty=",(E229*G229),((E229*(1-F229))*G229))</f>
        <v>0</v>
      </c>
      <c r="J229" s="98">
        <f t="shared" si="607"/>
        <v>0</v>
      </c>
      <c r="K229" s="831">
        <f t="shared" si="608"/>
        <v>0</v>
      </c>
      <c r="L229" s="831"/>
      <c r="M229" s="832" t="str">
        <f t="shared" si="609"/>
        <v/>
      </c>
      <c r="N229" s="832"/>
      <c r="O229" s="832"/>
      <c r="P229" s="832"/>
      <c r="Q229" s="832"/>
      <c r="R229" s="832"/>
      <c r="S229" s="303">
        <f t="shared" ref="S229" si="638">E229*G229</f>
        <v>0</v>
      </c>
      <c r="T229" s="541">
        <f>VLOOKUP(A229,'Discount Lookup'!D:E,2,FALSE)*G229</f>
        <v>0</v>
      </c>
      <c r="U229" s="83">
        <f>VLOOKUP(A229,'Discount Lookup'!G:H,2,FALSE)*G229</f>
        <v>0</v>
      </c>
      <c r="V229" s="100">
        <f t="shared" si="611"/>
        <v>0</v>
      </c>
      <c r="W229" s="100">
        <f t="shared" ref="W229" si="639">I229</f>
        <v>0</v>
      </c>
      <c r="X229" s="100" t="b">
        <f t="shared" ref="X229" si="640">IF(G229&gt;0,IF(AD229="me","",G229))</f>
        <v>0</v>
      </c>
      <c r="Y229" s="201"/>
      <c r="Z229" s="829" t="str">
        <f t="shared" ref="Z229" si="641">IF(G229=0,"",IF(AD229="me","",IF($AD$8="me","",IF(AD229="free","warranty",IF($AD$8="yes","NVP planting:","to NVP install:")))))</f>
        <v/>
      </c>
      <c r="AA229" s="829"/>
      <c r="AB229" s="830" t="str">
        <f>IF(G229=0,"",IF(AD229="free","re-planting",IF(AD229="me","not NVP, by",IF($AD$8="yes",(VLOOKUP(A229,'Discount Lookup'!J:K,2)*G229*(1-$AC$1786)*(1+$AC$1788)),IF(AD229="NVP",(VLOOKUP(A229,'Discount Lookup'!J:K,2)*G229*(1-$AC$1786)*(1+$AC$1788)),IF(AD229="free","re-planting",IF(G229=0,"",IF($AD$8="",IF(AD229="me","not NVP, by",IF(AD229="",IF(G229&gt;0,(VLOOKUP(A229,'Discount Lookup'!J:K,2)*G229*(1-$AC$1786)*(1+$AC$1788)),""),"")),"not NVP, by"))))))))</f>
        <v/>
      </c>
      <c r="AC229" s="830"/>
      <c r="AD229" s="375" t="str">
        <f t="shared" si="498"/>
        <v/>
      </c>
      <c r="AE229" s="833" t="str">
        <f t="shared" ref="AE229" si="642">IF(G229&gt;0,(CONCATENATE((G229)," quantity, ",(A229)," ",B229)),"")</f>
        <v/>
      </c>
      <c r="AF229" s="833"/>
      <c r="AG229" s="833"/>
      <c r="AH229" s="91">
        <f>IF(AD229="free",0,IF(AD229="me",0,IF(G229&gt;0,(VLOOKUP(A229,'Discount Lookup'!J:K,2)*G229),0)))</f>
        <v>0</v>
      </c>
      <c r="AI229" s="92" t="str">
        <f t="shared" si="523"/>
        <v/>
      </c>
      <c r="AJ229" s="828" t="str">
        <f t="shared" ref="AJ229" si="643">IF(G229=0,"",IF(AD229="me","  delivery-only",IF($AD$8="me","  delivery-only",CONCATENATE(" $",ROUND(AI229/G229,2)," each"))))</f>
        <v/>
      </c>
      <c r="AK229" s="828"/>
      <c r="AL229" s="313" t="str">
        <f t="shared" si="573"/>
        <v/>
      </c>
      <c r="AM229" s="312"/>
      <c r="AN229" s="101"/>
      <c r="AO229" s="101"/>
      <c r="AP229" s="101"/>
      <c r="AQ229" s="101"/>
      <c r="AR229" s="101"/>
      <c r="AS229" s="101"/>
      <c r="AT229" s="101"/>
    </row>
    <row r="230" spans="1:46" ht="12.95" customHeight="1">
      <c r="A230" s="419">
        <v>15</v>
      </c>
      <c r="B230" s="87" t="s">
        <v>50</v>
      </c>
      <c r="C230" s="128" t="s">
        <v>70</v>
      </c>
      <c r="D230" s="400" t="s">
        <v>62</v>
      </c>
      <c r="E230" s="98">
        <v>155.94999999999999</v>
      </c>
      <c r="F230" s="705" t="s">
        <v>1306</v>
      </c>
      <c r="G230" s="357">
        <v>0</v>
      </c>
      <c r="H230" s="704" t="str">
        <f t="shared" si="605"/>
        <v/>
      </c>
      <c r="I230" s="98">
        <f t="shared" si="606"/>
        <v>0</v>
      </c>
      <c r="J230" s="98">
        <f t="shared" si="607"/>
        <v>0</v>
      </c>
      <c r="K230" s="831">
        <f t="shared" si="608"/>
        <v>0</v>
      </c>
      <c r="L230" s="831"/>
      <c r="M230" s="832" t="str">
        <f t="shared" si="609"/>
        <v/>
      </c>
      <c r="N230" s="832"/>
      <c r="O230" s="832"/>
      <c r="P230" s="832"/>
      <c r="Q230" s="832"/>
      <c r="R230" s="832"/>
      <c r="S230" s="303">
        <f t="shared" si="624"/>
        <v>0</v>
      </c>
      <c r="T230" s="541">
        <f>VLOOKUP(A230,'Discount Lookup'!D:E,2,FALSE)*G230</f>
        <v>0</v>
      </c>
      <c r="U230" s="83">
        <f>VLOOKUP(A230,'Discount Lookup'!G:H,2,FALSE)*G230</f>
        <v>0</v>
      </c>
      <c r="V230" s="100">
        <f t="shared" si="611"/>
        <v>0</v>
      </c>
      <c r="W230" s="100">
        <f t="shared" si="625"/>
        <v>0</v>
      </c>
      <c r="X230" s="100" t="b">
        <f t="shared" si="613"/>
        <v>0</v>
      </c>
      <c r="Y230" s="201"/>
      <c r="Z230" s="829" t="str">
        <f t="shared" si="462"/>
        <v/>
      </c>
      <c r="AA230" s="829"/>
      <c r="AB230" s="830" t="str">
        <f>IF(G230=0,"",IF(AD230="free","re-planting",IF(AD230="me","not NVP, by",IF($AD$8="yes",(VLOOKUP(A230,'Discount Lookup'!J:K,2)*G230*(1-$AC$1786)*(1+$AC$1788)),IF(AD230="NVP",(VLOOKUP(A230,'Discount Lookup'!J:K,2)*G230*(1-$AC$1786)*(1+$AC$1788)),IF(AD230="free","re-planting",IF(G230=0,"",IF($AD$8="",IF(AD230="me","not NVP, by",IF(AD230="",IF(G230&gt;0,(VLOOKUP(A230,'Discount Lookup'!J:K,2)*G230*(1-$AC$1786)*(1+$AC$1788)),""),"")),"not NVP, by"))))))))</f>
        <v/>
      </c>
      <c r="AC230" s="830"/>
      <c r="AD230" s="375" t="str">
        <f t="shared" si="498"/>
        <v/>
      </c>
      <c r="AE230" s="833" t="str">
        <f t="shared" si="599"/>
        <v/>
      </c>
      <c r="AF230" s="833"/>
      <c r="AG230" s="833"/>
      <c r="AH230" s="91">
        <f>IF(AD230="free",0,IF(AD230="me",0,IF(G230&gt;0,(VLOOKUP(A230,'Discount Lookup'!J:K,2)*G230),0)))</f>
        <v>0</v>
      </c>
      <c r="AI230" s="92" t="str">
        <f t="shared" si="523"/>
        <v/>
      </c>
      <c r="AJ230" s="828" t="str">
        <f t="shared" si="463"/>
        <v/>
      </c>
      <c r="AK230" s="828"/>
      <c r="AL230" s="313" t="str">
        <f t="shared" si="573"/>
        <v/>
      </c>
      <c r="AM230" s="312"/>
      <c r="AN230" s="101"/>
      <c r="AO230" s="101"/>
      <c r="AP230" s="101"/>
      <c r="AQ230" s="101"/>
      <c r="AR230" s="101"/>
      <c r="AS230" s="101"/>
      <c r="AT230" s="101"/>
    </row>
    <row r="231" spans="1:46" ht="12.95" customHeight="1">
      <c r="A231" s="419">
        <v>15</v>
      </c>
      <c r="B231" s="87" t="s">
        <v>50</v>
      </c>
      <c r="C231" s="399" t="s">
        <v>64</v>
      </c>
      <c r="D231" s="129" t="s">
        <v>54</v>
      </c>
      <c r="E231" s="98">
        <v>173.95</v>
      </c>
      <c r="F231" s="705" t="s">
        <v>1306</v>
      </c>
      <c r="G231" s="357">
        <v>0</v>
      </c>
      <c r="H231" s="704" t="str">
        <f t="shared" si="605"/>
        <v/>
      </c>
      <c r="I231" s="98">
        <f t="shared" si="606"/>
        <v>0</v>
      </c>
      <c r="J231" s="98">
        <f t="shared" si="607"/>
        <v>0</v>
      </c>
      <c r="K231" s="831">
        <f t="shared" si="608"/>
        <v>0</v>
      </c>
      <c r="L231" s="831"/>
      <c r="M231" s="832" t="str">
        <f t="shared" si="609"/>
        <v/>
      </c>
      <c r="N231" s="832"/>
      <c r="O231" s="832"/>
      <c r="P231" s="832"/>
      <c r="Q231" s="832"/>
      <c r="R231" s="832"/>
      <c r="S231" s="303">
        <f t="shared" si="624"/>
        <v>0</v>
      </c>
      <c r="T231" s="541">
        <f>VLOOKUP(A231,'Discount Lookup'!D:E,2,FALSE)*G231</f>
        <v>0</v>
      </c>
      <c r="U231" s="83">
        <f>VLOOKUP(A231,'Discount Lookup'!G:H,2,FALSE)*G231</f>
        <v>0</v>
      </c>
      <c r="V231" s="100">
        <f t="shared" si="611"/>
        <v>0</v>
      </c>
      <c r="W231" s="100">
        <f t="shared" si="625"/>
        <v>0</v>
      </c>
      <c r="X231" s="100" t="b">
        <f t="shared" si="613"/>
        <v>0</v>
      </c>
      <c r="Y231" s="201"/>
      <c r="Z231" s="829" t="str">
        <f t="shared" si="462"/>
        <v/>
      </c>
      <c r="AA231" s="829"/>
      <c r="AB231" s="830" t="str">
        <f>IF(G231=0,"",IF(AD231="free","re-planting",IF(AD231="me","not NVP, by",IF($AD$8="yes",(VLOOKUP(A231,'Discount Lookup'!J:K,2)*G231*(1-$AC$1786)*(1+$AC$1788)),IF(AD231="NVP",(VLOOKUP(A231,'Discount Lookup'!J:K,2)*G231*(1-$AC$1786)*(1+$AC$1788)),IF(AD231="free","re-planting",IF(G231=0,"",IF($AD$8="",IF(AD231="me","not NVP, by",IF(AD231="",IF(G231&gt;0,(VLOOKUP(A231,'Discount Lookup'!J:K,2)*G231*(1-$AC$1786)*(1+$AC$1788)),""),"")),"not NVP, by"))))))))</f>
        <v/>
      </c>
      <c r="AC231" s="830"/>
      <c r="AD231" s="375" t="str">
        <f t="shared" si="498"/>
        <v/>
      </c>
      <c r="AE231" s="833" t="str">
        <f t="shared" si="599"/>
        <v/>
      </c>
      <c r="AF231" s="833"/>
      <c r="AG231" s="833"/>
      <c r="AH231" s="91">
        <f>IF(AD231="free",0,IF(AD231="me",0,IF(G231&gt;0,(VLOOKUP(A231,'Discount Lookup'!J:K,2)*G231),0)))</f>
        <v>0</v>
      </c>
      <c r="AI231" s="92" t="str">
        <f t="shared" si="523"/>
        <v/>
      </c>
      <c r="AJ231" s="828" t="str">
        <f t="shared" si="463"/>
        <v/>
      </c>
      <c r="AK231" s="828"/>
      <c r="AL231" s="313" t="str">
        <f t="shared" si="573"/>
        <v/>
      </c>
      <c r="AM231" s="312"/>
      <c r="AN231" s="101"/>
      <c r="AO231" s="101"/>
      <c r="AP231" s="101"/>
      <c r="AQ231" s="101"/>
      <c r="AR231" s="101"/>
      <c r="AS231" s="101"/>
      <c r="AT231" s="101"/>
    </row>
    <row r="232" spans="1:46" ht="12.95" customHeight="1">
      <c r="A232" s="419">
        <v>15</v>
      </c>
      <c r="B232" s="87" t="s">
        <v>50</v>
      </c>
      <c r="C232" s="128" t="s">
        <v>70</v>
      </c>
      <c r="D232" s="400" t="s">
        <v>90</v>
      </c>
      <c r="E232" s="98">
        <v>168.95</v>
      </c>
      <c r="F232" s="705" t="s">
        <v>1306</v>
      </c>
      <c r="G232" s="357">
        <v>0</v>
      </c>
      <c r="H232" s="704" t="str">
        <f t="shared" si="605"/>
        <v/>
      </c>
      <c r="I232" s="98">
        <f t="shared" si="606"/>
        <v>0</v>
      </c>
      <c r="J232" s="98">
        <f t="shared" si="607"/>
        <v>0</v>
      </c>
      <c r="K232" s="831">
        <f t="shared" si="608"/>
        <v>0</v>
      </c>
      <c r="L232" s="831"/>
      <c r="M232" s="832" t="str">
        <f t="shared" si="609"/>
        <v/>
      </c>
      <c r="N232" s="832"/>
      <c r="O232" s="832"/>
      <c r="P232" s="832"/>
      <c r="Q232" s="832"/>
      <c r="R232" s="832"/>
      <c r="S232" s="303">
        <f t="shared" si="624"/>
        <v>0</v>
      </c>
      <c r="T232" s="541">
        <f>VLOOKUP(A232,'Discount Lookup'!D:E,2,FALSE)*G232</f>
        <v>0</v>
      </c>
      <c r="U232" s="83">
        <f>VLOOKUP(A232,'Discount Lookup'!G:H,2,FALSE)*G232</f>
        <v>0</v>
      </c>
      <c r="V232" s="100">
        <f t="shared" si="611"/>
        <v>0</v>
      </c>
      <c r="W232" s="100">
        <f t="shared" si="625"/>
        <v>0</v>
      </c>
      <c r="X232" s="100" t="b">
        <f t="shared" si="613"/>
        <v>0</v>
      </c>
      <c r="Y232" s="201"/>
      <c r="Z232" s="829" t="str">
        <f t="shared" si="462"/>
        <v/>
      </c>
      <c r="AA232" s="829"/>
      <c r="AB232" s="830" t="str">
        <f>IF(G232=0,"",IF(AD232="free","re-planting",IF(AD232="me","not NVP, by",IF($AD$8="yes",(VLOOKUP(A232,'Discount Lookup'!J:K,2)*G232*(1-$AC$1786)*(1+$AC$1788)),IF(AD232="NVP",(VLOOKUP(A232,'Discount Lookup'!J:K,2)*G232*(1-$AC$1786)*(1+$AC$1788)),IF(AD232="free","re-planting",IF(G232=0,"",IF($AD$8="",IF(AD232="me","not NVP, by",IF(AD232="",IF(G232&gt;0,(VLOOKUP(A232,'Discount Lookup'!J:K,2)*G232*(1-$AC$1786)*(1+$AC$1788)),""),"")),"not NVP, by"))))))))</f>
        <v/>
      </c>
      <c r="AC232" s="830"/>
      <c r="AD232" s="375" t="str">
        <f t="shared" si="498"/>
        <v/>
      </c>
      <c r="AE232" s="833" t="str">
        <f t="shared" si="599"/>
        <v/>
      </c>
      <c r="AF232" s="833"/>
      <c r="AG232" s="833"/>
      <c r="AH232" s="91">
        <f>IF(AD232="free",0,IF(AD232="me",0,IF(G232&gt;0,(VLOOKUP(A232,'Discount Lookup'!J:K,2)*G232),0)))</f>
        <v>0</v>
      </c>
      <c r="AI232" s="92" t="str">
        <f t="shared" si="523"/>
        <v/>
      </c>
      <c r="AJ232" s="828" t="str">
        <f t="shared" si="463"/>
        <v/>
      </c>
      <c r="AK232" s="828"/>
      <c r="AL232" s="313" t="str">
        <f t="shared" si="573"/>
        <v/>
      </c>
      <c r="AM232" s="312"/>
      <c r="AN232" s="101"/>
      <c r="AO232" s="101"/>
      <c r="AP232" s="101"/>
      <c r="AQ232" s="101"/>
      <c r="AR232" s="101"/>
      <c r="AS232" s="101"/>
      <c r="AT232" s="101"/>
    </row>
    <row r="233" spans="1:46" ht="12.95" customHeight="1">
      <c r="A233" s="419">
        <v>20</v>
      </c>
      <c r="B233" s="87" t="s">
        <v>50</v>
      </c>
      <c r="C233" s="128" t="s">
        <v>89</v>
      </c>
      <c r="D233" s="400" t="s">
        <v>54</v>
      </c>
      <c r="E233" s="98">
        <v>263.95</v>
      </c>
      <c r="F233" s="705" t="s">
        <v>1306</v>
      </c>
      <c r="G233" s="357">
        <v>0</v>
      </c>
      <c r="H233" s="704" t="str">
        <f t="shared" si="605"/>
        <v/>
      </c>
      <c r="I233" s="98">
        <f t="shared" si="606"/>
        <v>0</v>
      </c>
      <c r="J233" s="98">
        <f t="shared" si="607"/>
        <v>0</v>
      </c>
      <c r="K233" s="831">
        <f t="shared" si="608"/>
        <v>0</v>
      </c>
      <c r="L233" s="831"/>
      <c r="M233" s="832" t="str">
        <f t="shared" si="609"/>
        <v/>
      </c>
      <c r="N233" s="832"/>
      <c r="O233" s="832"/>
      <c r="P233" s="832"/>
      <c r="Q233" s="832"/>
      <c r="R233" s="832"/>
      <c r="S233" s="303">
        <f t="shared" si="624"/>
        <v>0</v>
      </c>
      <c r="T233" s="541">
        <f>VLOOKUP(A233,'Discount Lookup'!D:E,2,FALSE)*G233</f>
        <v>0</v>
      </c>
      <c r="U233" s="83">
        <f>VLOOKUP(A233,'Discount Lookup'!G:H,2,FALSE)*G233</f>
        <v>0</v>
      </c>
      <c r="V233" s="100">
        <f t="shared" si="611"/>
        <v>0</v>
      </c>
      <c r="W233" s="100">
        <f t="shared" si="625"/>
        <v>0</v>
      </c>
      <c r="X233" s="100" t="b">
        <f t="shared" ref="X233:X234" si="644">IF(G233&gt;0,IF(AD233="me","",G233))</f>
        <v>0</v>
      </c>
      <c r="Y233" s="201"/>
      <c r="Z233" s="829" t="str">
        <f t="shared" ref="Z233:Z286" si="645">IF(G233=0,"",IF(AD233="me","",IF($AD$8="me","",IF(AD233="free","warranty",IF($AD$8="yes","NVP planting:","to NVP install:")))))</f>
        <v/>
      </c>
      <c r="AA233" s="829"/>
      <c r="AB233" s="830" t="str">
        <f>IF(G233=0,"",IF(AD233="free","re-planting",IF(AD233="me","not NVP, by",IF($AD$8="yes",(VLOOKUP(A233,'Discount Lookup'!J:K,2)*G233*(1-$AC$1786)*(1+$AC$1788)),IF(AD233="NVP",(VLOOKUP(A233,'Discount Lookup'!J:K,2)*G233*(1-$AC$1786)*(1+$AC$1788)),IF(AD233="free","re-planting",IF(G233=0,"",IF($AD$8="",IF(AD233="me","not NVP, by",IF(AD233="",IF(G233&gt;0,(VLOOKUP(A233,'Discount Lookup'!J:K,2)*G233*(1-$AC$1786)*(1+$AC$1788)),""),"")),"not NVP, by"))))))))</f>
        <v/>
      </c>
      <c r="AC233" s="830"/>
      <c r="AD233" s="375" t="str">
        <f t="shared" si="498"/>
        <v/>
      </c>
      <c r="AE233" s="833" t="str">
        <f t="shared" ref="AE233:AE234" si="646">IF(G233&gt;0,(CONCATENATE((G233)," quantity, ",(A233)," ",B233)),"")</f>
        <v/>
      </c>
      <c r="AF233" s="833"/>
      <c r="AG233" s="833"/>
      <c r="AH233" s="91">
        <f>IF(AD233="free",0,IF(AD233="me",0,IF(G233&gt;0,(VLOOKUP(A233,'Discount Lookup'!J:K,2)*G233),0)))</f>
        <v>0</v>
      </c>
      <c r="AI233" s="92" t="str">
        <f t="shared" si="523"/>
        <v/>
      </c>
      <c r="AJ233" s="828" t="str">
        <f t="shared" ref="AJ233:AJ286" si="647">IF(G233=0,"",IF(AD233="me","  delivery-only",IF($AD$8="me","  delivery-only",CONCATENATE(" $",ROUND(AI233/G233,2)," each"))))</f>
        <v/>
      </c>
      <c r="AK233" s="828"/>
      <c r="AL233" s="313" t="str">
        <f t="shared" si="573"/>
        <v/>
      </c>
      <c r="AM233" s="312"/>
      <c r="AN233" s="101"/>
      <c r="AO233" s="101"/>
      <c r="AP233" s="101"/>
      <c r="AQ233" s="101"/>
      <c r="AR233" s="101"/>
      <c r="AS233" s="101"/>
      <c r="AT233" s="101"/>
    </row>
    <row r="234" spans="1:46" ht="12.95" customHeight="1">
      <c r="A234" s="419">
        <v>20</v>
      </c>
      <c r="B234" s="87" t="s">
        <v>50</v>
      </c>
      <c r="C234" s="128" t="s">
        <v>211</v>
      </c>
      <c r="D234" s="400" t="s">
        <v>90</v>
      </c>
      <c r="E234" s="98">
        <v>281.95</v>
      </c>
      <c r="F234" s="705" t="s">
        <v>1306</v>
      </c>
      <c r="G234" s="357">
        <v>0</v>
      </c>
      <c r="H234" s="704" t="str">
        <f t="shared" si="605"/>
        <v/>
      </c>
      <c r="I234" s="98">
        <f t="shared" si="606"/>
        <v>0</v>
      </c>
      <c r="J234" s="98">
        <f t="shared" si="607"/>
        <v>0</v>
      </c>
      <c r="K234" s="831">
        <f t="shared" si="608"/>
        <v>0</v>
      </c>
      <c r="L234" s="831"/>
      <c r="M234" s="832" t="str">
        <f t="shared" si="609"/>
        <v/>
      </c>
      <c r="N234" s="832"/>
      <c r="O234" s="832"/>
      <c r="P234" s="832"/>
      <c r="Q234" s="832"/>
      <c r="R234" s="832"/>
      <c r="S234" s="303">
        <f t="shared" si="624"/>
        <v>0</v>
      </c>
      <c r="T234" s="541">
        <f>VLOOKUP(A234,'Discount Lookup'!D:E,2,FALSE)*G234</f>
        <v>0</v>
      </c>
      <c r="U234" s="83">
        <f>VLOOKUP(A234,'Discount Lookup'!G:H,2,FALSE)*G234</f>
        <v>0</v>
      </c>
      <c r="V234" s="100">
        <f t="shared" si="611"/>
        <v>0</v>
      </c>
      <c r="W234" s="100">
        <f t="shared" si="625"/>
        <v>0</v>
      </c>
      <c r="X234" s="100" t="b">
        <f t="shared" si="644"/>
        <v>0</v>
      </c>
      <c r="Y234" s="201"/>
      <c r="Z234" s="829" t="str">
        <f t="shared" si="645"/>
        <v/>
      </c>
      <c r="AA234" s="829"/>
      <c r="AB234" s="830" t="str">
        <f>IF(G234=0,"",IF(AD234="free","re-planting",IF(AD234="me","not NVP, by",IF($AD$8="yes",(VLOOKUP(A234,'Discount Lookup'!J:K,2)*G234*(1-$AC$1786)*(1+$AC$1788)),IF(AD234="NVP",(VLOOKUP(A234,'Discount Lookup'!J:K,2)*G234*(1-$AC$1786)*(1+$AC$1788)),IF(AD234="free","re-planting",IF(G234=0,"",IF($AD$8="",IF(AD234="me","not NVP, by",IF(AD234="",IF(G234&gt;0,(VLOOKUP(A234,'Discount Lookup'!J:K,2)*G234*(1-$AC$1786)*(1+$AC$1788)),""),"")),"not NVP, by"))))))))</f>
        <v/>
      </c>
      <c r="AC234" s="830"/>
      <c r="AD234" s="375" t="str">
        <f t="shared" si="498"/>
        <v/>
      </c>
      <c r="AE234" s="833" t="str">
        <f t="shared" si="646"/>
        <v/>
      </c>
      <c r="AF234" s="833"/>
      <c r="AG234" s="833"/>
      <c r="AH234" s="91">
        <f>IF(AD234="free",0,IF(AD234="me",0,IF(G234&gt;0,(VLOOKUP(A234,'Discount Lookup'!J:K,2)*G234),0)))</f>
        <v>0</v>
      </c>
      <c r="AI234" s="92" t="str">
        <f t="shared" si="523"/>
        <v/>
      </c>
      <c r="AJ234" s="828" t="str">
        <f t="shared" si="647"/>
        <v/>
      </c>
      <c r="AK234" s="828"/>
      <c r="AL234" s="313" t="str">
        <f t="shared" si="573"/>
        <v/>
      </c>
      <c r="AM234" s="312"/>
      <c r="AN234" s="101"/>
      <c r="AO234" s="101"/>
      <c r="AP234" s="101"/>
      <c r="AQ234" s="101"/>
      <c r="AR234" s="101"/>
      <c r="AS234" s="101"/>
      <c r="AT234" s="101"/>
    </row>
    <row r="235" spans="1:46" ht="12.95" customHeight="1">
      <c r="A235" s="419">
        <v>25</v>
      </c>
      <c r="B235" s="87" t="s">
        <v>50</v>
      </c>
      <c r="C235" s="128" t="s">
        <v>211</v>
      </c>
      <c r="D235" s="400" t="s">
        <v>54</v>
      </c>
      <c r="E235" s="98">
        <v>378.95</v>
      </c>
      <c r="F235" s="705" t="s">
        <v>1306</v>
      </c>
      <c r="G235" s="357">
        <v>0</v>
      </c>
      <c r="H235" s="704" t="str">
        <f t="shared" si="605"/>
        <v/>
      </c>
      <c r="I235" s="98">
        <f t="shared" si="606"/>
        <v>0</v>
      </c>
      <c r="J235" s="98">
        <f t="shared" si="607"/>
        <v>0</v>
      </c>
      <c r="K235" s="831">
        <f t="shared" si="608"/>
        <v>0</v>
      </c>
      <c r="L235" s="831"/>
      <c r="M235" s="832" t="str">
        <f t="shared" si="609"/>
        <v/>
      </c>
      <c r="N235" s="832"/>
      <c r="O235" s="832"/>
      <c r="P235" s="832"/>
      <c r="Q235" s="832"/>
      <c r="R235" s="832"/>
      <c r="S235" s="303">
        <f t="shared" ref="S235" si="648">E235*G235</f>
        <v>0</v>
      </c>
      <c r="T235" s="541">
        <f>VLOOKUP(A235,'Discount Lookup'!D:E,2,FALSE)*G235</f>
        <v>0</v>
      </c>
      <c r="U235" s="83">
        <f>VLOOKUP(A235,'Discount Lookup'!G:H,2,FALSE)*G235</f>
        <v>0</v>
      </c>
      <c r="V235" s="100">
        <f t="shared" si="611"/>
        <v>0</v>
      </c>
      <c r="W235" s="100">
        <f t="shared" ref="W235" si="649">I235</f>
        <v>0</v>
      </c>
      <c r="X235" s="100" t="b">
        <f t="shared" si="613"/>
        <v>0</v>
      </c>
      <c r="Y235" s="201"/>
      <c r="Z235" s="829" t="str">
        <f t="shared" si="645"/>
        <v/>
      </c>
      <c r="AA235" s="829"/>
      <c r="AB235" s="830" t="str">
        <f>IF(G235=0,"",IF(AD235="free","re-planting",IF(AD235="me","not NVP, by",IF($AD$8="yes",(VLOOKUP(A235,'Discount Lookup'!J:K,2)*G235*(1-$AC$1786)*(1+$AC$1788)),IF(AD235="NVP",(VLOOKUP(A235,'Discount Lookup'!J:K,2)*G235*(1-$AC$1786)*(1+$AC$1788)),IF(AD235="free","re-planting",IF(G235=0,"",IF($AD$8="",IF(AD235="me","not NVP, by",IF(AD235="",IF(G235&gt;0,(VLOOKUP(A235,'Discount Lookup'!J:K,2)*G235*(1-$AC$1786)*(1+$AC$1788)),""),"")),"not NVP, by"))))))))</f>
        <v/>
      </c>
      <c r="AC235" s="830"/>
      <c r="AD235" s="375" t="str">
        <f t="shared" si="498"/>
        <v/>
      </c>
      <c r="AE235" s="833" t="str">
        <f t="shared" si="599"/>
        <v/>
      </c>
      <c r="AF235" s="833"/>
      <c r="AG235" s="833"/>
      <c r="AH235" s="91">
        <f>IF(AD235="free",0,IF(AD235="me",0,IF(G235&gt;0,(VLOOKUP(A235,'Discount Lookup'!J:K,2)*G235),0)))</f>
        <v>0</v>
      </c>
      <c r="AI235" s="92" t="str">
        <f t="shared" si="523"/>
        <v/>
      </c>
      <c r="AJ235" s="828" t="str">
        <f t="shared" si="647"/>
        <v/>
      </c>
      <c r="AK235" s="828"/>
      <c r="AL235" s="313" t="str">
        <f t="shared" si="573"/>
        <v/>
      </c>
      <c r="AM235" s="312"/>
      <c r="AN235" s="101"/>
      <c r="AO235" s="101"/>
      <c r="AP235" s="101"/>
      <c r="AQ235" s="101"/>
      <c r="AR235" s="101"/>
      <c r="AS235" s="101"/>
      <c r="AT235" s="101"/>
    </row>
    <row r="236" spans="1:46" ht="12.95" customHeight="1">
      <c r="A236" s="465"/>
      <c r="B236" s="103" t="s">
        <v>216</v>
      </c>
      <c r="H236" s="363"/>
      <c r="M236" s="121"/>
      <c r="N236" s="121"/>
      <c r="O236" s="111"/>
      <c r="P236" s="111"/>
      <c r="Q236" s="111"/>
      <c r="R236" s="111"/>
      <c r="S236" s="82">
        <f t="shared" ref="S236" si="650">E236*G236</f>
        <v>0</v>
      </c>
      <c r="T236" s="540"/>
      <c r="U236" s="83"/>
      <c r="V236" s="100" t="b">
        <f>IF(G236&gt;0,IF(AD236="me","",G236))</f>
        <v>0</v>
      </c>
      <c r="W236" s="100"/>
      <c r="X236" s="100"/>
      <c r="Y236" s="201"/>
      <c r="Z236" s="829" t="str">
        <f t="shared" si="645"/>
        <v/>
      </c>
      <c r="AA236" s="829"/>
      <c r="AB236" s="830" t="str">
        <f>IF(G236=0,"",IF(AD236="free","re-planting",IF(AD236="me","not NVP, by",IF($AD$8="yes",(VLOOKUP(A236,'Discount Lookup'!J:K,2)*G236*(1-$AC$1786)*(1+$AC$1788)),IF(AD236="NVP",(VLOOKUP(A236,'Discount Lookup'!J:K,2)*G236*(1-$AC$1786)*(1+$AC$1788)),IF(AD236="free","re-planting",IF(G236=0,"",IF($AD$8="",IF(AD236="me","not NVP, by",IF(AD236="",IF(G236&gt;0,(VLOOKUP(A236,'Discount Lookup'!J:K,2)*G236*(1-$AC$1786)*(1+$AC$1788)),""),"")),"not NVP, by"))))))))</f>
        <v/>
      </c>
      <c r="AC236" s="830"/>
      <c r="AD236" s="375" t="str">
        <f t="shared" si="498"/>
        <v/>
      </c>
      <c r="AE236" s="833" t="str">
        <f t="shared" si="599"/>
        <v/>
      </c>
      <c r="AF236" s="833"/>
      <c r="AG236" s="833"/>
      <c r="AH236" s="91">
        <f>IF(AD236="free",0,IF(AD236="me",0,IF(G236&gt;0,(VLOOKUP(A236,'Discount Lookup'!J:K,2)*G236),0)))</f>
        <v>0</v>
      </c>
      <c r="AI236" s="92" t="str">
        <f t="shared" si="523"/>
        <v/>
      </c>
      <c r="AJ236" s="828" t="str">
        <f t="shared" si="647"/>
        <v/>
      </c>
      <c r="AK236" s="828"/>
      <c r="AL236" s="313" t="str">
        <f t="shared" si="573"/>
        <v/>
      </c>
      <c r="AM236" s="312"/>
      <c r="AN236" s="101"/>
      <c r="AO236" s="101"/>
      <c r="AP236" s="101"/>
      <c r="AQ236" s="101"/>
      <c r="AR236" s="101"/>
      <c r="AS236" s="101"/>
      <c r="AT236" s="101"/>
    </row>
    <row r="237" spans="1:46" ht="12.95" customHeight="1">
      <c r="A237" s="847" t="s">
        <v>217</v>
      </c>
      <c r="B237" s="848"/>
      <c r="C237" s="848"/>
      <c r="D237" s="848"/>
      <c r="E237" s="848"/>
      <c r="F237" s="848"/>
      <c r="G237" s="848"/>
      <c r="H237" s="770" t="s">
        <v>218</v>
      </c>
      <c r="I237" s="88" t="s">
        <v>79</v>
      </c>
      <c r="J237" s="86"/>
      <c r="K237" s="600" t="s">
        <v>45</v>
      </c>
      <c r="L237" s="601" t="s">
        <v>46</v>
      </c>
      <c r="M237" s="86"/>
      <c r="N237" s="87" t="s">
        <v>69</v>
      </c>
      <c r="O237" s="87"/>
      <c r="P237" s="87"/>
      <c r="Q237" s="87"/>
      <c r="R237" s="86"/>
      <c r="S237" s="125"/>
      <c r="T237" s="543"/>
      <c r="U237" s="89" t="s">
        <v>48</v>
      </c>
      <c r="V237" s="100" t="b">
        <f>IF(G237&gt;0,IF(AD237="me","",G237))</f>
        <v>0</v>
      </c>
      <c r="W237" s="100"/>
      <c r="X237" s="100"/>
      <c r="Y237" s="201"/>
      <c r="Z237" s="829" t="str">
        <f t="shared" si="645"/>
        <v/>
      </c>
      <c r="AA237" s="829"/>
      <c r="AB237" s="830" t="str">
        <f>IF(G237=0,"",IF(AD237="free","re-planting",IF(AD237="me","not NVP, by",IF($AD$8="yes",(VLOOKUP(A237,'Discount Lookup'!J:K,2)*G237*(1-$AC$1786)*(1+$AC$1788)),IF(AD237="NVP",(VLOOKUP(A237,'Discount Lookup'!J:K,2)*G237*(1-$AC$1786)*(1+$AC$1788)),IF(AD237="free","re-planting",IF(G237=0,"",IF($AD$8="",IF(AD237="me","not NVP, by",IF(AD237="",IF(G237&gt;0,(VLOOKUP(A237,'Discount Lookup'!J:K,2)*G237*(1-$AC$1786)*(1+$AC$1788)),""),"")),"not NVP, by"))))))))</f>
        <v/>
      </c>
      <c r="AC237" s="830"/>
      <c r="AD237" s="375" t="str">
        <f t="shared" si="498"/>
        <v/>
      </c>
      <c r="AE237" s="833" t="str">
        <f t="shared" si="599"/>
        <v/>
      </c>
      <c r="AF237" s="833"/>
      <c r="AG237" s="833"/>
      <c r="AH237" s="91">
        <f>IF(AD237="free",0,IF(AD237="me",0,IF(G237&gt;0,(VLOOKUP(A237,'Discount Lookup'!J:K,2)*G237),0)))</f>
        <v>0</v>
      </c>
      <c r="AI237" s="92" t="str">
        <f t="shared" si="523"/>
        <v/>
      </c>
      <c r="AJ237" s="828" t="str">
        <f t="shared" si="647"/>
        <v/>
      </c>
      <c r="AK237" s="828"/>
      <c r="AL237" s="313" t="str">
        <f t="shared" si="573"/>
        <v/>
      </c>
      <c r="AM237" s="312"/>
      <c r="AN237" s="101"/>
      <c r="AO237" s="101"/>
      <c r="AP237" s="101"/>
      <c r="AQ237" s="101"/>
      <c r="AR237" s="101"/>
      <c r="AS237" s="101"/>
      <c r="AT237" s="101"/>
    </row>
    <row r="238" spans="1:46" ht="12.95" customHeight="1">
      <c r="A238" s="419">
        <v>3</v>
      </c>
      <c r="B238" s="87" t="s">
        <v>50</v>
      </c>
      <c r="C238" s="128" t="s">
        <v>85</v>
      </c>
      <c r="D238" s="129" t="s">
        <v>90</v>
      </c>
      <c r="E238" s="98">
        <v>27.95</v>
      </c>
      <c r="F238" s="705" t="s">
        <v>1306</v>
      </c>
      <c r="G238" s="357">
        <v>0</v>
      </c>
      <c r="H238" s="704" t="str">
        <f t="shared" ref="H238" si="651">IF(G238=0,"",IF(F238="Qty=",IF(G238=1,"plant","plants"),IF(F238&gt;0.0001,"warranty","Error")))</f>
        <v/>
      </c>
      <c r="I238" s="98">
        <f t="shared" ref="I238" si="652">IF(F238="Qty=",(E238*G238),((E238*(1-F238))*G238))</f>
        <v>0</v>
      </c>
      <c r="J238" s="98">
        <f>IF(H238="warranty",0,(I238*($J$1782)))</f>
        <v>0</v>
      </c>
      <c r="K238" s="831">
        <f t="shared" ref="K238" si="653">I238+J238</f>
        <v>0</v>
      </c>
      <c r="L238" s="831"/>
      <c r="M238" s="832" t="str">
        <f>IF($H$1784=0,"",IF(G238=0,"",IF(F238="Qty=",CONCATENATE("$",ROUND(K238*(1-$H$1784),2)," with ",($H$1784*100),"% discount"),CONCATENATE("$",ROUND(K238*(1-$H$1784),2)," with ",(($H$1784*100+F238*100)-($H$1784*100*F238)),IF(F238&gt;0,"% discounts",IF($H$1781&gt;0,"% discounts","% discount"))))))</f>
        <v/>
      </c>
      <c r="N238" s="832"/>
      <c r="O238" s="832"/>
      <c r="P238" s="832"/>
      <c r="Q238" s="832"/>
      <c r="R238" s="832"/>
      <c r="S238" s="303">
        <f t="shared" ref="S238" si="654">E238*G238</f>
        <v>0</v>
      </c>
      <c r="T238" s="541">
        <f>VLOOKUP(A238,'Discount Lookup'!D:E,2,FALSE)*G238</f>
        <v>0</v>
      </c>
      <c r="U238" s="83">
        <f>VLOOKUP(A238,'Discount Lookup'!G:H,2,FALSE)*G238</f>
        <v>0</v>
      </c>
      <c r="V238" s="100">
        <f>E238*($J$1782)*G238</f>
        <v>0</v>
      </c>
      <c r="W238" s="100">
        <f t="shared" ref="W238" si="655">I238</f>
        <v>0</v>
      </c>
      <c r="X238" s="100" t="b">
        <f t="shared" ref="X238" si="656">IF(G238&gt;0,IF(AD238="me","",G238))</f>
        <v>0</v>
      </c>
      <c r="Y238" s="201"/>
      <c r="Z238" s="829" t="str">
        <f t="shared" ref="Z238" si="657">IF(G238=0,"",IF(AD238="me","",IF($AD$8="me","",IF(AD238="free","warranty",IF($AD$8="yes","NVP planting:","to NVP install:")))))</f>
        <v/>
      </c>
      <c r="AA238" s="829"/>
      <c r="AB238" s="830" t="str">
        <f>IF(G238=0,"",IF(AD238="free","re-planting",IF(AD238="me","not NVP, by",IF($AD$8="yes",(VLOOKUP(A238,'Discount Lookup'!J:K,2)*G238*(1-$AC$1786)*(1+$AC$1788)),IF(AD238="NVP",(VLOOKUP(A238,'Discount Lookup'!J:K,2)*G238*(1-$AC$1786)*(1+$AC$1788)),IF(AD238="free","re-planting",IF(G238=0,"",IF($AD$8="",IF(AD238="me","not NVP, by",IF(AD238="",IF(G238&gt;0,(VLOOKUP(A238,'Discount Lookup'!J:K,2)*G238*(1-$AC$1786)*(1+$AC$1788)),""),"")),"not NVP, by"))))))))</f>
        <v/>
      </c>
      <c r="AC238" s="830"/>
      <c r="AD238" s="375" t="str">
        <f t="shared" si="498"/>
        <v/>
      </c>
      <c r="AE238" s="833" t="str">
        <f t="shared" ref="AE238" si="658">IF(G238&gt;0,(CONCATENATE((G238)," quantity, ",(A238)," ",B238)),"")</f>
        <v/>
      </c>
      <c r="AF238" s="833"/>
      <c r="AG238" s="833"/>
      <c r="AH238" s="91">
        <f>IF(AD238="free",0,IF(AD238="me",0,IF(G238&gt;0,(VLOOKUP(A238,'Discount Lookup'!J:K,2)*G238),0)))</f>
        <v>0</v>
      </c>
      <c r="AI238" s="92" t="str">
        <f t="shared" si="523"/>
        <v/>
      </c>
      <c r="AJ238" s="828" t="str">
        <f t="shared" ref="AJ238" si="659">IF(G238=0,"",IF(AD238="me","  delivery-only",IF($AD$8="me","  delivery-only",CONCATENATE(" $",ROUND(AI238/G238,2)," each"))))</f>
        <v/>
      </c>
      <c r="AK238" s="828"/>
      <c r="AL238" s="313" t="str">
        <f t="shared" si="573"/>
        <v/>
      </c>
      <c r="AM238" s="312"/>
      <c r="AN238" s="101"/>
      <c r="AO238" s="101"/>
      <c r="AP238" s="101"/>
      <c r="AQ238" s="101"/>
      <c r="AR238" s="101"/>
      <c r="AS238" s="101"/>
      <c r="AT238" s="101"/>
    </row>
    <row r="239" spans="1:46" ht="12.95" customHeight="1">
      <c r="A239" s="419">
        <v>7</v>
      </c>
      <c r="B239" s="87" t="s">
        <v>50</v>
      </c>
      <c r="C239" s="128" t="s">
        <v>1354</v>
      </c>
      <c r="D239" s="129" t="s">
        <v>63</v>
      </c>
      <c r="E239" s="98">
        <v>62.95</v>
      </c>
      <c r="F239" s="705" t="s">
        <v>1306</v>
      </c>
      <c r="G239" s="357">
        <v>0</v>
      </c>
      <c r="H239" s="704" t="str">
        <f t="shared" ref="H239:H241" si="660">IF(G239=0,"",IF(F239="Qty=",IF(G239=1,"plant","plants"),IF(F239&gt;0.0001,"warranty","Error")))</f>
        <v/>
      </c>
      <c r="I239" s="98">
        <f t="shared" ref="I239:I241" si="661">IF(F239="Qty=",(E239*G239),((E239*(1-F239))*G239))</f>
        <v>0</v>
      </c>
      <c r="J239" s="98">
        <f>IF(H239="warranty",0,(I239*($J$1782)))</f>
        <v>0</v>
      </c>
      <c r="K239" s="831">
        <f t="shared" ref="K239:K241" si="662">I239+J239</f>
        <v>0</v>
      </c>
      <c r="L239" s="831"/>
      <c r="M239" s="832" t="str">
        <f>IF($H$1784=0,"",IF(G239=0,"",IF(F239="Qty=",CONCATENATE("$",ROUND(K239*(1-$H$1784),2)," with ",($H$1784*100),"% discount"),CONCATENATE("$",ROUND(K239*(1-$H$1784),2)," with ",(($H$1784*100+F239*100)-($H$1784*100*F239)),IF(F239&gt;0,"% discounts",IF($H$1781&gt;0,"% discounts","% discount"))))))</f>
        <v/>
      </c>
      <c r="N239" s="832"/>
      <c r="O239" s="832"/>
      <c r="P239" s="832"/>
      <c r="Q239" s="832"/>
      <c r="R239" s="832"/>
      <c r="S239" s="303">
        <f t="shared" ref="S239" si="663">E239*G239</f>
        <v>0</v>
      </c>
      <c r="T239" s="541">
        <f>VLOOKUP(A239,'Discount Lookup'!D:E,2,FALSE)*G239</f>
        <v>0</v>
      </c>
      <c r="U239" s="83">
        <f>VLOOKUP(A239,'Discount Lookup'!G:H,2,FALSE)*G239</f>
        <v>0</v>
      </c>
      <c r="V239" s="100">
        <f>E239*($J$1782)*G239</f>
        <v>0</v>
      </c>
      <c r="W239" s="100">
        <f t="shared" ref="W239" si="664">I239</f>
        <v>0</v>
      </c>
      <c r="X239" s="100" t="b">
        <f t="shared" ref="X239:X241" si="665">IF(G239&gt;0,IF(AD239="me","",G239))</f>
        <v>0</v>
      </c>
      <c r="Y239" s="201"/>
      <c r="Z239" s="829" t="str">
        <f t="shared" si="645"/>
        <v/>
      </c>
      <c r="AA239" s="829"/>
      <c r="AB239" s="830" t="str">
        <f>IF(G239=0,"",IF(AD239="free","re-planting",IF(AD239="me","not NVP, by",IF($AD$8="yes",(VLOOKUP(A239,'Discount Lookup'!J:K,2)*G239*(1-$AC$1786)*(1+$AC$1788)),IF(AD239="NVP",(VLOOKUP(A239,'Discount Lookup'!J:K,2)*G239*(1-$AC$1786)*(1+$AC$1788)),IF(AD239="free","re-planting",IF(G239=0,"",IF($AD$8="",IF(AD239="me","not NVP, by",IF(AD239="",IF(G239&gt;0,(VLOOKUP(A239,'Discount Lookup'!J:K,2)*G239*(1-$AC$1786)*(1+$AC$1788)),""),"")),"not NVP, by"))))))))</f>
        <v/>
      </c>
      <c r="AC239" s="830"/>
      <c r="AD239" s="375" t="str">
        <f t="shared" ref="AD239:AD301" si="666">IF(G239=0,"",IF($AD$8="me","me",IF(H239="warranty","free",IF($AD$8="yes","NVP",""))))</f>
        <v/>
      </c>
      <c r="AE239" s="833" t="str">
        <f t="shared" ref="AE239" si="667">IF(G239&gt;0,(CONCATENATE((G239)," quantity, ",(A239)," ",B239)),"")</f>
        <v/>
      </c>
      <c r="AF239" s="833"/>
      <c r="AG239" s="833"/>
      <c r="AH239" s="91">
        <f>IF(AD239="free",0,IF(AD239="me",0,IF(G239&gt;0,(VLOOKUP(A239,'Discount Lookup'!J:K,2)*G239),0)))</f>
        <v>0</v>
      </c>
      <c r="AI239" s="92" t="str">
        <f t="shared" si="523"/>
        <v/>
      </c>
      <c r="AJ239" s="828" t="str">
        <f t="shared" si="647"/>
        <v/>
      </c>
      <c r="AK239" s="828"/>
      <c r="AL239" s="313" t="str">
        <f t="shared" si="573"/>
        <v/>
      </c>
      <c r="AM239" s="312"/>
      <c r="AN239" s="101"/>
      <c r="AO239" s="101"/>
      <c r="AP239" s="101"/>
      <c r="AQ239" s="101"/>
      <c r="AR239" s="101"/>
      <c r="AS239" s="101"/>
      <c r="AT239" s="101"/>
    </row>
    <row r="240" spans="1:46" ht="12.95" customHeight="1">
      <c r="A240" s="419">
        <v>10</v>
      </c>
      <c r="B240" s="87" t="s">
        <v>50</v>
      </c>
      <c r="C240" s="128" t="s">
        <v>199</v>
      </c>
      <c r="D240" s="129" t="s">
        <v>62</v>
      </c>
      <c r="E240" s="98">
        <v>83.95</v>
      </c>
      <c r="F240" s="705" t="s">
        <v>1306</v>
      </c>
      <c r="G240" s="357">
        <v>0</v>
      </c>
      <c r="H240" s="704" t="str">
        <f t="shared" si="660"/>
        <v/>
      </c>
      <c r="I240" s="98">
        <f t="shared" si="661"/>
        <v>0</v>
      </c>
      <c r="J240" s="98">
        <f>IF(H240="warranty",0,(I240*($J$1782)))</f>
        <v>0</v>
      </c>
      <c r="K240" s="831">
        <f t="shared" si="662"/>
        <v>0</v>
      </c>
      <c r="L240" s="831"/>
      <c r="M240" s="832" t="str">
        <f>IF($H$1784=0,"",IF(G240=0,"",IF(F240="Qty=",CONCATENATE("$",ROUND(K240*(1-$H$1784),2)," with ",($H$1784*100),"% discount"),CONCATENATE("$",ROUND(K240*(1-$H$1784),2)," with ",(($H$1784*100+F240*100)-($H$1784*100*F240)),IF(F240&gt;0,"% discounts",IF($H$1781&gt;0,"% discounts","% discount"))))))</f>
        <v/>
      </c>
      <c r="N240" s="832"/>
      <c r="O240" s="832"/>
      <c r="P240" s="832"/>
      <c r="Q240" s="832"/>
      <c r="R240" s="832"/>
      <c r="S240" s="303">
        <f t="shared" ref="S240" si="668">E240*G240</f>
        <v>0</v>
      </c>
      <c r="T240" s="541">
        <f>VLOOKUP(A240,'Discount Lookup'!D:E,2,FALSE)*G240</f>
        <v>0</v>
      </c>
      <c r="U240" s="83">
        <f>VLOOKUP(A240,'Discount Lookup'!G:H,2,FALSE)*G240</f>
        <v>0</v>
      </c>
      <c r="V240" s="100">
        <f>E240*($J$1782)*G240</f>
        <v>0</v>
      </c>
      <c r="W240" s="100">
        <f t="shared" ref="W240" si="669">I240</f>
        <v>0</v>
      </c>
      <c r="X240" s="100" t="b">
        <f t="shared" si="665"/>
        <v>0</v>
      </c>
      <c r="Y240" s="201"/>
      <c r="Z240" s="829" t="str">
        <f t="shared" si="645"/>
        <v/>
      </c>
      <c r="AA240" s="829"/>
      <c r="AB240" s="830" t="str">
        <f>IF(G240=0,"",IF(AD240="free","re-planting",IF(AD240="me","not NVP, by",IF($AD$8="yes",(VLOOKUP(A240,'Discount Lookup'!J:K,2)*G240*(1-$AC$1786)*(1+$AC$1788)),IF(AD240="NVP",(VLOOKUP(A240,'Discount Lookup'!J:K,2)*G240*(1-$AC$1786)*(1+$AC$1788)),IF(AD240="free","re-planting",IF(G240=0,"",IF($AD$8="",IF(AD240="me","not NVP, by",IF(AD240="",IF(G240&gt;0,(VLOOKUP(A240,'Discount Lookup'!J:K,2)*G240*(1-$AC$1786)*(1+$AC$1788)),""),"")),"not NVP, by"))))))))</f>
        <v/>
      </c>
      <c r="AC240" s="830"/>
      <c r="AD240" s="375" t="str">
        <f t="shared" si="666"/>
        <v/>
      </c>
      <c r="AE240" s="833" t="str">
        <f t="shared" ref="AE240" si="670">IF(G240&gt;0,(CONCATENATE((G240)," quantity, ",(A240)," ",B240)),"")</f>
        <v/>
      </c>
      <c r="AF240" s="833"/>
      <c r="AG240" s="833"/>
      <c r="AH240" s="91">
        <f>IF(AD240="free",0,IF(AD240="me",0,IF(G240&gt;0,(VLOOKUP(A240,'Discount Lookup'!J:K,2)*G240),0)))</f>
        <v>0</v>
      </c>
      <c r="AI240" s="92" t="str">
        <f t="shared" si="523"/>
        <v/>
      </c>
      <c r="AJ240" s="828" t="str">
        <f t="shared" si="647"/>
        <v/>
      </c>
      <c r="AK240" s="828"/>
      <c r="AL240" s="313" t="str">
        <f t="shared" si="573"/>
        <v/>
      </c>
      <c r="AM240" s="312"/>
      <c r="AN240" s="101"/>
      <c r="AO240" s="101"/>
      <c r="AP240" s="101"/>
      <c r="AQ240" s="101"/>
      <c r="AR240" s="101"/>
      <c r="AS240" s="101"/>
      <c r="AT240" s="101"/>
    </row>
    <row r="241" spans="1:46" ht="12.95" customHeight="1">
      <c r="A241" s="419">
        <v>10</v>
      </c>
      <c r="B241" s="87" t="s">
        <v>50</v>
      </c>
      <c r="C241" s="128" t="s">
        <v>119</v>
      </c>
      <c r="D241" s="129" t="s">
        <v>90</v>
      </c>
      <c r="E241" s="98">
        <v>95.95</v>
      </c>
      <c r="F241" s="705" t="s">
        <v>1306</v>
      </c>
      <c r="G241" s="357">
        <v>0</v>
      </c>
      <c r="H241" s="704" t="str">
        <f t="shared" si="660"/>
        <v/>
      </c>
      <c r="I241" s="98">
        <f t="shared" si="661"/>
        <v>0</v>
      </c>
      <c r="J241" s="98">
        <f>IF(H241="warranty",0,(I241*($J$1782)))</f>
        <v>0</v>
      </c>
      <c r="K241" s="831">
        <f t="shared" si="662"/>
        <v>0</v>
      </c>
      <c r="L241" s="831"/>
      <c r="M241" s="832" t="str">
        <f>IF($H$1784=0,"",IF(G241=0,"",IF(F241="Qty=",CONCATENATE("$",ROUND(K241*(1-$H$1784),2)," with ",($H$1784*100),"% discount"),CONCATENATE("$",ROUND(K241*(1-$H$1784),2)," with ",(($H$1784*100+F241*100)-($H$1784*100*F241)),IF(F241&gt;0,"% discounts",IF($H$1781&gt;0,"% discounts","% discount"))))))</f>
        <v/>
      </c>
      <c r="N241" s="832"/>
      <c r="O241" s="832"/>
      <c r="P241" s="832"/>
      <c r="Q241" s="832"/>
      <c r="R241" s="832"/>
      <c r="S241" s="303">
        <f t="shared" ref="S241" si="671">E241*G241</f>
        <v>0</v>
      </c>
      <c r="T241" s="541">
        <f>VLOOKUP(A241,'Discount Lookup'!D:E,2,FALSE)*G241</f>
        <v>0</v>
      </c>
      <c r="U241" s="83">
        <f>VLOOKUP(A241,'Discount Lookup'!G:H,2,FALSE)*G241</f>
        <v>0</v>
      </c>
      <c r="V241" s="100">
        <f>E241*($J$1782)*G241</f>
        <v>0</v>
      </c>
      <c r="W241" s="100">
        <f t="shared" ref="W241" si="672">I241</f>
        <v>0</v>
      </c>
      <c r="X241" s="100" t="b">
        <f t="shared" si="665"/>
        <v>0</v>
      </c>
      <c r="Y241" s="201"/>
      <c r="Z241" s="829" t="str">
        <f t="shared" si="645"/>
        <v/>
      </c>
      <c r="AA241" s="829"/>
      <c r="AB241" s="830" t="str">
        <f>IF(G241=0,"",IF(AD241="free","re-planting",IF(AD241="me","not NVP, by",IF($AD$8="yes",(VLOOKUP(A241,'Discount Lookup'!J:K,2)*G241*(1-$AC$1786)*(1+$AC$1788)),IF(AD241="NVP",(VLOOKUP(A241,'Discount Lookup'!J:K,2)*G241*(1-$AC$1786)*(1+$AC$1788)),IF(AD241="free","re-planting",IF(G241=0,"",IF($AD$8="",IF(AD241="me","not NVP, by",IF(AD241="",IF(G241&gt;0,(VLOOKUP(A241,'Discount Lookup'!J:K,2)*G241*(1-$AC$1786)*(1+$AC$1788)),""),"")),"not NVP, by"))))))))</f>
        <v/>
      </c>
      <c r="AC241" s="830"/>
      <c r="AD241" s="375" t="str">
        <f t="shared" si="666"/>
        <v/>
      </c>
      <c r="AE241" s="833" t="str">
        <f t="shared" si="599"/>
        <v/>
      </c>
      <c r="AF241" s="833"/>
      <c r="AG241" s="833"/>
      <c r="AH241" s="91">
        <f>IF(AD241="free",0,IF(AD241="me",0,IF(G241&gt;0,(VLOOKUP(A241,'Discount Lookup'!J:K,2)*G241),0)))</f>
        <v>0</v>
      </c>
      <c r="AI241" s="92" t="str">
        <f t="shared" si="523"/>
        <v/>
      </c>
      <c r="AJ241" s="828" t="str">
        <f t="shared" si="647"/>
        <v/>
      </c>
      <c r="AK241" s="828"/>
      <c r="AL241" s="313" t="str">
        <f t="shared" si="573"/>
        <v/>
      </c>
      <c r="AM241" s="312"/>
      <c r="AN241" s="101"/>
      <c r="AO241" s="101"/>
      <c r="AP241" s="101"/>
      <c r="AQ241" s="101"/>
      <c r="AR241" s="101"/>
      <c r="AS241" s="101"/>
      <c r="AT241" s="101"/>
    </row>
    <row r="242" spans="1:46" ht="12.95" customHeight="1">
      <c r="A242" s="465"/>
      <c r="B242" s="103" t="s">
        <v>219</v>
      </c>
      <c r="C242" s="104"/>
      <c r="D242" s="104"/>
      <c r="E242" s="131"/>
      <c r="F242" s="710"/>
      <c r="G242" s="358"/>
      <c r="H242" s="744"/>
      <c r="I242" s="131"/>
      <c r="J242" s="131"/>
      <c r="K242" s="608"/>
      <c r="L242" s="608"/>
      <c r="M242" s="121"/>
      <c r="N242" s="163" t="s">
        <v>132</v>
      </c>
      <c r="O242" s="123"/>
      <c r="P242" s="124"/>
      <c r="Q242" s="841" t="s">
        <v>125</v>
      </c>
      <c r="R242" s="841"/>
      <c r="S242" s="841"/>
      <c r="T242" s="841"/>
      <c r="U242" s="841"/>
      <c r="V242" s="841"/>
      <c r="Y242" s="132"/>
      <c r="Z242" s="829" t="str">
        <f t="shared" si="645"/>
        <v/>
      </c>
      <c r="AA242" s="829"/>
      <c r="AB242" s="830" t="str">
        <f>IF(G242=0,"",IF(AD242="free","re-planting",IF(AD242="me","not NVP, by",IF($AD$8="yes",(VLOOKUP(A242,'Discount Lookup'!J:K,2)*G242*(1-$AC$1786)*(1+$AC$1788)),IF(AD242="NVP",(VLOOKUP(A242,'Discount Lookup'!J:K,2)*G242*(1-$AC$1786)*(1+$AC$1788)),IF(AD242="free","re-planting",IF(G242=0,"",IF($AD$8="",IF(AD242="me","not NVP, by",IF(AD242="",IF(G242&gt;0,(VLOOKUP(A242,'Discount Lookup'!J:K,2)*G242*(1-$AC$1786)*(1+$AC$1788)),""),"")),"not NVP, by"))))))))</f>
        <v/>
      </c>
      <c r="AC242" s="830"/>
      <c r="AD242" s="375" t="str">
        <f t="shared" si="666"/>
        <v/>
      </c>
      <c r="AE242" s="833" t="str">
        <f t="shared" si="599"/>
        <v/>
      </c>
      <c r="AF242" s="833"/>
      <c r="AG242" s="833"/>
      <c r="AH242" s="91">
        <f>IF(AD242="free",0,IF(AD242="me",0,IF(G242&gt;0,(VLOOKUP(A242,'Discount Lookup'!J:K,2)*G242),0)))</f>
        <v>0</v>
      </c>
      <c r="AI242" s="92" t="str">
        <f t="shared" si="523"/>
        <v/>
      </c>
      <c r="AJ242" s="828" t="str">
        <f t="shared" si="647"/>
        <v/>
      </c>
      <c r="AK242" s="828"/>
      <c r="AL242" s="313" t="str">
        <f t="shared" si="573"/>
        <v/>
      </c>
      <c r="AM242" s="312"/>
      <c r="AN242" s="101"/>
      <c r="AO242" s="101"/>
      <c r="AP242" s="101"/>
      <c r="AQ242" s="101"/>
      <c r="AR242" s="101"/>
      <c r="AS242" s="101"/>
      <c r="AT242" s="101"/>
    </row>
    <row r="243" spans="1:46" ht="12.95" customHeight="1">
      <c r="A243" s="852" t="s">
        <v>222</v>
      </c>
      <c r="B243" s="844"/>
      <c r="C243" s="844"/>
      <c r="D243" s="844"/>
      <c r="E243" s="844"/>
      <c r="F243" s="844"/>
      <c r="G243" s="844"/>
      <c r="H243" s="770" t="s">
        <v>220</v>
      </c>
      <c r="I243" s="88" t="s">
        <v>79</v>
      </c>
      <c r="J243" s="86"/>
      <c r="K243" s="603" t="s">
        <v>45</v>
      </c>
      <c r="L243" s="601" t="s">
        <v>46</v>
      </c>
      <c r="M243" s="86"/>
      <c r="N243" s="87" t="s">
        <v>69</v>
      </c>
      <c r="O243" s="87"/>
      <c r="P243" s="87"/>
      <c r="Q243" s="87"/>
      <c r="R243" s="86"/>
      <c r="S243" s="125"/>
      <c r="T243" s="543"/>
      <c r="U243" s="112"/>
      <c r="V243" s="100" t="b">
        <f>IF(G243&gt;0,IF(AD243="me","",G243))</f>
        <v>0</v>
      </c>
      <c r="W243" s="100"/>
      <c r="X243" s="100"/>
      <c r="Y243" s="201"/>
      <c r="Z243" s="829" t="str">
        <f t="shared" si="645"/>
        <v/>
      </c>
      <c r="AA243" s="829"/>
      <c r="AB243" s="830" t="str">
        <f>IF(G243=0,"",IF(AD243="free","re-planting",IF(AD243="me","not NVP, by",IF($AD$8="yes",(VLOOKUP(A243,'Discount Lookup'!J:K,2)*G243*(1-$AC$1786)*(1+$AC$1788)),IF(AD243="NVP",(VLOOKUP(A243,'Discount Lookup'!J:K,2)*G243*(1-$AC$1786)*(1+$AC$1788)),IF(AD243="free","re-planting",IF(G243=0,"",IF($AD$8="",IF(AD243="me","not NVP, by",IF(AD243="",IF(G243&gt;0,(VLOOKUP(A243,'Discount Lookup'!J:K,2)*G243*(1-$AC$1786)*(1+$AC$1788)),""),"")),"not NVP, by"))))))))</f>
        <v/>
      </c>
      <c r="AC243" s="830"/>
      <c r="AD243" s="375" t="str">
        <f t="shared" si="666"/>
        <v/>
      </c>
      <c r="AE243" s="833" t="str">
        <f t="shared" si="599"/>
        <v/>
      </c>
      <c r="AF243" s="833"/>
      <c r="AG243" s="833"/>
      <c r="AH243" s="91">
        <f>IF(AD243="free",0,IF(AD243="me",0,IF(G243&gt;0,(VLOOKUP(A243,'Discount Lookup'!J:K,2)*G243),0)))</f>
        <v>0</v>
      </c>
      <c r="AI243" s="92" t="str">
        <f t="shared" si="523"/>
        <v/>
      </c>
      <c r="AJ243" s="828" t="str">
        <f t="shared" si="647"/>
        <v/>
      </c>
      <c r="AK243" s="828"/>
      <c r="AL243" s="313" t="str">
        <f t="shared" si="573"/>
        <v/>
      </c>
      <c r="AM243" s="312"/>
      <c r="AN243" s="101"/>
      <c r="AO243" s="101"/>
      <c r="AP243" s="101"/>
      <c r="AQ243" s="101"/>
      <c r="AR243" s="101"/>
      <c r="AS243" s="101"/>
      <c r="AT243" s="101"/>
    </row>
    <row r="244" spans="1:46" ht="12.95" customHeight="1">
      <c r="A244" s="419">
        <v>3</v>
      </c>
      <c r="B244" s="87" t="s">
        <v>50</v>
      </c>
      <c r="C244" s="128" t="s">
        <v>181</v>
      </c>
      <c r="D244" s="129" t="s">
        <v>52</v>
      </c>
      <c r="E244" s="98">
        <v>26.95</v>
      </c>
      <c r="F244" s="705" t="s">
        <v>1306</v>
      </c>
      <c r="G244" s="357">
        <v>0</v>
      </c>
      <c r="H244" s="704" t="str">
        <f t="shared" ref="H244:H245" si="673">IF(G244=0,"",IF(F244="Qty=",IF(G244=1,"plant","plants"),IF(F244&gt;0.0001,"warranty","Error")))</f>
        <v/>
      </c>
      <c r="I244" s="98">
        <f t="shared" ref="I244:I245" si="674">IF(F244="Qty=",(E244*G244),((E244*(1-F244))*G244))</f>
        <v>0</v>
      </c>
      <c r="J244" s="98">
        <f>IF(H244="warranty",0,(I244*($J$1782)))</f>
        <v>0</v>
      </c>
      <c r="K244" s="831">
        <f t="shared" ref="K244:K245" si="675">I244+J244</f>
        <v>0</v>
      </c>
      <c r="L244" s="831"/>
      <c r="M244" s="832" t="str">
        <f>IF($H$1784=0,"",IF(G244=0,"",IF(F244="Qty=",CONCATENATE("$",ROUND(K244*(1-$H$1784),2)," with ",($H$1784*100),"% discount"),CONCATENATE("$",ROUND(K244*(1-$H$1784),2)," with ",(($H$1784*100+F244*100)-($H$1784*100*F244)),IF(F244&gt;0,"% discounts",IF($H$1781&gt;0,"% discounts","% discount"))))))</f>
        <v/>
      </c>
      <c r="N244" s="832"/>
      <c r="O244" s="832"/>
      <c r="P244" s="832"/>
      <c r="Q244" s="832"/>
      <c r="R244" s="832"/>
      <c r="S244" s="303">
        <f t="shared" ref="S244:S245" si="676">E244*G244</f>
        <v>0</v>
      </c>
      <c r="T244" s="541">
        <f>VLOOKUP(A244,'Discount Lookup'!D:E,2,FALSE)*G244</f>
        <v>0</v>
      </c>
      <c r="U244" s="83">
        <f>VLOOKUP(A244,'Discount Lookup'!G:H,2,FALSE)*G244</f>
        <v>0</v>
      </c>
      <c r="V244" s="100">
        <f>E244*($J$1782)*G244</f>
        <v>0</v>
      </c>
      <c r="W244" s="100">
        <f t="shared" ref="W244:W245" si="677">I244</f>
        <v>0</v>
      </c>
      <c r="X244" s="100" t="b">
        <f t="shared" ref="X244:X245" si="678">IF(G244&gt;0,IF(AD244="me","",G244))</f>
        <v>0</v>
      </c>
      <c r="Y244" s="201"/>
      <c r="Z244" s="829" t="str">
        <f t="shared" ref="Z244:Z245" si="679">IF(G244=0,"",IF(AD244="me","",IF($AD$8="me","",IF(AD244="free","warranty",IF($AD$8="yes","NVP planting:","to NVP install:")))))</f>
        <v/>
      </c>
      <c r="AA244" s="829"/>
      <c r="AB244" s="830" t="str">
        <f>IF(G244=0,"",IF(AD244="free","re-planting",IF(AD244="me","not NVP, by",IF($AD$8="yes",(VLOOKUP(A244,'Discount Lookup'!J:K,2)*G244*(1-$AC$1786)*(1+$AC$1788)),IF(AD244="NVP",(VLOOKUP(A244,'Discount Lookup'!J:K,2)*G244*(1-$AC$1786)*(1+$AC$1788)),IF(AD244="free","re-planting",IF(G244=0,"",IF($AD$8="",IF(AD244="me","not NVP, by",IF(AD244="",IF(G244&gt;0,(VLOOKUP(A244,'Discount Lookup'!J:K,2)*G244*(1-$AC$1786)*(1+$AC$1788)),""),"")),"not NVP, by"))))))))</f>
        <v/>
      </c>
      <c r="AC244" s="830"/>
      <c r="AD244" s="375" t="str">
        <f t="shared" ref="AD244:AD245" si="680">IF(G244=0,"",IF($AD$8="me","me",IF(H244="warranty","free",IF($AD$8="yes","NVP",""))))</f>
        <v/>
      </c>
      <c r="AE244" s="833" t="str">
        <f t="shared" ref="AE244:AE245" si="681">IF(G244&gt;0,(CONCATENATE((G244)," quantity, ",(A244)," ",B244)),"")</f>
        <v/>
      </c>
      <c r="AF244" s="833"/>
      <c r="AG244" s="833"/>
      <c r="AH244" s="91">
        <f>IF(AD244="free",0,IF(AD244="me",0,IF(G244&gt;0,(VLOOKUP(A244,'Discount Lookup'!J:K,2)*G244),0)))</f>
        <v>0</v>
      </c>
      <c r="AI244" s="92" t="str">
        <f t="shared" si="523"/>
        <v/>
      </c>
      <c r="AJ244" s="828" t="str">
        <f t="shared" ref="AJ244:AJ245" si="682">IF(G244=0,"",IF(AD244="me","  delivery-only",IF($AD$8="me","  delivery-only",CONCATENATE(" $",ROUND(AI244/G244,2)," each"))))</f>
        <v/>
      </c>
      <c r="AK244" s="828"/>
      <c r="AL244" s="313" t="str">
        <f t="shared" si="573"/>
        <v/>
      </c>
      <c r="AM244" s="312"/>
      <c r="AN244" s="101"/>
      <c r="AO244" s="101"/>
      <c r="AP244" s="101"/>
      <c r="AQ244" s="101"/>
      <c r="AR244" s="101"/>
      <c r="AS244" s="101"/>
      <c r="AT244" s="101"/>
    </row>
    <row r="245" spans="1:46" ht="12.95" customHeight="1">
      <c r="A245" s="419">
        <v>7</v>
      </c>
      <c r="B245" s="87" t="s">
        <v>50</v>
      </c>
      <c r="C245" s="128" t="s">
        <v>1679</v>
      </c>
      <c r="D245" s="129" t="s">
        <v>52</v>
      </c>
      <c r="E245" s="98">
        <v>59.95</v>
      </c>
      <c r="F245" s="705" t="s">
        <v>1306</v>
      </c>
      <c r="G245" s="357">
        <v>0</v>
      </c>
      <c r="H245" s="704" t="str">
        <f t="shared" si="673"/>
        <v/>
      </c>
      <c r="I245" s="98">
        <f t="shared" si="674"/>
        <v>0</v>
      </c>
      <c r="J245" s="98">
        <f>IF(H245="warranty",0,(I245*($J$1782)))</f>
        <v>0</v>
      </c>
      <c r="K245" s="831">
        <f t="shared" si="675"/>
        <v>0</v>
      </c>
      <c r="L245" s="831"/>
      <c r="M245" s="832" t="str">
        <f>IF($H$1784=0,"",IF(G245=0,"",IF(F245="Qty=",CONCATENATE("$",ROUND(K245*(1-$H$1784),2)," with ",($H$1784*100),"% discount"),CONCATENATE("$",ROUND(K245*(1-$H$1784),2)," with ",(($H$1784*100+F245*100)-($H$1784*100*F245)),IF(F245&gt;0,"% discounts",IF($H$1781&gt;0,"% discounts","% discount"))))))</f>
        <v/>
      </c>
      <c r="N245" s="832"/>
      <c r="O245" s="832"/>
      <c r="P245" s="832"/>
      <c r="Q245" s="832"/>
      <c r="R245" s="832"/>
      <c r="S245" s="303">
        <f t="shared" si="676"/>
        <v>0</v>
      </c>
      <c r="T245" s="541">
        <f>VLOOKUP(A245,'Discount Lookup'!D:E,2,FALSE)*G245</f>
        <v>0</v>
      </c>
      <c r="U245" s="83">
        <f>VLOOKUP(A245,'Discount Lookup'!G:H,2,FALSE)*G245</f>
        <v>0</v>
      </c>
      <c r="V245" s="100">
        <f>E245*($J$1782)*G245</f>
        <v>0</v>
      </c>
      <c r="W245" s="100">
        <f t="shared" si="677"/>
        <v>0</v>
      </c>
      <c r="X245" s="100" t="b">
        <f t="shared" si="678"/>
        <v>0</v>
      </c>
      <c r="Y245" s="201"/>
      <c r="Z245" s="829" t="str">
        <f t="shared" si="679"/>
        <v/>
      </c>
      <c r="AA245" s="829"/>
      <c r="AB245" s="830" t="str">
        <f>IF(G245=0,"",IF(AD245="free","re-planting",IF(AD245="me","not NVP, by",IF($AD$8="yes",(VLOOKUP(A245,'Discount Lookup'!J:K,2)*G245*(1-$AC$1786)*(1+$AC$1788)),IF(AD245="NVP",(VLOOKUP(A245,'Discount Lookup'!J:K,2)*G245*(1-$AC$1786)*(1+$AC$1788)),IF(AD245="free","re-planting",IF(G245=0,"",IF($AD$8="",IF(AD245="me","not NVP, by",IF(AD245="",IF(G245&gt;0,(VLOOKUP(A245,'Discount Lookup'!J:K,2)*G245*(1-$AC$1786)*(1+$AC$1788)),""),"")),"not NVP, by"))))))))</f>
        <v/>
      </c>
      <c r="AC245" s="830"/>
      <c r="AD245" s="375" t="str">
        <f t="shared" si="680"/>
        <v/>
      </c>
      <c r="AE245" s="833" t="str">
        <f t="shared" si="681"/>
        <v/>
      </c>
      <c r="AF245" s="833"/>
      <c r="AG245" s="833"/>
      <c r="AH245" s="91">
        <f>IF(AD245="free",0,IF(AD245="me",0,IF(G245&gt;0,(VLOOKUP(A245,'Discount Lookup'!J:K,2)*G245),0)))</f>
        <v>0</v>
      </c>
      <c r="AI245" s="92" t="str">
        <f t="shared" si="523"/>
        <v/>
      </c>
      <c r="AJ245" s="828" t="str">
        <f t="shared" si="682"/>
        <v/>
      </c>
      <c r="AK245" s="828"/>
      <c r="AL245" s="313" t="str">
        <f t="shared" si="573"/>
        <v/>
      </c>
      <c r="AM245" s="312"/>
      <c r="AN245" s="101"/>
      <c r="AO245" s="101"/>
      <c r="AP245" s="101"/>
      <c r="AQ245" s="101"/>
      <c r="AR245" s="101"/>
      <c r="AS245" s="101"/>
      <c r="AT245" s="101"/>
    </row>
    <row r="246" spans="1:46" ht="12.95" customHeight="1">
      <c r="A246" s="465"/>
      <c r="B246" s="150" t="s">
        <v>224</v>
      </c>
      <c r="D246" s="104"/>
      <c r="E246" s="131"/>
      <c r="F246" s="710"/>
      <c r="G246" s="356"/>
      <c r="H246" s="744"/>
      <c r="I246" s="131"/>
      <c r="J246" s="131"/>
      <c r="K246" s="608"/>
      <c r="L246" s="608"/>
      <c r="M246" s="121"/>
      <c r="N246" s="145"/>
      <c r="O246" s="123"/>
      <c r="P246" s="124"/>
      <c r="Q246" s="124"/>
      <c r="R246" s="83"/>
      <c r="S246" s="82">
        <f t="shared" ref="S246" si="683">E246*G246</f>
        <v>0</v>
      </c>
      <c r="T246" s="540"/>
      <c r="U246" s="83"/>
      <c r="V246" s="100" t="b">
        <f>IF(G246&gt;0,IF(AD246="me","",G246))</f>
        <v>0</v>
      </c>
      <c r="W246" s="100"/>
      <c r="X246" s="100"/>
      <c r="Y246" s="201"/>
      <c r="Z246" s="829" t="str">
        <f t="shared" si="645"/>
        <v/>
      </c>
      <c r="AA246" s="829"/>
      <c r="AB246" s="830" t="str">
        <f>IF(G246=0,"",IF(AD246="free","re-planting",IF(AD246="me","not NVP, by",IF($AD$8="yes",(VLOOKUP(A246,'Discount Lookup'!J:K,2)*G246*(1-$AC$1786)*(1+$AC$1788)),IF(AD246="NVP",(VLOOKUP(A246,'Discount Lookup'!J:K,2)*G246*(1-$AC$1786)*(1+$AC$1788)),IF(AD246="free","re-planting",IF(G246=0,"",IF($AD$8="",IF(AD246="me","not NVP, by",IF(AD246="",IF(G246&gt;0,(VLOOKUP(A246,'Discount Lookup'!J:K,2)*G246*(1-$AC$1786)*(1+$AC$1788)),""),"")),"not NVP, by"))))))))</f>
        <v/>
      </c>
      <c r="AC246" s="830"/>
      <c r="AD246" s="375" t="str">
        <f t="shared" si="666"/>
        <v/>
      </c>
      <c r="AE246" s="833" t="str">
        <f t="shared" si="599"/>
        <v/>
      </c>
      <c r="AF246" s="833"/>
      <c r="AG246" s="833"/>
      <c r="AH246" s="91">
        <f>IF(AD246="free",0,IF(AD246="me",0,IF(G246&gt;0,(VLOOKUP(A246,'Discount Lookup'!J:K,2)*G246),0)))</f>
        <v>0</v>
      </c>
      <c r="AI246" s="92" t="str">
        <f t="shared" si="523"/>
        <v/>
      </c>
      <c r="AJ246" s="828" t="str">
        <f t="shared" si="647"/>
        <v/>
      </c>
      <c r="AK246" s="828"/>
      <c r="AL246" s="313" t="str">
        <f t="shared" si="573"/>
        <v/>
      </c>
      <c r="AM246" s="312"/>
      <c r="AN246" s="101"/>
      <c r="AO246" s="101"/>
      <c r="AP246" s="101"/>
      <c r="AQ246" s="101"/>
      <c r="AR246" s="101"/>
      <c r="AS246" s="101"/>
      <c r="AT246" s="101"/>
    </row>
    <row r="247" spans="1:46" ht="12.95" customHeight="1">
      <c r="A247" s="847" t="s">
        <v>225</v>
      </c>
      <c r="B247" s="848"/>
      <c r="C247" s="848"/>
      <c r="D247" s="848"/>
      <c r="E247" s="848"/>
      <c r="F247" s="848"/>
      <c r="G247" s="848"/>
      <c r="H247" s="770" t="s">
        <v>226</v>
      </c>
      <c r="I247" s="348" t="s">
        <v>44</v>
      </c>
      <c r="J247" s="93"/>
      <c r="K247" s="603" t="s">
        <v>45</v>
      </c>
      <c r="L247" s="601" t="s">
        <v>46</v>
      </c>
      <c r="M247" s="86"/>
      <c r="N247" s="87" t="s">
        <v>69</v>
      </c>
      <c r="O247" s="87"/>
      <c r="P247" s="87"/>
      <c r="Q247" s="87"/>
      <c r="R247" s="86"/>
      <c r="S247" s="125"/>
      <c r="T247" s="543"/>
      <c r="U247" s="89" t="s">
        <v>48</v>
      </c>
      <c r="V247" s="100" t="b">
        <f>IF(G247&gt;0,IF(AD247="me","",G247))</f>
        <v>0</v>
      </c>
      <c r="W247" s="100"/>
      <c r="X247" s="100"/>
      <c r="Y247" s="201"/>
      <c r="Z247" s="829" t="str">
        <f t="shared" si="645"/>
        <v/>
      </c>
      <c r="AA247" s="829"/>
      <c r="AB247" s="830" t="str">
        <f>IF(G247=0,"",IF(AD247="free","re-planting",IF(AD247="me","not NVP, by",IF($AD$8="yes",(VLOOKUP(A247,'Discount Lookup'!J:K,2)*G247*(1-$AC$1786)*(1+$AC$1788)),IF(AD247="NVP",(VLOOKUP(A247,'Discount Lookup'!J:K,2)*G247*(1-$AC$1786)*(1+$AC$1788)),IF(AD247="free","re-planting",IF(G247=0,"",IF($AD$8="",IF(AD247="me","not NVP, by",IF(AD247="",IF(G247&gt;0,(VLOOKUP(A247,'Discount Lookup'!J:K,2)*G247*(1-$AC$1786)*(1+$AC$1788)),""),"")),"not NVP, by"))))))))</f>
        <v/>
      </c>
      <c r="AC247" s="830"/>
      <c r="AD247" s="375" t="str">
        <f t="shared" si="666"/>
        <v/>
      </c>
      <c r="AE247" s="833" t="str">
        <f t="shared" si="599"/>
        <v/>
      </c>
      <c r="AF247" s="833"/>
      <c r="AG247" s="833"/>
      <c r="AH247" s="91">
        <f>IF(AD247="free",0,IF(AD247="me",0,IF(G247&gt;0,(VLOOKUP(A247,'Discount Lookup'!J:K,2)*G247),0)))</f>
        <v>0</v>
      </c>
      <c r="AI247" s="92" t="str">
        <f t="shared" si="523"/>
        <v/>
      </c>
      <c r="AJ247" s="828" t="str">
        <f t="shared" si="647"/>
        <v/>
      </c>
      <c r="AK247" s="828"/>
      <c r="AL247" s="313" t="str">
        <f t="shared" si="573"/>
        <v/>
      </c>
      <c r="AM247" s="312"/>
      <c r="AN247" s="101"/>
      <c r="AO247" s="101"/>
      <c r="AP247" s="101"/>
      <c r="AQ247" s="101"/>
      <c r="AR247" s="101"/>
      <c r="AS247" s="101"/>
      <c r="AT247" s="101"/>
    </row>
    <row r="248" spans="1:46" ht="12.95" customHeight="1">
      <c r="A248" s="419">
        <v>3</v>
      </c>
      <c r="B248" s="87" t="s">
        <v>50</v>
      </c>
      <c r="C248" s="128" t="s">
        <v>51</v>
      </c>
      <c r="D248" s="129" t="s">
        <v>86</v>
      </c>
      <c r="E248" s="98">
        <v>26.95</v>
      </c>
      <c r="F248" s="705" t="s">
        <v>1306</v>
      </c>
      <c r="G248" s="357">
        <v>0</v>
      </c>
      <c r="H248" s="704" t="str">
        <f t="shared" ref="H248:H254" si="684">IF(G248=0,"",IF(F248="Qty=",IF(G248=1,"plant","plants"),IF(F248&gt;0.0001,"warranty","Error")))</f>
        <v/>
      </c>
      <c r="I248" s="98">
        <f t="shared" ref="I248:I254" si="685">IF(F248="Qty=",(E248*G248),((E248*(1-F248))*G248))</f>
        <v>0</v>
      </c>
      <c r="J248" s="98">
        <f t="shared" ref="J248:J254" si="686">IF(H248="warranty",0,(I248*($J$1782)))</f>
        <v>0</v>
      </c>
      <c r="K248" s="831">
        <f t="shared" ref="K248:K254" si="687">I248+J248</f>
        <v>0</v>
      </c>
      <c r="L248" s="831"/>
      <c r="M248" s="832" t="str">
        <f t="shared" ref="M248:M254" si="688">IF($H$1784=0,"",IF(G248=0,"",IF(F248="Qty=",CONCATENATE("$",ROUND(K248*(1-$H$1784),2)," with ",($H$1784*100),"% discount"),CONCATENATE("$",ROUND(K248*(1-$H$1784),2)," with ",(($H$1784*100+F248*100)-($H$1784*100*F248)),IF(F248&gt;0,"% discounts",IF($H$1781&gt;0,"% discounts","% discount"))))))</f>
        <v/>
      </c>
      <c r="N248" s="832"/>
      <c r="O248" s="832"/>
      <c r="P248" s="832"/>
      <c r="Q248" s="832"/>
      <c r="R248" s="832"/>
      <c r="S248" s="303">
        <f t="shared" ref="S248" si="689">E248*G248</f>
        <v>0</v>
      </c>
      <c r="T248" s="541">
        <f>VLOOKUP(A248,'Discount Lookup'!D:E,2,FALSE)*G248</f>
        <v>0</v>
      </c>
      <c r="U248" s="83">
        <f>VLOOKUP(A248,'Discount Lookup'!G:H,2,FALSE)*G248</f>
        <v>0</v>
      </c>
      <c r="V248" s="100">
        <f t="shared" ref="V248:V254" si="690">E248*($J$1782)*G248</f>
        <v>0</v>
      </c>
      <c r="W248" s="100">
        <f t="shared" ref="W248" si="691">I248</f>
        <v>0</v>
      </c>
      <c r="X248" s="100" t="b">
        <f t="shared" ref="X248:X254" si="692">IF(G248&gt;0,IF(AD248="me","",G248))</f>
        <v>0</v>
      </c>
      <c r="Y248" s="201"/>
      <c r="Z248" s="829" t="str">
        <f t="shared" si="645"/>
        <v/>
      </c>
      <c r="AA248" s="829"/>
      <c r="AB248" s="830" t="str">
        <f>IF(G248=0,"",IF(AD248="free","re-planting",IF(AD248="me","not NVP, by",IF($AD$8="yes",(VLOOKUP(A248,'Discount Lookup'!J:K,2)*G248*(1-$AC$1786)*(1+$AC$1788)),IF(AD248="NVP",(VLOOKUP(A248,'Discount Lookup'!J:K,2)*G248*(1-$AC$1786)*(1+$AC$1788)),IF(AD248="free","re-planting",IF(G248=0,"",IF($AD$8="",IF(AD248="me","not NVP, by",IF(AD248="",IF(G248&gt;0,(VLOOKUP(A248,'Discount Lookup'!J:K,2)*G248*(1-$AC$1786)*(1+$AC$1788)),""),"")),"not NVP, by"))))))))</f>
        <v/>
      </c>
      <c r="AC248" s="830"/>
      <c r="AD248" s="375" t="str">
        <f t="shared" si="666"/>
        <v/>
      </c>
      <c r="AE248" s="833" t="str">
        <f t="shared" ref="AE248" si="693">IF(G248&gt;0,(CONCATENATE((G248)," quantity, ",(A248)," ",B248)),"")</f>
        <v/>
      </c>
      <c r="AF248" s="833"/>
      <c r="AG248" s="833"/>
      <c r="AH248" s="91">
        <f>IF(AD248="free",0,IF(AD248="me",0,IF(G248&gt;0,(VLOOKUP(A248,'Discount Lookup'!J:K,2)*G248),0)))</f>
        <v>0</v>
      </c>
      <c r="AI248" s="92" t="str">
        <f t="shared" si="523"/>
        <v/>
      </c>
      <c r="AJ248" s="828" t="str">
        <f t="shared" si="647"/>
        <v/>
      </c>
      <c r="AK248" s="828"/>
      <c r="AL248" s="313" t="str">
        <f t="shared" si="573"/>
        <v/>
      </c>
      <c r="AM248" s="312"/>
      <c r="AN248" s="101"/>
      <c r="AO248" s="101"/>
      <c r="AP248" s="101"/>
      <c r="AQ248" s="101"/>
      <c r="AR248" s="101"/>
      <c r="AS248" s="101"/>
      <c r="AT248" s="101"/>
    </row>
    <row r="249" spans="1:46" ht="12.95" customHeight="1">
      <c r="A249" s="419">
        <v>3</v>
      </c>
      <c r="B249" s="87" t="s">
        <v>50</v>
      </c>
      <c r="C249" s="128" t="s">
        <v>88</v>
      </c>
      <c r="D249" s="129" t="s">
        <v>87</v>
      </c>
      <c r="E249" s="98">
        <v>32.950000000000003</v>
      </c>
      <c r="F249" s="705" t="s">
        <v>1306</v>
      </c>
      <c r="G249" s="357">
        <v>0</v>
      </c>
      <c r="H249" s="704" t="str">
        <f t="shared" ref="H249:H250" si="694">IF(G249=0,"",IF(F249="Qty=",IF(G249=1,"plant","plants"),IF(F249&gt;0.0001,"warranty","Error")))</f>
        <v/>
      </c>
      <c r="I249" s="98">
        <f t="shared" ref="I249:I250" si="695">IF(F249="Qty=",(E249*G249),((E249*(1-F249))*G249))</f>
        <v>0</v>
      </c>
      <c r="J249" s="98">
        <f t="shared" si="686"/>
        <v>0</v>
      </c>
      <c r="K249" s="831">
        <f t="shared" si="687"/>
        <v>0</v>
      </c>
      <c r="L249" s="831"/>
      <c r="M249" s="832" t="str">
        <f t="shared" si="688"/>
        <v/>
      </c>
      <c r="N249" s="832"/>
      <c r="O249" s="832"/>
      <c r="P249" s="832"/>
      <c r="Q249" s="832"/>
      <c r="R249" s="832"/>
      <c r="S249" s="303">
        <f t="shared" ref="S249:S250" si="696">E249*G249</f>
        <v>0</v>
      </c>
      <c r="T249" s="541">
        <f>VLOOKUP(A249,'Discount Lookup'!D:E,2,FALSE)*G249</f>
        <v>0</v>
      </c>
      <c r="U249" s="83">
        <f>VLOOKUP(A249,'Discount Lookup'!G:H,2,FALSE)*G249</f>
        <v>0</v>
      </c>
      <c r="V249" s="100">
        <f t="shared" si="690"/>
        <v>0</v>
      </c>
      <c r="W249" s="100">
        <f t="shared" ref="W249:W250" si="697">I249</f>
        <v>0</v>
      </c>
      <c r="X249" s="100" t="b">
        <f t="shared" si="692"/>
        <v>0</v>
      </c>
      <c r="Y249" s="201"/>
      <c r="Z249" s="829" t="str">
        <f t="shared" ref="Z249:Z250" si="698">IF(G249=0,"",IF(AD249="me","",IF($AD$8="me","",IF(AD249="free","warranty",IF($AD$8="yes","NVP planting:","to NVP install:")))))</f>
        <v/>
      </c>
      <c r="AA249" s="829"/>
      <c r="AB249" s="830" t="str">
        <f>IF(G249=0,"",IF(AD249="free","re-planting",IF(AD249="me","not NVP, by",IF($AD$8="yes",(VLOOKUP(A249,'Discount Lookup'!J:K,2)*G249*(1-$AC$1786)*(1+$AC$1788)),IF(AD249="NVP",(VLOOKUP(A249,'Discount Lookup'!J:K,2)*G249*(1-$AC$1786)*(1+$AC$1788)),IF(AD249="free","re-planting",IF(G249=0,"",IF($AD$8="",IF(AD249="me","not NVP, by",IF(AD249="",IF(G249&gt;0,(VLOOKUP(A249,'Discount Lookup'!J:K,2)*G249*(1-$AC$1786)*(1+$AC$1788)),""),"")),"not NVP, by"))))))))</f>
        <v/>
      </c>
      <c r="AC249" s="830"/>
      <c r="AD249" s="375" t="str">
        <f t="shared" si="666"/>
        <v/>
      </c>
      <c r="AE249" s="833" t="str">
        <f t="shared" ref="AE249:AE250" si="699">IF(G249&gt;0,(CONCATENATE((G249)," quantity, ",(A249)," ",B249)),"")</f>
        <v/>
      </c>
      <c r="AF249" s="833"/>
      <c r="AG249" s="833"/>
      <c r="AH249" s="91">
        <f>IF(AD249="free",0,IF(AD249="me",0,IF(G249&gt;0,(VLOOKUP(A249,'Discount Lookup'!J:K,2)*G249),0)))</f>
        <v>0</v>
      </c>
      <c r="AI249" s="92" t="str">
        <f t="shared" si="523"/>
        <v/>
      </c>
      <c r="AJ249" s="828" t="str">
        <f t="shared" ref="AJ249:AJ250" si="700">IF(G249=0,"",IF(AD249="me","  delivery-only",IF($AD$8="me","  delivery-only",CONCATENATE(" $",ROUND(AI249/G249,2)," each"))))</f>
        <v/>
      </c>
      <c r="AK249" s="828"/>
      <c r="AL249" s="313" t="str">
        <f t="shared" si="573"/>
        <v/>
      </c>
      <c r="AM249" s="312"/>
      <c r="AN249" s="101"/>
      <c r="AO249" s="101"/>
      <c r="AP249" s="101"/>
      <c r="AQ249" s="101"/>
      <c r="AR249" s="101"/>
      <c r="AS249" s="101"/>
      <c r="AT249" s="101"/>
    </row>
    <row r="250" spans="1:46" ht="12.95" customHeight="1">
      <c r="A250" s="419">
        <v>7</v>
      </c>
      <c r="B250" s="87" t="s">
        <v>50</v>
      </c>
      <c r="C250" s="128" t="s">
        <v>1407</v>
      </c>
      <c r="D250" s="129" t="s">
        <v>54</v>
      </c>
      <c r="E250" s="98">
        <v>86.95</v>
      </c>
      <c r="F250" s="705" t="s">
        <v>1306</v>
      </c>
      <c r="G250" s="357">
        <v>0</v>
      </c>
      <c r="H250" s="704" t="str">
        <f t="shared" si="694"/>
        <v/>
      </c>
      <c r="I250" s="98">
        <f t="shared" si="695"/>
        <v>0</v>
      </c>
      <c r="J250" s="98">
        <f t="shared" si="686"/>
        <v>0</v>
      </c>
      <c r="K250" s="831">
        <f t="shared" si="687"/>
        <v>0</v>
      </c>
      <c r="L250" s="831"/>
      <c r="M250" s="832" t="str">
        <f t="shared" si="688"/>
        <v/>
      </c>
      <c r="N250" s="832"/>
      <c r="O250" s="832"/>
      <c r="P250" s="832"/>
      <c r="Q250" s="832"/>
      <c r="R250" s="832"/>
      <c r="S250" s="303">
        <f t="shared" si="696"/>
        <v>0</v>
      </c>
      <c r="T250" s="541">
        <f>VLOOKUP(A250,'Discount Lookup'!D:E,2,FALSE)*G250</f>
        <v>0</v>
      </c>
      <c r="U250" s="83">
        <f>VLOOKUP(A250,'Discount Lookup'!G:H,2,FALSE)*G250</f>
        <v>0</v>
      </c>
      <c r="V250" s="100">
        <f t="shared" si="690"/>
        <v>0</v>
      </c>
      <c r="W250" s="100">
        <f t="shared" si="697"/>
        <v>0</v>
      </c>
      <c r="X250" s="100" t="b">
        <f t="shared" si="692"/>
        <v>0</v>
      </c>
      <c r="Y250" s="201"/>
      <c r="Z250" s="829" t="str">
        <f t="shared" si="698"/>
        <v/>
      </c>
      <c r="AA250" s="829"/>
      <c r="AB250" s="830" t="str">
        <f>IF(G250=0,"",IF(AD250="free","re-planting",IF(AD250="me","not NVP, by",IF($AD$8="yes",(VLOOKUP(A250,'Discount Lookup'!J:K,2)*G250*(1-$AC$1786)*(1+$AC$1788)),IF(AD250="NVP",(VLOOKUP(A250,'Discount Lookup'!J:K,2)*G250*(1-$AC$1786)*(1+$AC$1788)),IF(AD250="free","re-planting",IF(G250=0,"",IF($AD$8="",IF(AD250="me","not NVP, by",IF(AD250="",IF(G250&gt;0,(VLOOKUP(A250,'Discount Lookup'!J:K,2)*G250*(1-$AC$1786)*(1+$AC$1788)),""),"")),"not NVP, by"))))))))</f>
        <v/>
      </c>
      <c r="AC250" s="830"/>
      <c r="AD250" s="375" t="str">
        <f t="shared" si="666"/>
        <v/>
      </c>
      <c r="AE250" s="833" t="str">
        <f t="shared" si="699"/>
        <v/>
      </c>
      <c r="AF250" s="833"/>
      <c r="AG250" s="833"/>
      <c r="AH250" s="91">
        <f>IF(AD250="free",0,IF(AD250="me",0,IF(G250&gt;0,(VLOOKUP(A250,'Discount Lookup'!J:K,2)*G250),0)))</f>
        <v>0</v>
      </c>
      <c r="AI250" s="92" t="str">
        <f t="shared" si="523"/>
        <v/>
      </c>
      <c r="AJ250" s="828" t="str">
        <f t="shared" si="700"/>
        <v/>
      </c>
      <c r="AK250" s="828"/>
      <c r="AL250" s="313" t="str">
        <f t="shared" si="573"/>
        <v/>
      </c>
      <c r="AM250" s="312"/>
      <c r="AN250" s="101"/>
      <c r="AO250" s="101"/>
      <c r="AP250" s="101"/>
      <c r="AQ250" s="101"/>
      <c r="AR250" s="101"/>
      <c r="AS250" s="101"/>
      <c r="AT250" s="101"/>
    </row>
    <row r="251" spans="1:46" ht="12.95" customHeight="1">
      <c r="A251" s="419">
        <v>10</v>
      </c>
      <c r="B251" s="87" t="s">
        <v>50</v>
      </c>
      <c r="C251" s="128" t="s">
        <v>85</v>
      </c>
      <c r="D251" s="129" t="s">
        <v>94</v>
      </c>
      <c r="E251" s="98">
        <v>95.95</v>
      </c>
      <c r="F251" s="705" t="s">
        <v>1306</v>
      </c>
      <c r="G251" s="357">
        <v>0</v>
      </c>
      <c r="H251" s="704" t="str">
        <f t="shared" ref="H251" si="701">IF(G251=0,"",IF(F251="Qty=",IF(G251=1,"plant","plants"),IF(F251&gt;0.0001,"warranty","Error")))</f>
        <v/>
      </c>
      <c r="I251" s="98">
        <f t="shared" ref="I251" si="702">IF(F251="Qty=",(E251*G251),((E251*(1-F251))*G251))</f>
        <v>0</v>
      </c>
      <c r="J251" s="98">
        <f t="shared" si="686"/>
        <v>0</v>
      </c>
      <c r="K251" s="831">
        <f t="shared" ref="K251" si="703">I251+J251</f>
        <v>0</v>
      </c>
      <c r="L251" s="831"/>
      <c r="M251" s="832" t="str">
        <f t="shared" si="688"/>
        <v/>
      </c>
      <c r="N251" s="832"/>
      <c r="O251" s="832"/>
      <c r="P251" s="832"/>
      <c r="Q251" s="832"/>
      <c r="R251" s="832"/>
      <c r="S251" s="303">
        <f t="shared" ref="S251" si="704">E251*G251</f>
        <v>0</v>
      </c>
      <c r="T251" s="541">
        <f>VLOOKUP(A251,'Discount Lookup'!D:E,2,FALSE)*G251</f>
        <v>0</v>
      </c>
      <c r="U251" s="83">
        <f>VLOOKUP(A251,'Discount Lookup'!G:H,2,FALSE)*G251</f>
        <v>0</v>
      </c>
      <c r="V251" s="100">
        <f t="shared" si="690"/>
        <v>0</v>
      </c>
      <c r="W251" s="100">
        <f t="shared" ref="W251" si="705">I251</f>
        <v>0</v>
      </c>
      <c r="X251" s="100" t="b">
        <f t="shared" ref="X251" si="706">IF(G251&gt;0,IF(AD251="me","",G251))</f>
        <v>0</v>
      </c>
      <c r="Y251" s="201"/>
      <c r="Z251" s="829" t="str">
        <f t="shared" ref="Z251" si="707">IF(G251=0,"",IF(AD251="me","",IF($AD$8="me","",IF(AD251="free","warranty",IF($AD$8="yes","NVP planting:","to NVP install:")))))</f>
        <v/>
      </c>
      <c r="AA251" s="829"/>
      <c r="AB251" s="830" t="str">
        <f>IF(G251=0,"",IF(AD251="free","re-planting",IF(AD251="me","not NVP, by",IF($AD$8="yes",(VLOOKUP(A251,'Discount Lookup'!J:K,2)*G251*(1-$AC$1786)*(1+$AC$1788)),IF(AD251="NVP",(VLOOKUP(A251,'Discount Lookup'!J:K,2)*G251*(1-$AC$1786)*(1+$AC$1788)),IF(AD251="free","re-planting",IF(G251=0,"",IF($AD$8="",IF(AD251="me","not NVP, by",IF(AD251="",IF(G251&gt;0,(VLOOKUP(A251,'Discount Lookup'!J:K,2)*G251*(1-$AC$1786)*(1+$AC$1788)),""),"")),"not NVP, by"))))))))</f>
        <v/>
      </c>
      <c r="AC251" s="830"/>
      <c r="AD251" s="375" t="str">
        <f t="shared" ref="AD251" si="708">IF(G251=0,"",IF($AD$8="me","me",IF(H251="warranty","free",IF($AD$8="yes","NVP",""))))</f>
        <v/>
      </c>
      <c r="AE251" s="833" t="str">
        <f t="shared" ref="AE251" si="709">IF(G251&gt;0,(CONCATENATE((G251)," quantity, ",(A251)," ",B251)),"")</f>
        <v/>
      </c>
      <c r="AF251" s="833"/>
      <c r="AG251" s="833"/>
      <c r="AH251" s="91">
        <f>IF(AD251="free",0,IF(AD251="me",0,IF(G251&gt;0,(VLOOKUP(A251,'Discount Lookup'!J:K,2)*G251),0)))</f>
        <v>0</v>
      </c>
      <c r="AI251" s="92" t="str">
        <f t="shared" ref="AI251:AI314" si="710">IF(G251=0,"",IF(AD251="free",(K251*(1-$H$1784)),IF($AD$8="me",(K251*(1-$H$1784)),IF(AD251="me",(K251*(1-$H$1784)),(K251*(1-$H$1784))+AB251))))</f>
        <v/>
      </c>
      <c r="AJ251" s="828" t="str">
        <f t="shared" ref="AJ251" si="711">IF(G251=0,"",IF(AD251="me","  delivery-only",IF($AD$8="me","  delivery-only",CONCATENATE(" $",ROUND(AI251/G251,2)," each"))))</f>
        <v/>
      </c>
      <c r="AK251" s="828"/>
      <c r="AL251" s="313" t="str">
        <f t="shared" si="573"/>
        <v/>
      </c>
      <c r="AM251" s="312"/>
      <c r="AN251" s="101"/>
      <c r="AO251" s="101"/>
      <c r="AP251" s="101"/>
      <c r="AQ251" s="101"/>
      <c r="AR251" s="101"/>
      <c r="AS251" s="101"/>
      <c r="AT251" s="101"/>
    </row>
    <row r="252" spans="1:46" ht="12.95" customHeight="1">
      <c r="A252" s="419">
        <v>15</v>
      </c>
      <c r="B252" s="87" t="s">
        <v>50</v>
      </c>
      <c r="C252" s="128" t="s">
        <v>70</v>
      </c>
      <c r="D252" s="129" t="s">
        <v>54</v>
      </c>
      <c r="E252" s="98">
        <v>160.94999999999999</v>
      </c>
      <c r="F252" s="705" t="s">
        <v>1306</v>
      </c>
      <c r="G252" s="357">
        <v>0</v>
      </c>
      <c r="H252" s="704" t="str">
        <f t="shared" si="684"/>
        <v/>
      </c>
      <c r="I252" s="98">
        <f t="shared" si="685"/>
        <v>0</v>
      </c>
      <c r="J252" s="98">
        <f t="shared" si="686"/>
        <v>0</v>
      </c>
      <c r="K252" s="831">
        <f t="shared" si="687"/>
        <v>0</v>
      </c>
      <c r="L252" s="831"/>
      <c r="M252" s="832" t="str">
        <f t="shared" si="688"/>
        <v/>
      </c>
      <c r="N252" s="832"/>
      <c r="O252" s="832"/>
      <c r="P252" s="832"/>
      <c r="Q252" s="832"/>
      <c r="R252" s="832"/>
      <c r="S252" s="303">
        <f t="shared" ref="S252" si="712">E252*G252</f>
        <v>0</v>
      </c>
      <c r="T252" s="541">
        <f>VLOOKUP(A252,'Discount Lookup'!D:E,2,FALSE)*G252</f>
        <v>0</v>
      </c>
      <c r="U252" s="83">
        <f>VLOOKUP(A252,'Discount Lookup'!G:H,2,FALSE)*G252</f>
        <v>0</v>
      </c>
      <c r="V252" s="100">
        <f t="shared" si="690"/>
        <v>0</v>
      </c>
      <c r="W252" s="100">
        <f t="shared" ref="W252" si="713">I252</f>
        <v>0</v>
      </c>
      <c r="X252" s="100" t="b">
        <f t="shared" si="692"/>
        <v>0</v>
      </c>
      <c r="Y252" s="201"/>
      <c r="Z252" s="829" t="str">
        <f t="shared" si="645"/>
        <v/>
      </c>
      <c r="AA252" s="829"/>
      <c r="AB252" s="830" t="str">
        <f>IF(G252=0,"",IF(AD252="free","re-planting",IF(AD252="me","not NVP, by",IF($AD$8="yes",(VLOOKUP(A252,'Discount Lookup'!J:K,2)*G252*(1-$AC$1786)*(1+$AC$1788)),IF(AD252="NVP",(VLOOKUP(A252,'Discount Lookup'!J:K,2)*G252*(1-$AC$1786)*(1+$AC$1788)),IF(AD252="free","re-planting",IF(G252=0,"",IF($AD$8="",IF(AD252="me","not NVP, by",IF(AD252="",IF(G252&gt;0,(VLOOKUP(A252,'Discount Lookup'!J:K,2)*G252*(1-$AC$1786)*(1+$AC$1788)),""),"")),"not NVP, by"))))))))</f>
        <v/>
      </c>
      <c r="AC252" s="830"/>
      <c r="AD252" s="375" t="str">
        <f t="shared" si="666"/>
        <v/>
      </c>
      <c r="AE252" s="833" t="str">
        <f t="shared" si="599"/>
        <v/>
      </c>
      <c r="AF252" s="833"/>
      <c r="AG252" s="833"/>
      <c r="AH252" s="91">
        <f>IF(AD252="free",0,IF(AD252="me",0,IF(G252&gt;0,(VLOOKUP(A252,'Discount Lookup'!J:K,2)*G252),0)))</f>
        <v>0</v>
      </c>
      <c r="AI252" s="92" t="str">
        <f t="shared" si="710"/>
        <v/>
      </c>
      <c r="AJ252" s="828" t="str">
        <f t="shared" si="647"/>
        <v/>
      </c>
      <c r="AK252" s="828"/>
      <c r="AL252" s="313" t="str">
        <f t="shared" si="573"/>
        <v/>
      </c>
      <c r="AM252" s="312"/>
      <c r="AN252" s="101"/>
      <c r="AO252" s="101"/>
      <c r="AP252" s="101"/>
      <c r="AQ252" s="101"/>
      <c r="AR252" s="101"/>
      <c r="AS252" s="101"/>
      <c r="AT252" s="101"/>
    </row>
    <row r="253" spans="1:46" ht="12.95" customHeight="1">
      <c r="A253" s="419">
        <v>15</v>
      </c>
      <c r="B253" s="87" t="s">
        <v>50</v>
      </c>
      <c r="C253" s="128" t="s">
        <v>89</v>
      </c>
      <c r="D253" s="129" t="s">
        <v>63</v>
      </c>
      <c r="E253" s="98">
        <v>160.94999999999999</v>
      </c>
      <c r="F253" s="705" t="s">
        <v>1306</v>
      </c>
      <c r="G253" s="357">
        <v>0</v>
      </c>
      <c r="H253" s="704" t="str">
        <f t="shared" si="684"/>
        <v/>
      </c>
      <c r="I253" s="98">
        <f t="shared" si="685"/>
        <v>0</v>
      </c>
      <c r="J253" s="98">
        <f t="shared" si="686"/>
        <v>0</v>
      </c>
      <c r="K253" s="831">
        <f t="shared" si="687"/>
        <v>0</v>
      </c>
      <c r="L253" s="831"/>
      <c r="M253" s="832" t="str">
        <f t="shared" si="688"/>
        <v/>
      </c>
      <c r="N253" s="832"/>
      <c r="O253" s="832"/>
      <c r="P253" s="832"/>
      <c r="Q253" s="832"/>
      <c r="R253" s="832"/>
      <c r="S253" s="303">
        <f t="shared" ref="S253" si="714">E253*G253</f>
        <v>0</v>
      </c>
      <c r="T253" s="541">
        <f>VLOOKUP(A253,'Discount Lookup'!D:E,2,FALSE)*G253</f>
        <v>0</v>
      </c>
      <c r="U253" s="83">
        <f>VLOOKUP(A253,'Discount Lookup'!G:H,2,FALSE)*G253</f>
        <v>0</v>
      </c>
      <c r="V253" s="100">
        <f t="shared" si="690"/>
        <v>0</v>
      </c>
      <c r="W253" s="100">
        <f t="shared" ref="W253" si="715">I253</f>
        <v>0</v>
      </c>
      <c r="X253" s="100" t="b">
        <f t="shared" si="692"/>
        <v>0</v>
      </c>
      <c r="Y253" s="201"/>
      <c r="Z253" s="829" t="str">
        <f t="shared" si="645"/>
        <v/>
      </c>
      <c r="AA253" s="829"/>
      <c r="AB253" s="830" t="str">
        <f>IF(G253=0,"",IF(AD253="free","re-planting",IF(AD253="me","not NVP, by",IF($AD$8="yes",(VLOOKUP(A253,'Discount Lookup'!J:K,2)*G253*(1-$AC$1786)*(1+$AC$1788)),IF(AD253="NVP",(VLOOKUP(A253,'Discount Lookup'!J:K,2)*G253*(1-$AC$1786)*(1+$AC$1788)),IF(AD253="free","re-planting",IF(G253=0,"",IF($AD$8="",IF(AD253="me","not NVP, by",IF(AD253="",IF(G253&gt;0,(VLOOKUP(A253,'Discount Lookup'!J:K,2)*G253*(1-$AC$1786)*(1+$AC$1788)),""),"")),"not NVP, by"))))))))</f>
        <v/>
      </c>
      <c r="AC253" s="830"/>
      <c r="AD253" s="375" t="str">
        <f t="shared" si="666"/>
        <v/>
      </c>
      <c r="AE253" s="833" t="str">
        <f t="shared" ref="AE253" si="716">IF(G253&gt;0,(CONCATENATE((G253)," quantity, ",(A253)," ",B253)),"")</f>
        <v/>
      </c>
      <c r="AF253" s="833"/>
      <c r="AG253" s="833"/>
      <c r="AH253" s="91">
        <f>IF(AD253="free",0,IF(AD253="me",0,IF(G253&gt;0,(VLOOKUP(A253,'Discount Lookup'!J:K,2)*G253),0)))</f>
        <v>0</v>
      </c>
      <c r="AI253" s="92" t="str">
        <f t="shared" si="710"/>
        <v/>
      </c>
      <c r="AJ253" s="828" t="str">
        <f t="shared" si="647"/>
        <v/>
      </c>
      <c r="AK253" s="828"/>
      <c r="AL253" s="313" t="str">
        <f t="shared" si="573"/>
        <v/>
      </c>
      <c r="AM253" s="312"/>
      <c r="AN253" s="101"/>
      <c r="AO253" s="101"/>
      <c r="AP253" s="101"/>
      <c r="AQ253" s="101"/>
      <c r="AR253" s="101"/>
      <c r="AS253" s="101"/>
      <c r="AT253" s="101"/>
    </row>
    <row r="254" spans="1:46" ht="12.95" customHeight="1">
      <c r="A254" s="419">
        <v>15</v>
      </c>
      <c r="B254" s="87" t="s">
        <v>50</v>
      </c>
      <c r="C254" s="128" t="s">
        <v>53</v>
      </c>
      <c r="D254" s="129" t="s">
        <v>90</v>
      </c>
      <c r="E254" s="98">
        <v>170.95</v>
      </c>
      <c r="F254" s="705" t="s">
        <v>1306</v>
      </c>
      <c r="G254" s="357">
        <v>0</v>
      </c>
      <c r="H254" s="704" t="str">
        <f t="shared" si="684"/>
        <v/>
      </c>
      <c r="I254" s="98">
        <f t="shared" si="685"/>
        <v>0</v>
      </c>
      <c r="J254" s="98">
        <f t="shared" si="686"/>
        <v>0</v>
      </c>
      <c r="K254" s="831">
        <f t="shared" si="687"/>
        <v>0</v>
      </c>
      <c r="L254" s="831"/>
      <c r="M254" s="832" t="str">
        <f t="shared" si="688"/>
        <v/>
      </c>
      <c r="N254" s="832"/>
      <c r="O254" s="832"/>
      <c r="P254" s="832"/>
      <c r="Q254" s="832"/>
      <c r="R254" s="832"/>
      <c r="S254" s="303">
        <f t="shared" ref="S254" si="717">E254*G254</f>
        <v>0</v>
      </c>
      <c r="T254" s="541">
        <f>VLOOKUP(A254,'Discount Lookup'!D:E,2,FALSE)*G254</f>
        <v>0</v>
      </c>
      <c r="U254" s="83">
        <f>VLOOKUP(A254,'Discount Lookup'!G:H,2,FALSE)*G254</f>
        <v>0</v>
      </c>
      <c r="V254" s="100">
        <f t="shared" si="690"/>
        <v>0</v>
      </c>
      <c r="W254" s="100">
        <f t="shared" ref="W254" si="718">I254</f>
        <v>0</v>
      </c>
      <c r="X254" s="100" t="b">
        <f t="shared" si="692"/>
        <v>0</v>
      </c>
      <c r="Y254" s="201"/>
      <c r="Z254" s="829" t="str">
        <f t="shared" si="645"/>
        <v/>
      </c>
      <c r="AA254" s="829"/>
      <c r="AB254" s="830" t="str">
        <f>IF(G254=0,"",IF(AD254="free","re-planting",IF(AD254="me","not NVP, by",IF($AD$8="yes",(VLOOKUP(A254,'Discount Lookup'!J:K,2)*G254*(1-$AC$1786)*(1+$AC$1788)),IF(AD254="NVP",(VLOOKUP(A254,'Discount Lookup'!J:K,2)*G254*(1-$AC$1786)*(1+$AC$1788)),IF(AD254="free","re-planting",IF(G254=0,"",IF($AD$8="",IF(AD254="me","not NVP, by",IF(AD254="",IF(G254&gt;0,(VLOOKUP(A254,'Discount Lookup'!J:K,2)*G254*(1-$AC$1786)*(1+$AC$1788)),""),"")),"not NVP, by"))))))))</f>
        <v/>
      </c>
      <c r="AC254" s="830"/>
      <c r="AD254" s="375" t="str">
        <f t="shared" si="666"/>
        <v/>
      </c>
      <c r="AE254" s="833" t="str">
        <f t="shared" si="599"/>
        <v/>
      </c>
      <c r="AF254" s="833"/>
      <c r="AG254" s="833"/>
      <c r="AH254" s="91">
        <f>IF(AD254="free",0,IF(AD254="me",0,IF(G254&gt;0,(VLOOKUP(A254,'Discount Lookup'!J:K,2)*G254),0)))</f>
        <v>0</v>
      </c>
      <c r="AI254" s="92" t="str">
        <f t="shared" si="710"/>
        <v/>
      </c>
      <c r="AJ254" s="828" t="str">
        <f t="shared" si="647"/>
        <v/>
      </c>
      <c r="AK254" s="828"/>
      <c r="AL254" s="313" t="str">
        <f t="shared" si="573"/>
        <v/>
      </c>
      <c r="AM254" s="312"/>
      <c r="AN254" s="101"/>
      <c r="AO254" s="101"/>
      <c r="AP254" s="101"/>
      <c r="AQ254" s="101"/>
      <c r="AR254" s="101"/>
      <c r="AS254" s="101"/>
      <c r="AT254" s="101"/>
    </row>
    <row r="255" spans="1:46" ht="12.95" customHeight="1">
      <c r="A255" s="468"/>
      <c r="B255" s="149" t="s">
        <v>227</v>
      </c>
      <c r="C255" s="118"/>
      <c r="D255" s="118"/>
      <c r="E255" s="119"/>
      <c r="F255" s="711"/>
      <c r="G255" s="358"/>
      <c r="H255" s="745"/>
      <c r="I255" s="119"/>
      <c r="J255" s="840"/>
      <c r="K255" s="840"/>
      <c r="L255" s="840"/>
      <c r="M255" s="48"/>
      <c r="N255" s="48"/>
      <c r="O255" s="48"/>
      <c r="P255" s="111"/>
      <c r="Q255" s="111"/>
      <c r="R255" s="48"/>
      <c r="S255" s="48"/>
      <c r="T255" s="546"/>
      <c r="V255" s="100" t="b">
        <f>IF(G255&gt;0,IF(AD255="me","",G255))</f>
        <v>0</v>
      </c>
      <c r="W255" s="100"/>
      <c r="X255" s="100"/>
      <c r="Y255" s="201"/>
      <c r="Z255" s="829" t="str">
        <f t="shared" si="645"/>
        <v/>
      </c>
      <c r="AA255" s="829"/>
      <c r="AB255" s="830" t="str">
        <f>IF(G255=0,"",IF(AD255="free","re-planting",IF(AD255="me","not NVP, by",IF($AD$8="yes",(VLOOKUP(A255,'Discount Lookup'!J:K,2)*G255*(1-$AC$1786)*(1+$AC$1788)),IF(AD255="NVP",(VLOOKUP(A255,'Discount Lookup'!J:K,2)*G255*(1-$AC$1786)*(1+$AC$1788)),IF(AD255="free","re-planting",IF(G255=0,"",IF($AD$8="",IF(AD255="me","not NVP, by",IF(AD255="",IF(G255&gt;0,(VLOOKUP(A255,'Discount Lookup'!J:K,2)*G255*(1-$AC$1786)*(1+$AC$1788)),""),"")),"not NVP, by"))))))))</f>
        <v/>
      </c>
      <c r="AC255" s="830"/>
      <c r="AD255" s="375" t="str">
        <f t="shared" si="666"/>
        <v/>
      </c>
      <c r="AE255" s="833" t="str">
        <f t="shared" si="599"/>
        <v/>
      </c>
      <c r="AF255" s="833"/>
      <c r="AG255" s="833"/>
      <c r="AH255" s="91">
        <f>IF(AD255="free",0,IF(AD255="me",0,IF(G255&gt;0,(VLOOKUP(A255,'Discount Lookup'!J:K,2)*G255),0)))</f>
        <v>0</v>
      </c>
      <c r="AI255" s="92" t="str">
        <f t="shared" si="710"/>
        <v/>
      </c>
      <c r="AJ255" s="828" t="str">
        <f t="shared" si="647"/>
        <v/>
      </c>
      <c r="AK255" s="828"/>
      <c r="AL255" s="313" t="str">
        <f t="shared" si="573"/>
        <v/>
      </c>
      <c r="AM255" s="312"/>
      <c r="AN255" s="101"/>
      <c r="AO255" s="101"/>
      <c r="AP255" s="101"/>
      <c r="AQ255" s="101"/>
      <c r="AR255" s="101"/>
      <c r="AS255" s="101"/>
      <c r="AT255" s="101"/>
    </row>
    <row r="256" spans="1:46" ht="12.95" customHeight="1">
      <c r="A256" s="847" t="s">
        <v>228</v>
      </c>
      <c r="B256" s="848"/>
      <c r="C256" s="848"/>
      <c r="D256" s="848"/>
      <c r="E256" s="848"/>
      <c r="F256" s="848"/>
      <c r="G256" s="848"/>
      <c r="H256" s="770" t="s">
        <v>226</v>
      </c>
      <c r="I256" s="348" t="s">
        <v>44</v>
      </c>
      <c r="J256" s="93"/>
      <c r="K256" s="600" t="s">
        <v>45</v>
      </c>
      <c r="L256" s="601" t="s">
        <v>46</v>
      </c>
      <c r="M256" s="86"/>
      <c r="N256" s="87" t="s">
        <v>130</v>
      </c>
      <c r="O256" s="87"/>
      <c r="P256" s="87"/>
      <c r="Q256" s="87"/>
      <c r="R256" s="86"/>
      <c r="S256" s="125"/>
      <c r="T256" s="543"/>
      <c r="U256" s="89" t="s">
        <v>48</v>
      </c>
      <c r="V256" s="100" t="b">
        <f>IF(G256&gt;0,IF(AD256="me","",G256))</f>
        <v>0</v>
      </c>
      <c r="W256" s="100"/>
      <c r="X256" s="100"/>
      <c r="Y256" s="201"/>
      <c r="Z256" s="829" t="str">
        <f t="shared" si="645"/>
        <v/>
      </c>
      <c r="AA256" s="829"/>
      <c r="AB256" s="830" t="str">
        <f>IF(G256=0,"",IF(AD256="free","re-planting",IF(AD256="me","not NVP, by",IF($AD$8="yes",(VLOOKUP(A256,'Discount Lookup'!J:K,2)*G256*(1-$AC$1786)*(1+$AC$1788)),IF(AD256="NVP",(VLOOKUP(A256,'Discount Lookup'!J:K,2)*G256*(1-$AC$1786)*(1+$AC$1788)),IF(AD256="free","re-planting",IF(G256=0,"",IF($AD$8="",IF(AD256="me","not NVP, by",IF(AD256="",IF(G256&gt;0,(VLOOKUP(A256,'Discount Lookup'!J:K,2)*G256*(1-$AC$1786)*(1+$AC$1788)),""),"")),"not NVP, by"))))))))</f>
        <v/>
      </c>
      <c r="AC256" s="830"/>
      <c r="AD256" s="375" t="str">
        <f t="shared" si="666"/>
        <v/>
      </c>
      <c r="AE256" s="833" t="str">
        <f t="shared" si="599"/>
        <v/>
      </c>
      <c r="AF256" s="833"/>
      <c r="AG256" s="833"/>
      <c r="AH256" s="91">
        <f>IF(AD256="free",0,IF(AD256="me",0,IF(G256&gt;0,(VLOOKUP(A256,'Discount Lookup'!J:K,2)*G256),0)))</f>
        <v>0</v>
      </c>
      <c r="AI256" s="92" t="str">
        <f t="shared" si="710"/>
        <v/>
      </c>
      <c r="AJ256" s="828" t="str">
        <f t="shared" si="647"/>
        <v/>
      </c>
      <c r="AK256" s="828"/>
      <c r="AL256" s="313" t="str">
        <f t="shared" si="573"/>
        <v/>
      </c>
      <c r="AM256" s="312"/>
      <c r="AN256" s="101"/>
      <c r="AO256" s="101"/>
      <c r="AP256" s="101"/>
      <c r="AQ256" s="101"/>
      <c r="AR256" s="101"/>
      <c r="AS256" s="101"/>
      <c r="AT256" s="101"/>
    </row>
    <row r="257" spans="1:46" ht="12.95" customHeight="1">
      <c r="A257" s="419">
        <v>15</v>
      </c>
      <c r="B257" s="87" t="s">
        <v>50</v>
      </c>
      <c r="C257" s="128" t="s">
        <v>1311</v>
      </c>
      <c r="D257" s="129" t="s">
        <v>54</v>
      </c>
      <c r="E257" s="98">
        <v>187.95</v>
      </c>
      <c r="F257" s="705" t="s">
        <v>1306</v>
      </c>
      <c r="G257" s="357">
        <v>0</v>
      </c>
      <c r="H257" s="704" t="str">
        <f t="shared" ref="H257:H259" si="719">IF(G257=0,"",IF(F257="Qty=",IF(G257=1,"plant","plants"),IF(F257&gt;0.0001,"warranty","Error")))</f>
        <v/>
      </c>
      <c r="I257" s="98">
        <f t="shared" ref="I257:I259" si="720">IF(F257="Qty=",(E257*G257),((E257*(1-F257))*G257))</f>
        <v>0</v>
      </c>
      <c r="J257" s="98">
        <f>IF(H257="warranty",0,(I257*($J$1782)))</f>
        <v>0</v>
      </c>
      <c r="K257" s="831">
        <f t="shared" ref="K257:K260" si="721">I257+J257</f>
        <v>0</v>
      </c>
      <c r="L257" s="831"/>
      <c r="M257" s="832" t="str">
        <f>IF($H$1784=0,"",IF(G257=0,"",IF(F257="Qty=",CONCATENATE("$",ROUND(K257*(1-$H$1784),2)," with ",($H$1784*100),"% discount"),CONCATENATE("$",ROUND(K257*(1-$H$1784),2)," with ",(($H$1784*100+F257*100)-($H$1784*100*F257)),IF(F257&gt;0,"% discounts",IF($H$1781&gt;0,"% discounts","% discount"))))))</f>
        <v/>
      </c>
      <c r="N257" s="832"/>
      <c r="O257" s="832"/>
      <c r="P257" s="832"/>
      <c r="Q257" s="832"/>
      <c r="R257" s="832"/>
      <c r="S257" s="303">
        <f t="shared" ref="S257" si="722">E257*G257</f>
        <v>0</v>
      </c>
      <c r="T257" s="541">
        <f>VLOOKUP(A257,'Discount Lookup'!D:E,2,FALSE)*G257</f>
        <v>0</v>
      </c>
      <c r="U257" s="83">
        <f>VLOOKUP(A257,'Discount Lookup'!G:H,2,FALSE)*G257</f>
        <v>0</v>
      </c>
      <c r="V257" s="100">
        <f>E257*($J$1782)*G257</f>
        <v>0</v>
      </c>
      <c r="W257" s="100">
        <f t="shared" ref="W257" si="723">I257</f>
        <v>0</v>
      </c>
      <c r="X257" s="100" t="b">
        <f>IF(G257&gt;0,IF(AD257="me","",G257))</f>
        <v>0</v>
      </c>
      <c r="Y257" s="201"/>
      <c r="Z257" s="829" t="str">
        <f t="shared" si="645"/>
        <v/>
      </c>
      <c r="AA257" s="829"/>
      <c r="AB257" s="830" t="str">
        <f>IF(G257=0,"",IF(AD257="free","re-planting",IF(AD257="me","not NVP, by",IF($AD$8="yes",(VLOOKUP(A257,'Discount Lookup'!J:K,2)*G257*(1-$AC$1786)*(1+$AC$1788)),IF(AD257="NVP",(VLOOKUP(A257,'Discount Lookup'!J:K,2)*G257*(1-$AC$1786)*(1+$AC$1788)),IF(AD257="free","re-planting",IF(G257=0,"",IF($AD$8="",IF(AD257="me","not NVP, by",IF(AD257="",IF(G257&gt;0,(VLOOKUP(A257,'Discount Lookup'!J:K,2)*G257*(1-$AC$1786)*(1+$AC$1788)),""),"")),"not NVP, by"))))))))</f>
        <v/>
      </c>
      <c r="AC257" s="830"/>
      <c r="AD257" s="375" t="str">
        <f t="shared" si="666"/>
        <v/>
      </c>
      <c r="AE257" s="833" t="str">
        <f t="shared" ref="AE257" si="724">IF(G257&gt;0,(CONCATENATE((G257)," quantity, ",(A257)," ",B257)),"")</f>
        <v/>
      </c>
      <c r="AF257" s="833"/>
      <c r="AG257" s="833"/>
      <c r="AH257" s="91">
        <f>IF(AD257="free",0,IF(AD257="me",0,IF(G257&gt;0,(VLOOKUP(A257,'Discount Lookup'!J:K,2)*G257),0)))</f>
        <v>0</v>
      </c>
      <c r="AI257" s="92" t="str">
        <f t="shared" si="710"/>
        <v/>
      </c>
      <c r="AJ257" s="828" t="str">
        <f t="shared" si="647"/>
        <v/>
      </c>
      <c r="AK257" s="828"/>
      <c r="AL257" s="313" t="str">
        <f t="shared" si="573"/>
        <v/>
      </c>
      <c r="AM257" s="312"/>
      <c r="AN257" s="101"/>
      <c r="AO257" s="101"/>
      <c r="AP257" s="101"/>
      <c r="AQ257" s="101"/>
      <c r="AR257" s="101"/>
      <c r="AS257" s="101"/>
      <c r="AT257" s="101"/>
    </row>
    <row r="258" spans="1:46" ht="12.95" customHeight="1">
      <c r="A258" s="419">
        <v>15</v>
      </c>
      <c r="B258" s="87" t="s">
        <v>50</v>
      </c>
      <c r="C258" s="128" t="s">
        <v>229</v>
      </c>
      <c r="D258" s="129" t="s">
        <v>54</v>
      </c>
      <c r="E258" s="98">
        <v>399.95</v>
      </c>
      <c r="F258" s="705" t="s">
        <v>1306</v>
      </c>
      <c r="G258" s="357">
        <v>0</v>
      </c>
      <c r="H258" s="704" t="str">
        <f t="shared" si="719"/>
        <v/>
      </c>
      <c r="I258" s="98">
        <f t="shared" si="720"/>
        <v>0</v>
      </c>
      <c r="J258" s="98">
        <f>IF(H258="warranty",0,(I258*($J$1782)))</f>
        <v>0</v>
      </c>
      <c r="K258" s="831">
        <f t="shared" si="721"/>
        <v>0</v>
      </c>
      <c r="L258" s="831"/>
      <c r="M258" s="832" t="str">
        <f>IF($H$1784=0,"",IF(G258=0,"",IF(F258="Qty=",CONCATENATE("$",ROUND(K258*(1-$H$1784),2)," with ",($H$1784*100),"% discount"),CONCATENATE("$",ROUND(K258*(1-$H$1784),2)," with ",(($H$1784*100+F258*100)-($H$1784*100*F258)),IF(F258&gt;0,"% discounts",IF($H$1781&gt;0,"% discounts","% discount"))))))</f>
        <v/>
      </c>
      <c r="N258" s="832"/>
      <c r="O258" s="832"/>
      <c r="P258" s="832"/>
      <c r="Q258" s="832"/>
      <c r="R258" s="832"/>
      <c r="S258" s="303">
        <f t="shared" ref="S258" si="725">E258*G258</f>
        <v>0</v>
      </c>
      <c r="T258" s="541">
        <f>VLOOKUP(A258,'Discount Lookup'!D:E,2,FALSE)*G258</f>
        <v>0</v>
      </c>
      <c r="U258" s="83">
        <f>VLOOKUP(A258,'Discount Lookup'!G:H,2,FALSE)*G258</f>
        <v>0</v>
      </c>
      <c r="V258" s="100">
        <f>E258*($J$1782)*G258</f>
        <v>0</v>
      </c>
      <c r="W258" s="100">
        <f t="shared" ref="W258" si="726">I258</f>
        <v>0</v>
      </c>
      <c r="X258" s="100" t="b">
        <f>IF(G258&gt;0,IF(AD258="me","",G258))</f>
        <v>0</v>
      </c>
      <c r="Y258" s="201"/>
      <c r="Z258" s="829" t="str">
        <f t="shared" si="645"/>
        <v/>
      </c>
      <c r="AA258" s="829"/>
      <c r="AB258" s="830" t="str">
        <f>IF(G258=0,"",IF(AD258="free","re-planting",IF(AD258="me","not NVP, by",IF($AD$8="yes",(VLOOKUP(A258,'Discount Lookup'!J:K,2)*G258*(1-$AC$1786)*(1+$AC$1788)),IF(AD258="NVP",(VLOOKUP(A258,'Discount Lookup'!J:K,2)*G258*(1-$AC$1786)*(1+$AC$1788)),IF(AD258="free","re-planting",IF(G258=0,"",IF($AD$8="",IF(AD258="me","not NVP, by",IF(AD258="",IF(G258&gt;0,(VLOOKUP(A258,'Discount Lookup'!J:K,2)*G258*(1-$AC$1786)*(1+$AC$1788)),""),"")),"not NVP, by"))))))))</f>
        <v/>
      </c>
      <c r="AC258" s="830"/>
      <c r="AD258" s="375" t="str">
        <f t="shared" si="666"/>
        <v/>
      </c>
      <c r="AE258" s="833" t="str">
        <f t="shared" si="599"/>
        <v/>
      </c>
      <c r="AF258" s="833"/>
      <c r="AG258" s="833"/>
      <c r="AH258" s="91">
        <f>IF(AD258="free",0,IF(AD258="me",0,IF(G258&gt;0,(VLOOKUP(A258,'Discount Lookup'!J:K,2)*G258),0)))</f>
        <v>0</v>
      </c>
      <c r="AI258" s="92" t="str">
        <f t="shared" si="710"/>
        <v/>
      </c>
      <c r="AJ258" s="828" t="str">
        <f t="shared" si="647"/>
        <v/>
      </c>
      <c r="AK258" s="828"/>
      <c r="AL258" s="313" t="str">
        <f t="shared" si="573"/>
        <v/>
      </c>
      <c r="AM258" s="312"/>
      <c r="AN258" s="101"/>
      <c r="AO258" s="101"/>
      <c r="AP258" s="101"/>
      <c r="AQ258" s="101"/>
      <c r="AR258" s="101"/>
      <c r="AS258" s="101"/>
      <c r="AT258" s="101"/>
    </row>
    <row r="259" spans="1:46" ht="12.95" customHeight="1">
      <c r="A259" s="419">
        <v>15</v>
      </c>
      <c r="B259" s="87" t="s">
        <v>50</v>
      </c>
      <c r="C259" s="128" t="s">
        <v>1312</v>
      </c>
      <c r="D259" s="129" t="s">
        <v>54</v>
      </c>
      <c r="E259" s="98">
        <v>454.95</v>
      </c>
      <c r="F259" s="705" t="s">
        <v>1306</v>
      </c>
      <c r="G259" s="357">
        <v>0</v>
      </c>
      <c r="H259" s="704" t="str">
        <f t="shared" si="719"/>
        <v/>
      </c>
      <c r="I259" s="98">
        <f t="shared" si="720"/>
        <v>0</v>
      </c>
      <c r="J259" s="98">
        <f>IF(H259="warranty",0,(I259*($J$1782)))</f>
        <v>0</v>
      </c>
      <c r="K259" s="831">
        <f t="shared" si="721"/>
        <v>0</v>
      </c>
      <c r="L259" s="831"/>
      <c r="M259" s="832" t="str">
        <f>IF($H$1784=0,"",IF(G259=0,"",IF(F259="Qty=",CONCATENATE("$",ROUND(K259*(1-$H$1784),2)," with ",($H$1784*100),"% discount"),CONCATENATE("$",ROUND(K259*(1-$H$1784),2)," with ",(($H$1784*100+F259*100)-($H$1784*100*F259)),IF(F259&gt;0,"% discounts",IF($H$1781&gt;0,"% discounts","% discount"))))))</f>
        <v/>
      </c>
      <c r="N259" s="832"/>
      <c r="O259" s="832"/>
      <c r="P259" s="832"/>
      <c r="Q259" s="832"/>
      <c r="R259" s="832"/>
      <c r="S259" s="303">
        <f t="shared" ref="S259:S260" si="727">E259*G259</f>
        <v>0</v>
      </c>
      <c r="T259" s="541">
        <f>VLOOKUP(A259,'Discount Lookup'!D:E,2,FALSE)*G259</f>
        <v>0</v>
      </c>
      <c r="U259" s="83">
        <f>VLOOKUP(A259,'Discount Lookup'!G:H,2,FALSE)*G259</f>
        <v>0</v>
      </c>
      <c r="V259" s="100">
        <f>E259*($J$1782)*G259</f>
        <v>0</v>
      </c>
      <c r="W259" s="100">
        <f t="shared" ref="W259:W260" si="728">I259</f>
        <v>0</v>
      </c>
      <c r="X259" s="100" t="b">
        <f>IF(G259&gt;0,IF(AD259="me","",G259))</f>
        <v>0</v>
      </c>
      <c r="Y259" s="201"/>
      <c r="Z259" s="829" t="str">
        <f t="shared" si="645"/>
        <v/>
      </c>
      <c r="AA259" s="829"/>
      <c r="AB259" s="830" t="str">
        <f>IF(G259=0,"",IF(AD259="free","re-planting",IF(AD259="me","not NVP, by",IF($AD$8="yes",(VLOOKUP(A259,'Discount Lookup'!J:K,2)*G259*(1-$AC$1786)*(1+$AC$1788)),IF(AD259="NVP",(VLOOKUP(A259,'Discount Lookup'!J:K,2)*G259*(1-$AC$1786)*(1+$AC$1788)),IF(AD259="free","re-planting",IF(G259=0,"",IF($AD$8="",IF(AD259="me","not NVP, by",IF(AD259="",IF(G259&gt;0,(VLOOKUP(A259,'Discount Lookup'!J:K,2)*G259*(1-$AC$1786)*(1+$AC$1788)),""),"")),"not NVP, by"))))))))</f>
        <v/>
      </c>
      <c r="AC259" s="830"/>
      <c r="AD259" s="375" t="str">
        <f t="shared" si="666"/>
        <v/>
      </c>
      <c r="AE259" s="833" t="str">
        <f t="shared" si="599"/>
        <v/>
      </c>
      <c r="AF259" s="833"/>
      <c r="AG259" s="833"/>
      <c r="AH259" s="91">
        <f>IF(AD259="free",0,IF(AD259="me",0,IF(G259&gt;0,(VLOOKUP(A259,'Discount Lookup'!J:K,2)*G259),0)))</f>
        <v>0</v>
      </c>
      <c r="AI259" s="92" t="str">
        <f t="shared" si="710"/>
        <v/>
      </c>
      <c r="AJ259" s="828" t="str">
        <f t="shared" si="647"/>
        <v/>
      </c>
      <c r="AK259" s="828"/>
      <c r="AL259" s="313" t="str">
        <f t="shared" si="573"/>
        <v/>
      </c>
      <c r="AM259" s="312"/>
      <c r="AN259" s="101"/>
      <c r="AO259" s="101"/>
      <c r="AP259" s="101"/>
      <c r="AQ259" s="101"/>
      <c r="AR259" s="101"/>
      <c r="AS259" s="101"/>
      <c r="AT259" s="101"/>
    </row>
    <row r="260" spans="1:46" ht="12.95" customHeight="1">
      <c r="A260" s="419">
        <v>65</v>
      </c>
      <c r="B260" s="87" t="s">
        <v>50</v>
      </c>
      <c r="C260" s="128" t="s">
        <v>91</v>
      </c>
      <c r="D260" s="129" t="s">
        <v>54</v>
      </c>
      <c r="E260" s="98">
        <v>869.95</v>
      </c>
      <c r="F260" s="705" t="s">
        <v>1306</v>
      </c>
      <c r="G260" s="357">
        <v>0</v>
      </c>
      <c r="H260" s="704" t="str">
        <f t="shared" ref="H260" si="729">IF(G260=0,"",IF(F260="Qty=",IF(G260=1,"plant","plants"),IF(F260&gt;0.0001,"warranty","Error")))</f>
        <v/>
      </c>
      <c r="I260" s="98">
        <f t="shared" ref="I260" si="730">IF(F260="Qty=",(E260*G260),((E260*(1-F260))*G260))</f>
        <v>0</v>
      </c>
      <c r="J260" s="98">
        <f>IF(H260="warranty",0,(I260*($J$1782)))</f>
        <v>0</v>
      </c>
      <c r="K260" s="831">
        <f t="shared" si="721"/>
        <v>0</v>
      </c>
      <c r="L260" s="831"/>
      <c r="M260" s="832" t="str">
        <f>IF($H$1784=0,"",IF(G260=0,"",IF(F260="Qty=",CONCATENATE("$",ROUND(K260*(1-$H$1784),2)," with ",($H$1784*100),"% discount"),CONCATENATE("$",ROUND(K260*(1-$H$1784),2)," with ",(($H$1784*100+F260*100)-($H$1784*100*F260)),IF(F260&gt;0,"% discounts",IF($H$1781&gt;0,"% discounts","% discount"))))))</f>
        <v/>
      </c>
      <c r="N260" s="832"/>
      <c r="O260" s="832"/>
      <c r="P260" s="832"/>
      <c r="Q260" s="832"/>
      <c r="R260" s="832"/>
      <c r="S260" s="303">
        <f t="shared" si="727"/>
        <v>0</v>
      </c>
      <c r="T260" s="541">
        <f>VLOOKUP(A260,'Discount Lookup'!D:E,2,FALSE)*G260</f>
        <v>0</v>
      </c>
      <c r="U260" s="83">
        <f>VLOOKUP(A260,'Discount Lookup'!G:H,2,FALSE)*G260</f>
        <v>0</v>
      </c>
      <c r="V260" s="100">
        <f>E260*($J$1782)*G260</f>
        <v>0</v>
      </c>
      <c r="W260" s="100">
        <f t="shared" si="728"/>
        <v>0</v>
      </c>
      <c r="X260" s="100" t="b">
        <f>IF(G260&gt;0,IF(AD260="me","",G260))</f>
        <v>0</v>
      </c>
      <c r="Y260" s="201"/>
      <c r="Z260" s="829" t="str">
        <f t="shared" ref="Z260" si="731">IF(G260=0,"",IF(AD260="me","",IF($AD$8="me","",IF(AD260="free","warranty",IF($AD$8="yes","NVP planting:","to NVP install:")))))</f>
        <v/>
      </c>
      <c r="AA260" s="829"/>
      <c r="AB260" s="830" t="str">
        <f>IF(G260=0,"",IF(AD260="free","re-planting",IF(AD260="me","not NVP, by",IF($AD$8="yes",(VLOOKUP(A260,'Discount Lookup'!J:K,2)*G260*(1-$AC$1786)*(1+$AC$1788)),IF(AD260="NVP",(VLOOKUP(A260,'Discount Lookup'!J:K,2)*G260*(1-$AC$1786)*(1+$AC$1788)),IF(AD260="free","re-planting",IF(G260=0,"",IF($AD$8="",IF(AD260="me","not NVP, by",IF(AD260="",IF(G260&gt;0,(VLOOKUP(A260,'Discount Lookup'!J:K,2)*G260*(1-$AC$1786)*(1+$AC$1788)),""),"")),"not NVP, by"))))))))</f>
        <v/>
      </c>
      <c r="AC260" s="830"/>
      <c r="AD260" s="375" t="str">
        <f t="shared" si="666"/>
        <v/>
      </c>
      <c r="AE260" s="833" t="str">
        <f t="shared" si="599"/>
        <v/>
      </c>
      <c r="AF260" s="833"/>
      <c r="AG260" s="833"/>
      <c r="AH260" s="91">
        <f>IF(AD260="free",0,IF(AD260="me",0,IF(G260&gt;0,(VLOOKUP(A260,'Discount Lookup'!J:K,2)*G260),0)))</f>
        <v>0</v>
      </c>
      <c r="AI260" s="92" t="str">
        <f t="shared" si="710"/>
        <v/>
      </c>
      <c r="AJ260" s="828" t="str">
        <f t="shared" ref="AJ260" si="732">IF(G260=0,"",IF(AD260="me","  delivery-only",IF($AD$8="me","  delivery-only",CONCATENATE(" $",ROUND(AI260/G260,2)," each"))))</f>
        <v/>
      </c>
      <c r="AK260" s="828"/>
      <c r="AL260" s="313" t="str">
        <f t="shared" si="573"/>
        <v/>
      </c>
      <c r="AM260" s="312"/>
      <c r="AN260" s="101"/>
      <c r="AO260" s="101"/>
      <c r="AP260" s="101"/>
      <c r="AQ260" s="101"/>
      <c r="AR260" s="101"/>
      <c r="AS260" s="101"/>
      <c r="AT260" s="101"/>
    </row>
    <row r="261" spans="1:46" ht="12.95" customHeight="1">
      <c r="A261" s="465"/>
      <c r="B261" s="149" t="s">
        <v>230</v>
      </c>
      <c r="C261" s="104"/>
      <c r="D261" s="104"/>
      <c r="E261" s="131"/>
      <c r="F261" s="710"/>
      <c r="G261" s="358"/>
      <c r="H261" s="744"/>
      <c r="I261" s="131"/>
      <c r="J261" s="131"/>
      <c r="K261" s="608"/>
      <c r="L261" s="608"/>
      <c r="M261" s="121"/>
      <c r="N261" s="163" t="s">
        <v>132</v>
      </c>
      <c r="O261" s="123"/>
      <c r="P261" s="124"/>
      <c r="Q261" s="124"/>
      <c r="R261" s="83"/>
      <c r="S261" s="82">
        <f>E261*G261</f>
        <v>0</v>
      </c>
      <c r="T261" s="540"/>
      <c r="U261" s="83"/>
      <c r="V261" s="100" t="b">
        <f>IF(G261&gt;0,IF(AD261="me","",G261))</f>
        <v>0</v>
      </c>
      <c r="W261" s="100"/>
      <c r="X261" s="100"/>
      <c r="Y261" s="201"/>
      <c r="Z261" s="829" t="str">
        <f t="shared" si="645"/>
        <v/>
      </c>
      <c r="AA261" s="829"/>
      <c r="AB261" s="830" t="str">
        <f>IF(G261=0,"",IF(AD261="free","re-planting",IF(AD261="me","not NVP, by",IF($AD$8="yes",(VLOOKUP(A261,'Discount Lookup'!J:K,2)*G261*(1-$AC$1786)*(1+$AC$1788)),IF(AD261="NVP",(VLOOKUP(A261,'Discount Lookup'!J:K,2)*G261*(1-$AC$1786)*(1+$AC$1788)),IF(AD261="free","re-planting",IF(G261=0,"",IF($AD$8="",IF(AD261="me","not NVP, by",IF(AD261="",IF(G261&gt;0,(VLOOKUP(A261,'Discount Lookup'!J:K,2)*G261*(1-$AC$1786)*(1+$AC$1788)),""),"")),"not NVP, by"))))))))</f>
        <v/>
      </c>
      <c r="AC261" s="830"/>
      <c r="AD261" s="375" t="str">
        <f t="shared" si="666"/>
        <v/>
      </c>
      <c r="AE261" s="833" t="str">
        <f t="shared" si="599"/>
        <v/>
      </c>
      <c r="AF261" s="833"/>
      <c r="AG261" s="833"/>
      <c r="AH261" s="91">
        <f>IF(AD261="free",0,IF(AD261="me",0,IF(G261&gt;0,(VLOOKUP(A261,'Discount Lookup'!J:K,2)*G261),0)))</f>
        <v>0</v>
      </c>
      <c r="AI261" s="92" t="str">
        <f t="shared" si="710"/>
        <v/>
      </c>
      <c r="AJ261" s="828" t="str">
        <f t="shared" si="647"/>
        <v/>
      </c>
      <c r="AK261" s="828"/>
      <c r="AL261" s="313" t="str">
        <f t="shared" si="573"/>
        <v/>
      </c>
      <c r="AM261" s="312"/>
      <c r="AN261" s="101"/>
      <c r="AO261" s="101"/>
      <c r="AP261" s="101"/>
      <c r="AQ261" s="101"/>
      <c r="AR261" s="101"/>
      <c r="AS261" s="101"/>
      <c r="AT261" s="101"/>
    </row>
    <row r="262" spans="1:46" ht="12.95" customHeight="1">
      <c r="A262" s="893" t="s">
        <v>981</v>
      </c>
      <c r="B262" s="848"/>
      <c r="C262" s="848"/>
      <c r="D262" s="848"/>
      <c r="E262" s="848"/>
      <c r="F262" s="848"/>
      <c r="G262" s="848"/>
      <c r="H262" s="770" t="s">
        <v>982</v>
      </c>
      <c r="I262" s="348" t="s">
        <v>44</v>
      </c>
      <c r="J262" s="93"/>
      <c r="K262" s="664" t="s">
        <v>45</v>
      </c>
      <c r="L262" s="665" t="s">
        <v>46</v>
      </c>
      <c r="M262" s="86"/>
      <c r="N262" s="87" t="s">
        <v>69</v>
      </c>
      <c r="O262" s="87"/>
      <c r="P262" s="87"/>
      <c r="Q262" s="87"/>
      <c r="R262" s="86"/>
      <c r="S262" s="125"/>
      <c r="T262" s="543"/>
      <c r="U262" s="89" t="s">
        <v>221</v>
      </c>
      <c r="V262" s="100" t="b">
        <f>IF(G262&gt;0,IF(AD262="me","",G262))</f>
        <v>0</v>
      </c>
      <c r="W262" s="100"/>
      <c r="X262" s="100"/>
      <c r="Y262" s="201"/>
      <c r="Z262" s="829" t="str">
        <f t="shared" si="645"/>
        <v/>
      </c>
      <c r="AA262" s="829"/>
      <c r="AB262" s="830" t="str">
        <f>IF(G262=0,"",IF(AD262="free","re-planting",IF(AD262="me","not NVP, by",IF($AD$8="yes",(VLOOKUP(A262,'Discount Lookup'!J:K,2)*G262*(1-$AC$1786)*(1+$AC$1788)),IF(AD262="NVP",(VLOOKUP(A262,'Discount Lookup'!J:K,2)*G262*(1-$AC$1786)*(1+$AC$1788)),IF(AD262="free","re-planting",IF(G262=0,"",IF($AD$8="",IF(AD262="me","not NVP, by",IF(AD262="",IF(G262&gt;0,(VLOOKUP(A262,'Discount Lookup'!J:K,2)*G262*(1-$AC$1786)*(1+$AC$1788)),""),"")),"not NVP, by"))))))))</f>
        <v/>
      </c>
      <c r="AC262" s="830"/>
      <c r="AD262" s="375" t="str">
        <f t="shared" si="666"/>
        <v/>
      </c>
      <c r="AE262" s="833" t="str">
        <f t="shared" ref="AE262:AE269" si="733">IF(G262&gt;0,(CONCATENATE((G262)," quantity, ",(A262)," ",B262)),"")</f>
        <v/>
      </c>
      <c r="AF262" s="833"/>
      <c r="AG262" s="833"/>
      <c r="AH262" s="91">
        <f>IF(AD262="free",0,IF(AD262="me",0,IF(G262&gt;0,(VLOOKUP(A262,'Discount Lookup'!J:K,2)*G262),0)))</f>
        <v>0</v>
      </c>
      <c r="AI262" s="92" t="str">
        <f t="shared" si="710"/>
        <v/>
      </c>
      <c r="AJ262" s="828" t="str">
        <f t="shared" si="647"/>
        <v/>
      </c>
      <c r="AK262" s="828"/>
      <c r="AL262" s="313" t="str">
        <f t="shared" si="573"/>
        <v/>
      </c>
      <c r="AM262" s="312"/>
      <c r="AN262" s="101"/>
      <c r="AO262" s="101"/>
      <c r="AP262" s="101"/>
      <c r="AQ262" s="101"/>
      <c r="AR262" s="101"/>
      <c r="AS262" s="101"/>
      <c r="AT262" s="101"/>
    </row>
    <row r="263" spans="1:46" ht="12.95" customHeight="1">
      <c r="A263" s="447">
        <v>15</v>
      </c>
      <c r="B263" s="87" t="s">
        <v>50</v>
      </c>
      <c r="C263" s="128" t="s">
        <v>89</v>
      </c>
      <c r="D263" s="129" t="s">
        <v>54</v>
      </c>
      <c r="E263" s="98">
        <v>224.95</v>
      </c>
      <c r="F263" s="705" t="s">
        <v>1306</v>
      </c>
      <c r="G263" s="357">
        <v>0</v>
      </c>
      <c r="H263" s="704" t="str">
        <f t="shared" ref="H263" si="734">IF(G263=0,"",IF(F263="Qty=",IF(G263=1,"plant","plants"),IF(F263&gt;0.0001,"warranty","Error")))</f>
        <v/>
      </c>
      <c r="I263" s="98">
        <f t="shared" ref="I263" si="735">IF(F263="Qty=",(E263*G263),((E263*(1-F263))*G263))</f>
        <v>0</v>
      </c>
      <c r="J263" s="98">
        <f>IF(H263="warranty",0,(I263*($J$1782)))</f>
        <v>0</v>
      </c>
      <c r="K263" s="831">
        <f t="shared" ref="K263" si="736">I263+J263</f>
        <v>0</v>
      </c>
      <c r="L263" s="831"/>
      <c r="M263" s="832" t="str">
        <f>IF($H$1784=0,"",IF(G263=0,"",IF(F263="Qty=",CONCATENATE("$",ROUND(K263*(1-$H$1784),2)," with ",($H$1784*100),"% discount"),CONCATENATE("$",ROUND(K263*(1-$H$1784),2)," with ",(($H$1784*100+F263*100)-($H$1784*100*F263)),IF(F263&gt;0,"% discounts",IF($H$1781&gt;0,"% discounts","% discount"))))))</f>
        <v/>
      </c>
      <c r="N263" s="832"/>
      <c r="O263" s="832"/>
      <c r="P263" s="832"/>
      <c r="Q263" s="832"/>
      <c r="R263" s="832"/>
      <c r="S263" s="303">
        <f t="shared" ref="S263" si="737">E263*G263</f>
        <v>0</v>
      </c>
      <c r="T263" s="541">
        <f>VLOOKUP(A263,'Discount Lookup'!D:E,2,FALSE)*G263</f>
        <v>0</v>
      </c>
      <c r="U263" s="83">
        <f>VLOOKUP(A263,'Discount Lookup'!G:H,2,FALSE)*G263</f>
        <v>0</v>
      </c>
      <c r="V263" s="100">
        <f>E263*($J$1782)*G263</f>
        <v>0</v>
      </c>
      <c r="W263" s="100">
        <f t="shared" ref="W263" si="738">I263</f>
        <v>0</v>
      </c>
      <c r="X263" s="100" t="b">
        <f>IF(G263&gt;0,IF(AD263="me","",G263))</f>
        <v>0</v>
      </c>
      <c r="Y263" s="201"/>
      <c r="Z263" s="829" t="str">
        <f t="shared" si="645"/>
        <v/>
      </c>
      <c r="AA263" s="829"/>
      <c r="AB263" s="830" t="str">
        <f>IF(G263=0,"",IF(AD263="free","re-planting",IF(AD263="me","not NVP, by",IF($AD$8="yes",(VLOOKUP(A263,'Discount Lookup'!J:K,2)*G263*(1-$AC$1786)*(1+$AC$1788)),IF(AD263="NVP",(VLOOKUP(A263,'Discount Lookup'!J:K,2)*G263*(1-$AC$1786)*(1+$AC$1788)),IF(AD263="free","re-planting",IF(G263=0,"",IF($AD$8="",IF(AD263="me","not NVP, by",IF(AD263="",IF(G263&gt;0,(VLOOKUP(A263,'Discount Lookup'!J:K,2)*G263*(1-$AC$1786)*(1+$AC$1788)),""),"")),"not NVP, by"))))))))</f>
        <v/>
      </c>
      <c r="AC263" s="830"/>
      <c r="AD263" s="375" t="str">
        <f t="shared" si="666"/>
        <v/>
      </c>
      <c r="AE263" s="833" t="str">
        <f t="shared" si="733"/>
        <v/>
      </c>
      <c r="AF263" s="833"/>
      <c r="AG263" s="833"/>
      <c r="AH263" s="91">
        <f>IF(AD263="free",0,IF(AD263="me",0,IF(G263&gt;0,(VLOOKUP(A263,'Discount Lookup'!J:K,2)*G263),0)))</f>
        <v>0</v>
      </c>
      <c r="AI263" s="92" t="str">
        <f t="shared" si="710"/>
        <v/>
      </c>
      <c r="AJ263" s="828" t="str">
        <f t="shared" si="647"/>
        <v/>
      </c>
      <c r="AK263" s="828"/>
      <c r="AL263" s="313" t="str">
        <f t="shared" si="573"/>
        <v/>
      </c>
      <c r="AM263" s="312"/>
      <c r="AN263" s="101"/>
      <c r="AO263" s="101"/>
      <c r="AP263" s="101"/>
      <c r="AQ263" s="101"/>
      <c r="AR263" s="101"/>
      <c r="AS263" s="101"/>
      <c r="AT263" s="101"/>
    </row>
    <row r="264" spans="1:46" ht="12.95" customHeight="1">
      <c r="A264" s="504"/>
      <c r="B264" s="149" t="s">
        <v>983</v>
      </c>
      <c r="C264" s="104"/>
      <c r="D264" s="104"/>
      <c r="E264" s="131"/>
      <c r="F264" s="710"/>
      <c r="G264" s="358"/>
      <c r="H264" s="744"/>
      <c r="I264" s="131"/>
      <c r="J264" s="131"/>
      <c r="K264" s="608"/>
      <c r="L264" s="608"/>
      <c r="M264" s="121"/>
      <c r="N264" s="145"/>
      <c r="O264" s="123"/>
      <c r="P264" s="124"/>
      <c r="Q264" s="124"/>
      <c r="R264" s="83"/>
      <c r="S264" s="82"/>
      <c r="T264" s="540"/>
      <c r="U264" s="83"/>
      <c r="V264" s="100"/>
      <c r="W264" s="100"/>
      <c r="X264" s="100"/>
      <c r="Y264" s="201"/>
      <c r="Z264" s="829" t="str">
        <f t="shared" si="645"/>
        <v/>
      </c>
      <c r="AA264" s="829"/>
      <c r="AB264" s="830" t="str">
        <f>IF(G264=0,"",IF(AD264="free","re-planting",IF(AD264="me","not NVP, by",IF($AD$8="yes",(VLOOKUP(A264,'Discount Lookup'!J:K,2)*G264*(1-$AC$1786)*(1+$AC$1788)),IF(AD264="NVP",(VLOOKUP(A264,'Discount Lookup'!J:K,2)*G264*(1-$AC$1786)*(1+$AC$1788)),IF(AD264="free","re-planting",IF(G264=0,"",IF($AD$8="",IF(AD264="me","not NVP, by",IF(AD264="",IF(G264&gt;0,(VLOOKUP(A264,'Discount Lookup'!J:K,2)*G264*(1-$AC$1786)*(1+$AC$1788)),""),"")),"not NVP, by"))))))))</f>
        <v/>
      </c>
      <c r="AC264" s="830"/>
      <c r="AD264" s="375" t="str">
        <f t="shared" si="666"/>
        <v/>
      </c>
      <c r="AE264" s="833" t="str">
        <f t="shared" si="733"/>
        <v/>
      </c>
      <c r="AF264" s="833"/>
      <c r="AG264" s="833"/>
      <c r="AH264" s="91">
        <f>IF(AD264="free",0,IF(AD264="me",0,IF(G264&gt;0,(VLOOKUP(A264,'Discount Lookup'!J:K,2)*G264),0)))</f>
        <v>0</v>
      </c>
      <c r="AI264" s="92" t="str">
        <f t="shared" si="710"/>
        <v/>
      </c>
      <c r="AJ264" s="828" t="str">
        <f t="shared" si="647"/>
        <v/>
      </c>
      <c r="AK264" s="828"/>
      <c r="AL264" s="313" t="str">
        <f t="shared" si="573"/>
        <v/>
      </c>
      <c r="AM264" s="312"/>
      <c r="AN264" s="101"/>
      <c r="AO264" s="101"/>
      <c r="AP264" s="101"/>
      <c r="AQ264" s="101"/>
      <c r="AR264" s="101"/>
      <c r="AS264" s="101"/>
      <c r="AT264" s="101"/>
    </row>
    <row r="265" spans="1:46" ht="12.95" customHeight="1">
      <c r="A265" s="893" t="s">
        <v>965</v>
      </c>
      <c r="B265" s="848"/>
      <c r="C265" s="848"/>
      <c r="D265" s="848"/>
      <c r="E265" s="848"/>
      <c r="F265" s="848"/>
      <c r="G265" s="848"/>
      <c r="H265" s="770" t="s">
        <v>966</v>
      </c>
      <c r="I265" s="348" t="s">
        <v>44</v>
      </c>
      <c r="J265" s="93"/>
      <c r="K265" s="603" t="s">
        <v>45</v>
      </c>
      <c r="L265" s="601" t="s">
        <v>46</v>
      </c>
      <c r="M265" s="86"/>
      <c r="N265" s="87" t="s">
        <v>75</v>
      </c>
      <c r="O265" s="87"/>
      <c r="P265" s="87"/>
      <c r="Q265" s="87"/>
      <c r="R265" s="86"/>
      <c r="S265" s="125"/>
      <c r="T265" s="543"/>
      <c r="U265" s="112"/>
      <c r="V265" s="100" t="b">
        <f>IF(G265&gt;0,IF(AD265="me","",G265))</f>
        <v>0</v>
      </c>
      <c r="W265" s="100"/>
      <c r="X265" s="100"/>
      <c r="Y265" s="201"/>
      <c r="Z265" s="829" t="str">
        <f t="shared" si="645"/>
        <v/>
      </c>
      <c r="AA265" s="829"/>
      <c r="AB265" s="830" t="str">
        <f>IF(G265=0,"",IF(AD265="free","re-planting",IF(AD265="me","not NVP, by",IF($AD$8="yes",(VLOOKUP(A265,'Discount Lookup'!J:K,2)*G265*(1-$AC$1786)*(1+$AC$1788)),IF(AD265="NVP",(VLOOKUP(A265,'Discount Lookup'!J:K,2)*G265*(1-$AC$1786)*(1+$AC$1788)),IF(AD265="free","re-planting",IF(G265=0,"",IF($AD$8="",IF(AD265="me","not NVP, by",IF(AD265="",IF(G265&gt;0,(VLOOKUP(A265,'Discount Lookup'!J:K,2)*G265*(1-$AC$1786)*(1+$AC$1788)),""),"")),"not NVP, by"))))))))</f>
        <v/>
      </c>
      <c r="AC265" s="830"/>
      <c r="AD265" s="375" t="str">
        <f t="shared" si="666"/>
        <v/>
      </c>
      <c r="AE265" s="833" t="str">
        <f t="shared" si="733"/>
        <v/>
      </c>
      <c r="AF265" s="833"/>
      <c r="AG265" s="833"/>
      <c r="AH265" s="91">
        <f>IF(AD265="free",0,IF(AD265="me",0,IF(G265&gt;0,(VLOOKUP(A265,'Discount Lookup'!J:K,2)*G265),0)))</f>
        <v>0</v>
      </c>
      <c r="AI265" s="92" t="str">
        <f t="shared" si="710"/>
        <v/>
      </c>
      <c r="AJ265" s="828" t="str">
        <f t="shared" si="647"/>
        <v/>
      </c>
      <c r="AK265" s="828"/>
      <c r="AL265" s="313" t="str">
        <f t="shared" si="573"/>
        <v/>
      </c>
      <c r="AM265" s="312"/>
      <c r="AN265" s="101"/>
      <c r="AO265" s="101"/>
      <c r="AP265" s="101"/>
      <c r="AQ265" s="101"/>
      <c r="AR265" s="101"/>
      <c r="AS265" s="101"/>
      <c r="AT265" s="101"/>
    </row>
    <row r="266" spans="1:46" ht="12.75" customHeight="1">
      <c r="A266" s="447">
        <v>7</v>
      </c>
      <c r="B266" s="87" t="s">
        <v>50</v>
      </c>
      <c r="C266" s="128" t="s">
        <v>70</v>
      </c>
      <c r="D266" s="129" t="s">
        <v>54</v>
      </c>
      <c r="E266" s="98">
        <v>91.95</v>
      </c>
      <c r="F266" s="705" t="s">
        <v>1306</v>
      </c>
      <c r="G266" s="357">
        <v>0</v>
      </c>
      <c r="H266" s="704" t="str">
        <f t="shared" ref="H266" si="739">IF(G266=0,"",IF(F266="Qty=",IF(G266=1,"plant","plants"),IF(F266&gt;0.0001,"warranty","Error")))</f>
        <v/>
      </c>
      <c r="I266" s="98">
        <f t="shared" ref="I266" si="740">IF(F266="Qty=",(E266*G266),((E266*(1-F266))*G266))</f>
        <v>0</v>
      </c>
      <c r="J266" s="98">
        <f>IF(H266="warranty",0,(I266*($J$1782)))</f>
        <v>0</v>
      </c>
      <c r="K266" s="831">
        <f t="shared" ref="K266:K268" si="741">I266+J266</f>
        <v>0</v>
      </c>
      <c r="L266" s="831"/>
      <c r="M266" s="832" t="str">
        <f>IF($H$1784=0,"",IF(G266=0,"",IF(F266="Qty=",CONCATENATE("$",ROUND(K266*(1-$H$1784),2)," with ",($H$1784*100),"% discount"),CONCATENATE("$",ROUND(K266*(1-$H$1784),2)," with ",(($H$1784*100+F266*100)-($H$1784*100*F266)),IF(F266&gt;0,"% discounts",IF($H$1781&gt;0,"% discounts","% discount"))))))</f>
        <v/>
      </c>
      <c r="N266" s="832"/>
      <c r="O266" s="832"/>
      <c r="P266" s="832"/>
      <c r="Q266" s="832"/>
      <c r="R266" s="832"/>
      <c r="S266" s="303">
        <f t="shared" ref="S266" si="742">E266*G266</f>
        <v>0</v>
      </c>
      <c r="T266" s="541">
        <f>VLOOKUP(A266,'Discount Lookup'!D:E,2,FALSE)*G266</f>
        <v>0</v>
      </c>
      <c r="U266" s="83">
        <f>VLOOKUP(A266,'Discount Lookup'!G:H,2,FALSE)*G266</f>
        <v>0</v>
      </c>
      <c r="V266" s="100">
        <f>E266*($J$1782)*G266</f>
        <v>0</v>
      </c>
      <c r="W266" s="100">
        <f t="shared" ref="W266" si="743">I266</f>
        <v>0</v>
      </c>
      <c r="X266" s="100" t="b">
        <f>IF(G266&gt;0,IF(AD266="me","",G266))</f>
        <v>0</v>
      </c>
      <c r="Y266" s="201"/>
      <c r="Z266" s="829" t="str">
        <f t="shared" ref="Z266" si="744">IF(G266=0,"",IF(AD266="me","",IF($AD$8="me","",IF(AD266="free","warranty",IF($AD$8="yes","NVP planting:","to NVP install:")))))</f>
        <v/>
      </c>
      <c r="AA266" s="829"/>
      <c r="AB266" s="830" t="str">
        <f>IF(G266=0,"",IF(AD266="free","re-planting",IF(AD266="me","not NVP, by",IF($AD$8="yes",(VLOOKUP(A266,'Discount Lookup'!J:K,2)*G266*(1-$AC$1786)*(1+$AC$1788)),IF(AD266="NVP",(VLOOKUP(A266,'Discount Lookup'!J:K,2)*G266*(1-$AC$1786)*(1+$AC$1788)),IF(AD266="free","re-planting",IF(G266=0,"",IF($AD$8="",IF(AD266="me","not NVP, by",IF(AD266="",IF(G266&gt;0,(VLOOKUP(A266,'Discount Lookup'!J:K,2)*G266*(1-$AC$1786)*(1+$AC$1788)),""),"")),"not NVP, by"))))))))</f>
        <v/>
      </c>
      <c r="AC266" s="830"/>
      <c r="AD266" s="375" t="str">
        <f t="shared" si="666"/>
        <v/>
      </c>
      <c r="AE266" s="833" t="str">
        <f t="shared" ref="AE266" si="745">IF(G266&gt;0,(CONCATENATE((G266)," quantity, ",(A266)," ",B266)),"")</f>
        <v/>
      </c>
      <c r="AF266" s="833"/>
      <c r="AG266" s="833"/>
      <c r="AH266" s="91">
        <f>IF(AD266="free",0,IF(AD266="me",0,IF(G266&gt;0,(VLOOKUP(A266,'Discount Lookup'!J:K,2)*G266),0)))</f>
        <v>0</v>
      </c>
      <c r="AI266" s="92" t="str">
        <f t="shared" si="710"/>
        <v/>
      </c>
      <c r="AJ266" s="828" t="str">
        <f t="shared" ref="AJ266" si="746">IF(G266=0,"",IF(AD266="me","  delivery-only",IF($AD$8="me","  delivery-only",CONCATENATE(" $",ROUND(AI266/G266,2)," each"))))</f>
        <v/>
      </c>
      <c r="AK266" s="828"/>
      <c r="AL266" s="313" t="str">
        <f t="shared" si="573"/>
        <v/>
      </c>
      <c r="AM266" s="312"/>
      <c r="AN266" s="101"/>
      <c r="AO266" s="101"/>
      <c r="AP266" s="101"/>
      <c r="AQ266" s="101"/>
      <c r="AR266" s="101"/>
      <c r="AS266" s="101"/>
      <c r="AT266" s="101"/>
    </row>
    <row r="267" spans="1:46" ht="12.75" customHeight="1">
      <c r="A267" s="447">
        <v>15</v>
      </c>
      <c r="B267" s="87" t="s">
        <v>50</v>
      </c>
      <c r="C267" s="128" t="s">
        <v>211</v>
      </c>
      <c r="D267" s="129" t="s">
        <v>54</v>
      </c>
      <c r="E267" s="98">
        <v>169.95</v>
      </c>
      <c r="F267" s="705" t="s">
        <v>1306</v>
      </c>
      <c r="G267" s="357">
        <v>0</v>
      </c>
      <c r="H267" s="704" t="str">
        <f t="shared" ref="H267:H268" si="747">IF(G267=0,"",IF(F267="Qty=",IF(G267=1,"plant","plants"),IF(F267&gt;0.0001,"warranty","Error")))</f>
        <v/>
      </c>
      <c r="I267" s="98">
        <f t="shared" ref="I267:I268" si="748">IF(F267="Qty=",(E267*G267),((E267*(1-F267))*G267))</f>
        <v>0</v>
      </c>
      <c r="J267" s="98">
        <f>IF(H267="warranty",0,(I267*($J$1782)))</f>
        <v>0</v>
      </c>
      <c r="K267" s="831">
        <f t="shared" si="741"/>
        <v>0</v>
      </c>
      <c r="L267" s="831"/>
      <c r="M267" s="832" t="str">
        <f>IF($H$1784=0,"",IF(G267=0,"",IF(F267="Qty=",CONCATENATE("$",ROUND(K267*(1-$H$1784),2)," with ",($H$1784*100),"% discount"),CONCATENATE("$",ROUND(K267*(1-$H$1784),2)," with ",(($H$1784*100+F267*100)-($H$1784*100*F267)),IF(F267&gt;0,"% discounts",IF($H$1781&gt;0,"% discounts","% discount"))))))</f>
        <v/>
      </c>
      <c r="N267" s="832"/>
      <c r="O267" s="832"/>
      <c r="P267" s="832"/>
      <c r="Q267" s="832"/>
      <c r="R267" s="832"/>
      <c r="S267" s="303">
        <f t="shared" ref="S267" si="749">E267*G267</f>
        <v>0</v>
      </c>
      <c r="T267" s="541">
        <f>VLOOKUP(A267,'Discount Lookup'!D:E,2,FALSE)*G267</f>
        <v>0</v>
      </c>
      <c r="U267" s="83">
        <f>VLOOKUP(A267,'Discount Lookup'!G:H,2,FALSE)*G267</f>
        <v>0</v>
      </c>
      <c r="V267" s="100">
        <f>E267*($J$1782)*G267</f>
        <v>0</v>
      </c>
      <c r="W267" s="100">
        <f t="shared" ref="W267" si="750">I267</f>
        <v>0</v>
      </c>
      <c r="X267" s="100" t="b">
        <f>IF(G267&gt;0,IF(AD267="me","",G267))</f>
        <v>0</v>
      </c>
      <c r="Y267" s="201"/>
      <c r="Z267" s="829" t="str">
        <f t="shared" si="645"/>
        <v/>
      </c>
      <c r="AA267" s="829"/>
      <c r="AB267" s="830" t="str">
        <f>IF(G267=0,"",IF(AD267="free","re-planting",IF(AD267="me","not NVP, by",IF($AD$8="yes",(VLOOKUP(A267,'Discount Lookup'!J:K,2)*G267*(1-$AC$1786)*(1+$AC$1788)),IF(AD267="NVP",(VLOOKUP(A267,'Discount Lookup'!J:K,2)*G267*(1-$AC$1786)*(1+$AC$1788)),IF(AD267="free","re-planting",IF(G267=0,"",IF($AD$8="",IF(AD267="me","not NVP, by",IF(AD267="",IF(G267&gt;0,(VLOOKUP(A267,'Discount Lookup'!J:K,2)*G267*(1-$AC$1786)*(1+$AC$1788)),""),"")),"not NVP, by"))))))))</f>
        <v/>
      </c>
      <c r="AC267" s="830"/>
      <c r="AD267" s="375" t="str">
        <f t="shared" si="666"/>
        <v/>
      </c>
      <c r="AE267" s="833" t="str">
        <f t="shared" si="733"/>
        <v/>
      </c>
      <c r="AF267" s="833"/>
      <c r="AG267" s="833"/>
      <c r="AH267" s="91">
        <f>IF(AD267="free",0,IF(AD267="me",0,IF(G267&gt;0,(VLOOKUP(A267,'Discount Lookup'!J:K,2)*G267),0)))</f>
        <v>0</v>
      </c>
      <c r="AI267" s="92" t="str">
        <f t="shared" si="710"/>
        <v/>
      </c>
      <c r="AJ267" s="828" t="str">
        <f t="shared" si="647"/>
        <v/>
      </c>
      <c r="AK267" s="828"/>
      <c r="AL267" s="313" t="str">
        <f t="shared" ref="AL267:AL330" si="751">IF(AD267="free","      ~ discounts included, no tax or planting fee applies ~",IF(G267=0,"",IF($AD$8="me",CONCATENATE(" $",ROUND(AI267/G267,2)," per plant, with tax &amp; discount"),IF(AD267="me",CONCATENATE(" $",ROUND(AI267/G267,2)," per plant, with tax &amp; discount"),CONCATENATE("= $",ROUND((K267*(1-$H$1784))/G267,2)," per plant + $",AB267/G267,(" per planting      ~ includes tax &amp; discounts ~"))))))</f>
        <v/>
      </c>
      <c r="AM267" s="312"/>
      <c r="AN267" s="101"/>
      <c r="AO267" s="101"/>
      <c r="AP267" s="101"/>
      <c r="AQ267" s="101"/>
      <c r="AR267" s="101"/>
      <c r="AS267" s="101"/>
      <c r="AT267" s="101"/>
    </row>
    <row r="268" spans="1:46" ht="12.95" customHeight="1">
      <c r="A268" s="447">
        <v>25</v>
      </c>
      <c r="B268" s="87" t="s">
        <v>50</v>
      </c>
      <c r="C268" s="128" t="s">
        <v>1409</v>
      </c>
      <c r="D268" s="129" t="s">
        <v>54</v>
      </c>
      <c r="E268" s="98">
        <v>309.95</v>
      </c>
      <c r="F268" s="705" t="s">
        <v>1306</v>
      </c>
      <c r="G268" s="357">
        <v>0</v>
      </c>
      <c r="H268" s="704" t="str">
        <f t="shared" si="747"/>
        <v/>
      </c>
      <c r="I268" s="98">
        <f t="shared" si="748"/>
        <v>0</v>
      </c>
      <c r="J268" s="98">
        <f>IF(H268="warranty",0,(I268*($J$1782)))</f>
        <v>0</v>
      </c>
      <c r="K268" s="831">
        <f t="shared" si="741"/>
        <v>0</v>
      </c>
      <c r="L268" s="831"/>
      <c r="M268" s="832" t="str">
        <f>IF($H$1784=0,"",IF(G268=0,"",IF(F268="Qty=",CONCATENATE("$",ROUND(K268*(1-$H$1784),2)," with ",($H$1784*100),"% discount"),CONCATENATE("$",ROUND(K268*(1-$H$1784),2)," with ",(($H$1784*100+F268*100)-($H$1784*100*F268)),IF(F268&gt;0,"% discounts",IF($H$1781&gt;0,"% discounts","% discount"))))))</f>
        <v/>
      </c>
      <c r="N268" s="832"/>
      <c r="O268" s="832"/>
      <c r="P268" s="832"/>
      <c r="Q268" s="832"/>
      <c r="R268" s="832"/>
      <c r="S268" s="303">
        <f t="shared" ref="S268" si="752">E268*G268</f>
        <v>0</v>
      </c>
      <c r="T268" s="541">
        <f>VLOOKUP(A268,'Discount Lookup'!D:E,2,FALSE)*G268</f>
        <v>0</v>
      </c>
      <c r="U268" s="83">
        <f>VLOOKUP(A268,'Discount Lookup'!G:H,2,FALSE)*G268</f>
        <v>0</v>
      </c>
      <c r="V268" s="100">
        <f>E268*($J$1782)*G268</f>
        <v>0</v>
      </c>
      <c r="W268" s="100">
        <f t="shared" ref="W268" si="753">I268</f>
        <v>0</v>
      </c>
      <c r="X268" s="100" t="b">
        <f>IF(G268&gt;0,IF(AD268="me","",G268))</f>
        <v>0</v>
      </c>
      <c r="Y268" s="201"/>
      <c r="Z268" s="829" t="str">
        <f t="shared" si="645"/>
        <v/>
      </c>
      <c r="AA268" s="829"/>
      <c r="AB268" s="830" t="str">
        <f>IF(G268=0,"",IF(AD268="free","re-planting",IF(AD268="me","not NVP, by",IF($AD$8="yes",(VLOOKUP(A268,'Discount Lookup'!J:K,2)*G268*(1-$AC$1786)*(1+$AC$1788)),IF(AD268="NVP",(VLOOKUP(A268,'Discount Lookup'!J:K,2)*G268*(1-$AC$1786)*(1+$AC$1788)),IF(AD268="free","re-planting",IF(G268=0,"",IF($AD$8="",IF(AD268="me","not NVP, by",IF(AD268="",IF(G268&gt;0,(VLOOKUP(A268,'Discount Lookup'!J:K,2)*G268*(1-$AC$1786)*(1+$AC$1788)),""),"")),"not NVP, by"))))))))</f>
        <v/>
      </c>
      <c r="AC268" s="830"/>
      <c r="AD268" s="375" t="str">
        <f t="shared" si="666"/>
        <v/>
      </c>
      <c r="AE268" s="833" t="str">
        <f t="shared" si="733"/>
        <v/>
      </c>
      <c r="AF268" s="833"/>
      <c r="AG268" s="833"/>
      <c r="AH268" s="91">
        <f>IF(AD268="free",0,IF(AD268="me",0,IF(G268&gt;0,(VLOOKUP(A268,'Discount Lookup'!J:K,2)*G268),0)))</f>
        <v>0</v>
      </c>
      <c r="AI268" s="92" t="str">
        <f t="shared" si="710"/>
        <v/>
      </c>
      <c r="AJ268" s="828" t="str">
        <f t="shared" si="647"/>
        <v/>
      </c>
      <c r="AK268" s="828"/>
      <c r="AL268" s="313" t="str">
        <f t="shared" si="751"/>
        <v/>
      </c>
      <c r="AM268" s="312"/>
      <c r="AN268" s="101"/>
      <c r="AO268" s="101"/>
      <c r="AP268" s="101"/>
      <c r="AQ268" s="101"/>
      <c r="AR268" s="101"/>
      <c r="AS268" s="101"/>
      <c r="AT268" s="101"/>
    </row>
    <row r="269" spans="1:46" ht="12.95" customHeight="1">
      <c r="A269" s="504"/>
      <c r="B269" s="149" t="s">
        <v>967</v>
      </c>
      <c r="C269" s="104"/>
      <c r="D269" s="104"/>
      <c r="E269" s="131"/>
      <c r="F269" s="710"/>
      <c r="G269" s="358"/>
      <c r="H269" s="744"/>
      <c r="I269" s="131"/>
      <c r="J269" s="131"/>
      <c r="K269" s="608"/>
      <c r="L269" s="608"/>
      <c r="M269" s="121"/>
      <c r="N269" s="121"/>
      <c r="O269" s="123"/>
      <c r="P269" s="124"/>
      <c r="Q269" s="124"/>
      <c r="R269" s="83"/>
      <c r="S269" s="82"/>
      <c r="T269" s="540"/>
      <c r="U269" s="83"/>
      <c r="V269" s="100"/>
      <c r="W269" s="100"/>
      <c r="X269" s="100"/>
      <c r="Y269" s="201"/>
      <c r="Z269" s="829" t="str">
        <f t="shared" si="645"/>
        <v/>
      </c>
      <c r="AA269" s="829"/>
      <c r="AB269" s="830" t="str">
        <f>IF(G269=0,"",IF(AD269="free","re-planting",IF(AD269="me","not NVP, by",IF($AD$8="yes",(VLOOKUP(A269,'Discount Lookup'!J:K,2)*G269*(1-$AC$1786)*(1+$AC$1788)),IF(AD269="NVP",(VLOOKUP(A269,'Discount Lookup'!J:K,2)*G269*(1-$AC$1786)*(1+$AC$1788)),IF(AD269="free","re-planting",IF(G269=0,"",IF($AD$8="",IF(AD269="me","not NVP, by",IF(AD269="",IF(G269&gt;0,(VLOOKUP(A269,'Discount Lookup'!J:K,2)*G269*(1-$AC$1786)*(1+$AC$1788)),""),"")),"not NVP, by"))))))))</f>
        <v/>
      </c>
      <c r="AC269" s="830"/>
      <c r="AD269" s="375" t="str">
        <f t="shared" si="666"/>
        <v/>
      </c>
      <c r="AE269" s="833" t="str">
        <f t="shared" si="733"/>
        <v/>
      </c>
      <c r="AF269" s="833"/>
      <c r="AG269" s="833"/>
      <c r="AH269" s="91">
        <f>IF(AD269="free",0,IF(AD269="me",0,IF(G269&gt;0,(VLOOKUP(A269,'Discount Lookup'!J:K,2)*G269),0)))</f>
        <v>0</v>
      </c>
      <c r="AI269" s="92" t="str">
        <f t="shared" si="710"/>
        <v/>
      </c>
      <c r="AJ269" s="828" t="str">
        <f t="shared" si="647"/>
        <v/>
      </c>
      <c r="AK269" s="828"/>
      <c r="AL269" s="313" t="str">
        <f t="shared" si="751"/>
        <v/>
      </c>
      <c r="AM269" s="312"/>
      <c r="AN269" s="101"/>
      <c r="AO269" s="101"/>
      <c r="AP269" s="101"/>
      <c r="AQ269" s="101"/>
      <c r="AR269" s="101"/>
      <c r="AS269" s="101"/>
      <c r="AT269" s="101"/>
    </row>
    <row r="270" spans="1:46" ht="12.95" customHeight="1">
      <c r="A270" s="852" t="s">
        <v>231</v>
      </c>
      <c r="B270" s="844"/>
      <c r="C270" s="844"/>
      <c r="D270" s="844"/>
      <c r="E270" s="844"/>
      <c r="F270" s="844"/>
      <c r="G270" s="844"/>
      <c r="H270" s="770" t="s">
        <v>232</v>
      </c>
      <c r="I270" s="88" t="s">
        <v>79</v>
      </c>
      <c r="J270" s="86"/>
      <c r="K270" s="603" t="s">
        <v>45</v>
      </c>
      <c r="L270" s="601" t="s">
        <v>46</v>
      </c>
      <c r="M270" s="86"/>
      <c r="N270" s="87" t="s">
        <v>130</v>
      </c>
      <c r="O270" s="87"/>
      <c r="P270" s="87"/>
      <c r="Q270" s="87"/>
      <c r="R270" s="86"/>
      <c r="S270" s="125"/>
      <c r="T270" s="543"/>
      <c r="U270" s="89" t="s">
        <v>48</v>
      </c>
      <c r="V270" s="100" t="b">
        <f>IF(G270&gt;0,IF(AD270="me","",G270))</f>
        <v>0</v>
      </c>
      <c r="W270" s="100"/>
      <c r="X270" s="100"/>
      <c r="Y270" s="201"/>
      <c r="Z270" s="829" t="str">
        <f t="shared" si="645"/>
        <v/>
      </c>
      <c r="AA270" s="829"/>
      <c r="AB270" s="830" t="str">
        <f>IF(G270=0,"",IF(AD270="free","re-planting",IF(AD270="me","not NVP, by",IF($AD$8="yes",(VLOOKUP(A270,'Discount Lookup'!J:K,2)*G270*(1-$AC$1786)*(1+$AC$1788)),IF(AD270="NVP",(VLOOKUP(A270,'Discount Lookup'!J:K,2)*G270*(1-$AC$1786)*(1+$AC$1788)),IF(AD270="free","re-planting",IF(G270=0,"",IF($AD$8="",IF(AD270="me","not NVP, by",IF(AD270="",IF(G270&gt;0,(VLOOKUP(A270,'Discount Lookup'!J:K,2)*G270*(1-$AC$1786)*(1+$AC$1788)),""),"")),"not NVP, by"))))))))</f>
        <v/>
      </c>
      <c r="AC270" s="830"/>
      <c r="AD270" s="375" t="str">
        <f t="shared" si="666"/>
        <v/>
      </c>
      <c r="AE270" s="833" t="str">
        <f t="shared" si="599"/>
        <v/>
      </c>
      <c r="AF270" s="833"/>
      <c r="AG270" s="833"/>
      <c r="AH270" s="91">
        <f>IF(AD270="free",0,IF(AD270="me",0,IF(G270&gt;0,(VLOOKUP(A270,'Discount Lookup'!J:K,2)*G270),0)))</f>
        <v>0</v>
      </c>
      <c r="AI270" s="92" t="str">
        <f t="shared" si="710"/>
        <v/>
      </c>
      <c r="AJ270" s="828" t="str">
        <f t="shared" si="647"/>
        <v/>
      </c>
      <c r="AK270" s="828"/>
      <c r="AL270" s="313" t="str">
        <f t="shared" si="751"/>
        <v/>
      </c>
      <c r="AM270" s="312"/>
      <c r="AN270" s="101"/>
      <c r="AO270" s="101"/>
      <c r="AP270" s="101"/>
      <c r="AQ270" s="101"/>
      <c r="AR270" s="101"/>
      <c r="AS270" s="101"/>
      <c r="AT270" s="101"/>
    </row>
    <row r="271" spans="1:46" ht="12.95" customHeight="1">
      <c r="A271" s="419">
        <v>7</v>
      </c>
      <c r="B271" s="87" t="s">
        <v>50</v>
      </c>
      <c r="C271" s="128" t="s">
        <v>118</v>
      </c>
      <c r="D271" s="129" t="s">
        <v>52</v>
      </c>
      <c r="E271" s="98">
        <v>71.95</v>
      </c>
      <c r="F271" s="705" t="s">
        <v>1306</v>
      </c>
      <c r="G271" s="357">
        <v>0</v>
      </c>
      <c r="H271" s="704" t="str">
        <f t="shared" ref="H271" si="754">IF(G271=0,"",IF(F271="Qty=",IF(G271=1,"plant","plants"),IF(F271&gt;0.0001,"warranty","Error")))</f>
        <v/>
      </c>
      <c r="I271" s="98">
        <f t="shared" ref="I271" si="755">IF(F271="Qty=",(E271*G271),((E271*(1-F271))*G271))</f>
        <v>0</v>
      </c>
      <c r="J271" s="98">
        <f>IF(H271="warranty",0,(I271*($J$1782)))</f>
        <v>0</v>
      </c>
      <c r="K271" s="831">
        <f t="shared" ref="K271" si="756">I271+J271</f>
        <v>0</v>
      </c>
      <c r="L271" s="831"/>
      <c r="M271" s="832" t="str">
        <f>IF($H$1784=0,"",IF(G271=0,"",IF(F271="Qty=",CONCATENATE("$",ROUND(K271*(1-$H$1784),2)," with ",($H$1784*100),"% discount"),CONCATENATE("$",ROUND(K271*(1-$H$1784),2)," with ",(($H$1784*100+F271*100)-($H$1784*100*F271)),IF(F271&gt;0,"% discounts",IF($H$1781&gt;0,"% discounts","% discount"))))))</f>
        <v/>
      </c>
      <c r="N271" s="832"/>
      <c r="O271" s="832"/>
      <c r="P271" s="832"/>
      <c r="Q271" s="832"/>
      <c r="R271" s="832"/>
      <c r="S271" s="303">
        <f t="shared" ref="S271" si="757">E271*G271</f>
        <v>0</v>
      </c>
      <c r="T271" s="541">
        <f>VLOOKUP(A271,'Discount Lookup'!D:E,2,FALSE)*G271</f>
        <v>0</v>
      </c>
      <c r="U271" s="83">
        <f>VLOOKUP(A271,'Discount Lookup'!G:H,2,FALSE)*G271</f>
        <v>0</v>
      </c>
      <c r="V271" s="100">
        <f>E271*($J$1782)*G271</f>
        <v>0</v>
      </c>
      <c r="W271" s="100">
        <f t="shared" ref="W271" si="758">I271</f>
        <v>0</v>
      </c>
      <c r="X271" s="100" t="b">
        <f>IF(G271&gt;0,IF(AD271="me","",G271))</f>
        <v>0</v>
      </c>
      <c r="Y271" s="201"/>
      <c r="Z271" s="829" t="str">
        <f t="shared" ref="Z271" si="759">IF(G271=0,"",IF(AD271="me","",IF($AD$8="me","",IF(AD271="free","warranty",IF($AD$8="yes","NVP planting:","to NVP install:")))))</f>
        <v/>
      </c>
      <c r="AA271" s="829"/>
      <c r="AB271" s="830" t="str">
        <f>IF(G271=0,"",IF(AD271="free","re-planting",IF(AD271="me","not NVP, by",IF($AD$8="yes",(VLOOKUP(A271,'Discount Lookup'!J:K,2)*G271*(1-$AC$1786)*(1+$AC$1788)),IF(AD271="NVP",(VLOOKUP(A271,'Discount Lookup'!J:K,2)*G271*(1-$AC$1786)*(1+$AC$1788)),IF(AD271="free","re-planting",IF(G271=0,"",IF($AD$8="",IF(AD271="me","not NVP, by",IF(AD271="",IF(G271&gt;0,(VLOOKUP(A271,'Discount Lookup'!J:K,2)*G271*(1-$AC$1786)*(1+$AC$1788)),""),"")),"not NVP, by"))))))))</f>
        <v/>
      </c>
      <c r="AC271" s="830"/>
      <c r="AD271" s="375" t="str">
        <f t="shared" ref="AD271" si="760">IF(G271=0,"",IF($AD$8="me","me",IF(H271="warranty","free",IF($AD$8="yes","NVP",""))))</f>
        <v/>
      </c>
      <c r="AE271" s="833" t="str">
        <f t="shared" ref="AE271" si="761">IF(G271&gt;0,(CONCATENATE((G271)," quantity, ",(A271)," ",B271)),"")</f>
        <v/>
      </c>
      <c r="AF271" s="833"/>
      <c r="AG271" s="833"/>
      <c r="AH271" s="91">
        <f>IF(AD271="free",0,IF(AD271="me",0,IF(G271&gt;0,(VLOOKUP(A271,'Discount Lookup'!J:K,2)*G271),0)))</f>
        <v>0</v>
      </c>
      <c r="AI271" s="92" t="str">
        <f t="shared" si="710"/>
        <v/>
      </c>
      <c r="AJ271" s="828" t="str">
        <f t="shared" ref="AJ271" si="762">IF(G271=0,"",IF(AD271="me","  delivery-only",IF($AD$8="me","  delivery-only",CONCATENATE(" $",ROUND(AI271/G271,2)," each"))))</f>
        <v/>
      </c>
      <c r="AK271" s="828"/>
      <c r="AL271" s="313" t="str">
        <f t="shared" si="751"/>
        <v/>
      </c>
      <c r="AM271" s="312"/>
      <c r="AN271" s="101"/>
      <c r="AO271" s="101"/>
      <c r="AP271" s="101"/>
      <c r="AQ271" s="101"/>
      <c r="AR271" s="101"/>
      <c r="AS271" s="101"/>
      <c r="AT271" s="101"/>
    </row>
    <row r="272" spans="1:46" ht="12.95" customHeight="1">
      <c r="A272" s="419">
        <v>30</v>
      </c>
      <c r="B272" s="87" t="s">
        <v>50</v>
      </c>
      <c r="C272" s="128" t="s">
        <v>64</v>
      </c>
      <c r="D272" s="129" t="s">
        <v>63</v>
      </c>
      <c r="E272" s="98">
        <v>323.95</v>
      </c>
      <c r="F272" s="705" t="s">
        <v>1306</v>
      </c>
      <c r="G272" s="357">
        <v>0</v>
      </c>
      <c r="H272" s="704" t="str">
        <f t="shared" ref="H272" si="763">IF(G272=0,"",IF(F272="Qty=",IF(G272=1,"plant","plants"),IF(F272&gt;0.0001,"warranty","Error")))</f>
        <v/>
      </c>
      <c r="I272" s="98">
        <f t="shared" ref="I272" si="764">IF(F272="Qty=",(E272*G272),((E272*(1-F272))*G272))</f>
        <v>0</v>
      </c>
      <c r="J272" s="98">
        <f>IF(H272="warranty",0,(I272*($J$1782)))</f>
        <v>0</v>
      </c>
      <c r="K272" s="831">
        <f t="shared" ref="K272" si="765">I272+J272</f>
        <v>0</v>
      </c>
      <c r="L272" s="831"/>
      <c r="M272" s="832" t="str">
        <f>IF($H$1784=0,"",IF(G272=0,"",IF(F272="Qty=",CONCATENATE("$",ROUND(K272*(1-$H$1784),2)," with ",($H$1784*100),"% discount"),CONCATENATE("$",ROUND(K272*(1-$H$1784),2)," with ",(($H$1784*100+F272*100)-($H$1784*100*F272)),IF(F272&gt;0,"% discounts",IF($H$1781&gt;0,"% discounts","% discount"))))))</f>
        <v/>
      </c>
      <c r="N272" s="832"/>
      <c r="O272" s="832"/>
      <c r="P272" s="832"/>
      <c r="Q272" s="832"/>
      <c r="R272" s="832"/>
      <c r="S272" s="303">
        <f t="shared" ref="S272" si="766">E272*G272</f>
        <v>0</v>
      </c>
      <c r="T272" s="541">
        <f>VLOOKUP(A272,'Discount Lookup'!D:E,2,FALSE)*G272</f>
        <v>0</v>
      </c>
      <c r="U272" s="83">
        <f>VLOOKUP(A272,'Discount Lookup'!G:H,2,FALSE)*G272</f>
        <v>0</v>
      </c>
      <c r="V272" s="100">
        <f>E272*($J$1782)*G272</f>
        <v>0</v>
      </c>
      <c r="W272" s="100">
        <f t="shared" ref="W272" si="767">I272</f>
        <v>0</v>
      </c>
      <c r="X272" s="100" t="b">
        <f>IF(G272&gt;0,IF(AD272="me","",G272))</f>
        <v>0</v>
      </c>
      <c r="Y272" s="201"/>
      <c r="Z272" s="829" t="str">
        <f t="shared" si="645"/>
        <v/>
      </c>
      <c r="AA272" s="829"/>
      <c r="AB272" s="830" t="str">
        <f>IF(G272=0,"",IF(AD272="free","re-planting",IF(AD272="me","not NVP, by",IF($AD$8="yes",(VLOOKUP(A272,'Discount Lookup'!J:K,2)*G272*(1-$AC$1786)*(1+$AC$1788)),IF(AD272="NVP",(VLOOKUP(A272,'Discount Lookup'!J:K,2)*G272*(1-$AC$1786)*(1+$AC$1788)),IF(AD272="free","re-planting",IF(G272=0,"",IF($AD$8="",IF(AD272="me","not NVP, by",IF(AD272="",IF(G272&gt;0,(VLOOKUP(A272,'Discount Lookup'!J:K,2)*G272*(1-$AC$1786)*(1+$AC$1788)),""),"")),"not NVP, by"))))))))</f>
        <v/>
      </c>
      <c r="AC272" s="830"/>
      <c r="AD272" s="375" t="str">
        <f t="shared" si="666"/>
        <v/>
      </c>
      <c r="AE272" s="833" t="str">
        <f t="shared" si="599"/>
        <v/>
      </c>
      <c r="AF272" s="833"/>
      <c r="AG272" s="833"/>
      <c r="AH272" s="91">
        <f>IF(AD272="free",0,IF(AD272="me",0,IF(G272&gt;0,(VLOOKUP(A272,'Discount Lookup'!J:K,2)*G272),0)))</f>
        <v>0</v>
      </c>
      <c r="AI272" s="92" t="str">
        <f t="shared" si="710"/>
        <v/>
      </c>
      <c r="AJ272" s="828" t="str">
        <f t="shared" si="647"/>
        <v/>
      </c>
      <c r="AK272" s="828"/>
      <c r="AL272" s="313" t="str">
        <f t="shared" si="751"/>
        <v/>
      </c>
      <c r="AM272" s="312"/>
      <c r="AN272" s="101"/>
      <c r="AO272" s="101"/>
      <c r="AP272" s="101"/>
      <c r="AQ272" s="101"/>
      <c r="AR272" s="101"/>
      <c r="AS272" s="101"/>
      <c r="AT272" s="101"/>
    </row>
    <row r="273" spans="1:46" ht="12.95" customHeight="1">
      <c r="A273" s="465"/>
      <c r="B273" s="150" t="s">
        <v>233</v>
      </c>
      <c r="C273" s="104"/>
      <c r="D273" s="104"/>
      <c r="E273" s="131"/>
      <c r="G273" s="358"/>
      <c r="H273" s="744"/>
      <c r="I273" s="131"/>
      <c r="J273" s="131"/>
      <c r="K273" s="608"/>
      <c r="L273" s="608"/>
      <c r="M273" s="121"/>
      <c r="N273" s="163" t="s">
        <v>132</v>
      </c>
      <c r="O273" s="123"/>
      <c r="P273" s="124"/>
      <c r="Q273" s="124"/>
      <c r="R273" s="83"/>
      <c r="S273" s="82">
        <f>E273*G273</f>
        <v>0</v>
      </c>
      <c r="T273" s="540"/>
      <c r="U273" s="83"/>
      <c r="V273" s="100" t="b">
        <f>IF(G273&gt;0,IF(AD273="me","",G273))</f>
        <v>0</v>
      </c>
      <c r="W273" s="100"/>
      <c r="X273" s="100"/>
      <c r="Y273" s="201"/>
      <c r="Z273" s="829" t="str">
        <f t="shared" si="645"/>
        <v/>
      </c>
      <c r="AA273" s="829"/>
      <c r="AB273" s="830" t="str">
        <f>IF(G273=0,"",IF(AD273="free","re-planting",IF(AD273="me","not NVP, by",IF($AD$8="yes",(VLOOKUP(A273,'Discount Lookup'!J:K,2)*G273*(1-$AC$1786)*(1+$AC$1788)),IF(AD273="NVP",(VLOOKUP(A273,'Discount Lookup'!J:K,2)*G273*(1-$AC$1786)*(1+$AC$1788)),IF(AD273="free","re-planting",IF(G273=0,"",IF($AD$8="",IF(AD273="me","not NVP, by",IF(AD273="",IF(G273&gt;0,(VLOOKUP(A273,'Discount Lookup'!J:K,2)*G273*(1-$AC$1786)*(1+$AC$1788)),""),"")),"not NVP, by"))))))))</f>
        <v/>
      </c>
      <c r="AC273" s="830"/>
      <c r="AD273" s="375" t="str">
        <f t="shared" si="666"/>
        <v/>
      </c>
      <c r="AE273" s="833" t="str">
        <f t="shared" si="599"/>
        <v/>
      </c>
      <c r="AF273" s="833"/>
      <c r="AG273" s="833"/>
      <c r="AH273" s="91">
        <f>IF(AD273="free",0,IF(AD273="me",0,IF(G273&gt;0,(VLOOKUP(A273,'Discount Lookup'!J:K,2)*G273),0)))</f>
        <v>0</v>
      </c>
      <c r="AI273" s="92" t="str">
        <f t="shared" si="710"/>
        <v/>
      </c>
      <c r="AJ273" s="828" t="str">
        <f t="shared" si="647"/>
        <v/>
      </c>
      <c r="AK273" s="828"/>
      <c r="AL273" s="313" t="str">
        <f t="shared" si="751"/>
        <v/>
      </c>
      <c r="AM273" s="312"/>
      <c r="AN273" s="101"/>
      <c r="AO273" s="101"/>
      <c r="AP273" s="101"/>
      <c r="AQ273" s="101"/>
      <c r="AR273" s="101"/>
      <c r="AS273" s="101"/>
      <c r="AT273" s="101"/>
    </row>
    <row r="274" spans="1:46" ht="12.95" customHeight="1">
      <c r="A274" s="852" t="s">
        <v>234</v>
      </c>
      <c r="B274" s="844"/>
      <c r="C274" s="844"/>
      <c r="D274" s="844"/>
      <c r="E274" s="844"/>
      <c r="F274" s="844"/>
      <c r="G274" s="844"/>
      <c r="H274" s="770" t="s">
        <v>232</v>
      </c>
      <c r="I274" s="88" t="s">
        <v>235</v>
      </c>
      <c r="J274" s="126"/>
      <c r="K274" s="603" t="s">
        <v>45</v>
      </c>
      <c r="L274" s="601" t="s">
        <v>46</v>
      </c>
      <c r="M274" s="86"/>
      <c r="N274" s="87" t="s">
        <v>128</v>
      </c>
      <c r="O274" s="87"/>
      <c r="P274" s="87"/>
      <c r="Q274" s="87"/>
      <c r="R274" s="86"/>
      <c r="S274" s="125"/>
      <c r="T274" s="543"/>
      <c r="U274" s="112"/>
      <c r="V274" s="100" t="b">
        <f>IF(G274&gt;0,IF(AD274="me","",G274))</f>
        <v>0</v>
      </c>
      <c r="W274" s="100"/>
      <c r="X274" s="100"/>
      <c r="Y274" s="201"/>
      <c r="Z274" s="829" t="str">
        <f t="shared" si="645"/>
        <v/>
      </c>
      <c r="AA274" s="829"/>
      <c r="AB274" s="830" t="str">
        <f>IF(G274=0,"",IF(AD274="free","re-planting",IF(AD274="me","not NVP, by",IF($AD$8="yes",(VLOOKUP(A274,'Discount Lookup'!J:K,2)*G274*(1-$AC$1786)*(1+$AC$1788)),IF(AD274="NVP",(VLOOKUP(A274,'Discount Lookup'!J:K,2)*G274*(1-$AC$1786)*(1+$AC$1788)),IF(AD274="free","re-planting",IF(G274=0,"",IF($AD$8="",IF(AD274="me","not NVP, by",IF(AD274="",IF(G274&gt;0,(VLOOKUP(A274,'Discount Lookup'!J:K,2)*G274*(1-$AC$1786)*(1+$AC$1788)),""),"")),"not NVP, by"))))))))</f>
        <v/>
      </c>
      <c r="AC274" s="830"/>
      <c r="AD274" s="375" t="str">
        <f t="shared" si="666"/>
        <v/>
      </c>
      <c r="AE274" s="833" t="str">
        <f t="shared" si="599"/>
        <v/>
      </c>
      <c r="AF274" s="833"/>
      <c r="AG274" s="833"/>
      <c r="AH274" s="91">
        <f>IF(AD274="free",0,IF(AD274="me",0,IF(G274&gt;0,(VLOOKUP(A274,'Discount Lookup'!J:K,2)*G274),0)))</f>
        <v>0</v>
      </c>
      <c r="AI274" s="92" t="str">
        <f t="shared" si="710"/>
        <v/>
      </c>
      <c r="AJ274" s="828" t="str">
        <f t="shared" si="647"/>
        <v/>
      </c>
      <c r="AK274" s="828"/>
      <c r="AL274" s="313" t="str">
        <f t="shared" si="751"/>
        <v/>
      </c>
      <c r="AM274" s="312"/>
      <c r="AN274" s="101"/>
      <c r="AO274" s="101"/>
      <c r="AP274" s="101"/>
      <c r="AQ274" s="101"/>
      <c r="AR274" s="101"/>
      <c r="AS274" s="101"/>
      <c r="AT274" s="101"/>
    </row>
    <row r="275" spans="1:46" ht="12.95" customHeight="1">
      <c r="A275" s="419">
        <v>3</v>
      </c>
      <c r="B275" s="87" t="s">
        <v>50</v>
      </c>
      <c r="C275" s="399" t="s">
        <v>99</v>
      </c>
      <c r="D275" s="129" t="s">
        <v>87</v>
      </c>
      <c r="E275" s="98">
        <v>37.950000000000003</v>
      </c>
      <c r="F275" s="705" t="s">
        <v>1306</v>
      </c>
      <c r="G275" s="357">
        <v>0</v>
      </c>
      <c r="H275" s="704" t="str">
        <f t="shared" ref="H275" si="768">IF(G275=0,"",IF(F275="Qty=",IF(G275=1,"plant","plants"),IF(F275&gt;0.0001,"warranty","Error")))</f>
        <v/>
      </c>
      <c r="I275" s="98">
        <f t="shared" ref="I275" si="769">IF(F275="Qty=",(E275*G275),((E275*(1-F275))*G275))</f>
        <v>0</v>
      </c>
      <c r="J275" s="98">
        <f>IF(H275="warranty",0,(I275*($J$1782)))</f>
        <v>0</v>
      </c>
      <c r="K275" s="831">
        <f t="shared" ref="K275:K278" si="770">I275+J275</f>
        <v>0</v>
      </c>
      <c r="L275" s="831"/>
      <c r="M275" s="832" t="str">
        <f>IF($H$1784=0,"",IF(G275=0,"",IF(F275="Qty=",CONCATENATE("$",ROUND(K275*(1-$H$1784),2)," with ",($H$1784*100),"% discount"),CONCATENATE("$",ROUND(K275*(1-$H$1784),2)," with ",(($H$1784*100+F275*100)-($H$1784*100*F275)),IF(F275&gt;0,"% discounts",IF($H$1781&gt;0,"% discounts","% discount"))))))</f>
        <v/>
      </c>
      <c r="N275" s="832"/>
      <c r="O275" s="832"/>
      <c r="P275" s="832"/>
      <c r="Q275" s="832"/>
      <c r="R275" s="832"/>
      <c r="S275" s="303">
        <f t="shared" ref="S275" si="771">E275*G275</f>
        <v>0</v>
      </c>
      <c r="T275" s="541">
        <f>VLOOKUP(A275,'Discount Lookup'!D:E,2,FALSE)*G275</f>
        <v>0</v>
      </c>
      <c r="U275" s="83">
        <f>VLOOKUP(A275,'Discount Lookup'!G:H,2,FALSE)*G275</f>
        <v>0</v>
      </c>
      <c r="V275" s="100">
        <f>E275*($J$1782)*G275</f>
        <v>0</v>
      </c>
      <c r="W275" s="100">
        <f t="shared" ref="W275" si="772">I275</f>
        <v>0</v>
      </c>
      <c r="X275" s="100" t="b">
        <f>IF(G275&gt;0,IF(AD275="me","",G275))</f>
        <v>0</v>
      </c>
      <c r="Y275" s="201"/>
      <c r="Z275" s="829" t="str">
        <f t="shared" ref="Z275" si="773">IF(G275=0,"",IF(AD275="me","",IF($AD$8="me","",IF(AD275="free","warranty",IF($AD$8="yes","NVP planting:","to NVP install:")))))</f>
        <v/>
      </c>
      <c r="AA275" s="829"/>
      <c r="AB275" s="830" t="str">
        <f>IF(G275=0,"",IF(AD275="free","re-planting",IF(AD275="me","not NVP, by",IF($AD$8="yes",(VLOOKUP(A275,'Discount Lookup'!J:K,2)*G275*(1-$AC$1786)*(1+$AC$1788)),IF(AD275="NVP",(VLOOKUP(A275,'Discount Lookup'!J:K,2)*G275*(1-$AC$1786)*(1+$AC$1788)),IF(AD275="free","re-planting",IF(G275=0,"",IF($AD$8="",IF(AD275="me","not NVP, by",IF(AD275="",IF(G275&gt;0,(VLOOKUP(A275,'Discount Lookup'!J:K,2)*G275*(1-$AC$1786)*(1+$AC$1788)),""),"")),"not NVP, by"))))))))</f>
        <v/>
      </c>
      <c r="AC275" s="830"/>
      <c r="AD275" s="375" t="str">
        <f t="shared" si="666"/>
        <v/>
      </c>
      <c r="AE275" s="833" t="str">
        <f t="shared" ref="AE275" si="774">IF(G275&gt;0,(CONCATENATE((G275)," quantity, ",(A275)," ",B275)),"")</f>
        <v/>
      </c>
      <c r="AF275" s="833"/>
      <c r="AG275" s="833"/>
      <c r="AH275" s="91">
        <f>IF(AD275="free",0,IF(AD275="me",0,IF(G275&gt;0,(VLOOKUP(A275,'Discount Lookup'!J:K,2)*G275),0)))</f>
        <v>0</v>
      </c>
      <c r="AI275" s="92" t="str">
        <f t="shared" si="710"/>
        <v/>
      </c>
      <c r="AJ275" s="828" t="str">
        <f t="shared" ref="AJ275" si="775">IF(G275=0,"",IF(AD275="me","  delivery-only",IF($AD$8="me","  delivery-only",CONCATENATE(" $",ROUND(AI275/G275,2)," each"))))</f>
        <v/>
      </c>
      <c r="AK275" s="828"/>
      <c r="AL275" s="313" t="str">
        <f t="shared" si="751"/>
        <v/>
      </c>
      <c r="AM275" s="312"/>
      <c r="AN275" s="101"/>
      <c r="AO275" s="101"/>
      <c r="AP275" s="101"/>
      <c r="AQ275" s="101"/>
      <c r="AR275" s="101"/>
      <c r="AS275" s="101"/>
      <c r="AT275" s="101"/>
    </row>
    <row r="276" spans="1:46" ht="12.95" customHeight="1">
      <c r="A276" s="419">
        <v>3</v>
      </c>
      <c r="B276" s="87" t="s">
        <v>50</v>
      </c>
      <c r="C276" s="399" t="s">
        <v>135</v>
      </c>
      <c r="D276" s="129" t="s">
        <v>63</v>
      </c>
      <c r="E276" s="98">
        <v>40.950000000000003</v>
      </c>
      <c r="F276" s="705" t="s">
        <v>1306</v>
      </c>
      <c r="G276" s="357">
        <v>0</v>
      </c>
      <c r="H276" s="704" t="str">
        <f t="shared" ref="H276" si="776">IF(G276=0,"",IF(F276="Qty=",IF(G276=1,"plant","plants"),IF(F276&gt;0.0001,"warranty","Error")))</f>
        <v/>
      </c>
      <c r="I276" s="98">
        <f t="shared" ref="I276" si="777">IF(F276="Qty=",(E276*G276),((E276*(1-F276))*G276))</f>
        <v>0</v>
      </c>
      <c r="J276" s="98">
        <f>IF(H276="warranty",0,(I276*($J$1782)))</f>
        <v>0</v>
      </c>
      <c r="K276" s="831">
        <f t="shared" ref="K276" si="778">I276+J276</f>
        <v>0</v>
      </c>
      <c r="L276" s="831"/>
      <c r="M276" s="832" t="str">
        <f>IF($H$1784=0,"",IF(G276=0,"",IF(F276="Qty=",CONCATENATE("$",ROUND(K276*(1-$H$1784),2)," with ",($H$1784*100),"% discount"),CONCATENATE("$",ROUND(K276*(1-$H$1784),2)," with ",(($H$1784*100+F276*100)-($H$1784*100*F276)),IF(F276&gt;0,"% discounts",IF($H$1781&gt;0,"% discounts","% discount"))))))</f>
        <v/>
      </c>
      <c r="N276" s="832"/>
      <c r="O276" s="832"/>
      <c r="P276" s="832"/>
      <c r="Q276" s="832"/>
      <c r="R276" s="832"/>
      <c r="S276" s="303">
        <f t="shared" ref="S276" si="779">E276*G276</f>
        <v>0</v>
      </c>
      <c r="T276" s="541">
        <f>VLOOKUP(A276,'Discount Lookup'!D:E,2,FALSE)*G276</f>
        <v>0</v>
      </c>
      <c r="U276" s="83">
        <f>VLOOKUP(A276,'Discount Lookup'!G:H,2,FALSE)*G276</f>
        <v>0</v>
      </c>
      <c r="V276" s="100">
        <f>E276*($J$1782)*G276</f>
        <v>0</v>
      </c>
      <c r="W276" s="100">
        <f t="shared" ref="W276" si="780">I276</f>
        <v>0</v>
      </c>
      <c r="X276" s="100" t="b">
        <f>IF(G276&gt;0,IF(AD276="me","",G276))</f>
        <v>0</v>
      </c>
      <c r="Y276" s="201"/>
      <c r="Z276" s="829" t="str">
        <f t="shared" ref="Z276" si="781">IF(G276=0,"",IF(AD276="me","",IF($AD$8="me","",IF(AD276="free","warranty",IF($AD$8="yes","NVP planting:","to NVP install:")))))</f>
        <v/>
      </c>
      <c r="AA276" s="829"/>
      <c r="AB276" s="830" t="str">
        <f>IF(G276=0,"",IF(AD276="free","re-planting",IF(AD276="me","not NVP, by",IF($AD$8="yes",(VLOOKUP(A276,'Discount Lookup'!J:K,2)*G276*(1-$AC$1786)*(1+$AC$1788)),IF(AD276="NVP",(VLOOKUP(A276,'Discount Lookup'!J:K,2)*G276*(1-$AC$1786)*(1+$AC$1788)),IF(AD276="free","re-planting",IF(G276=0,"",IF($AD$8="",IF(AD276="me","not NVP, by",IF(AD276="",IF(G276&gt;0,(VLOOKUP(A276,'Discount Lookup'!J:K,2)*G276*(1-$AC$1786)*(1+$AC$1788)),""),"")),"not NVP, by"))))))))</f>
        <v/>
      </c>
      <c r="AC276" s="830"/>
      <c r="AD276" s="375" t="str">
        <f t="shared" ref="AD276" si="782">IF(G276=0,"",IF($AD$8="me","me",IF(H276="warranty","free",IF($AD$8="yes","NVP",""))))</f>
        <v/>
      </c>
      <c r="AE276" s="833" t="str">
        <f t="shared" ref="AE276" si="783">IF(G276&gt;0,(CONCATENATE((G276)," quantity, ",(A276)," ",B276)),"")</f>
        <v/>
      </c>
      <c r="AF276" s="833"/>
      <c r="AG276" s="833"/>
      <c r="AH276" s="91">
        <f>IF(AD276="free",0,IF(AD276="me",0,IF(G276&gt;0,(VLOOKUP(A276,'Discount Lookup'!J:K,2)*G276),0)))</f>
        <v>0</v>
      </c>
      <c r="AI276" s="92" t="str">
        <f t="shared" si="710"/>
        <v/>
      </c>
      <c r="AJ276" s="828" t="str">
        <f t="shared" ref="AJ276" si="784">IF(G276=0,"",IF(AD276="me","  delivery-only",IF($AD$8="me","  delivery-only",CONCATENATE(" $",ROUND(AI276/G276,2)," each"))))</f>
        <v/>
      </c>
      <c r="AK276" s="828"/>
      <c r="AL276" s="313" t="str">
        <f t="shared" si="751"/>
        <v/>
      </c>
      <c r="AM276" s="312"/>
      <c r="AN276" s="101"/>
      <c r="AO276" s="101"/>
      <c r="AP276" s="101"/>
      <c r="AQ276" s="101"/>
      <c r="AR276" s="101"/>
      <c r="AS276" s="101"/>
      <c r="AT276" s="101"/>
    </row>
    <row r="277" spans="1:46" ht="12.95" customHeight="1">
      <c r="A277" s="419">
        <v>7</v>
      </c>
      <c r="B277" s="87" t="s">
        <v>50</v>
      </c>
      <c r="C277" s="128" t="s">
        <v>153</v>
      </c>
      <c r="D277" s="129" t="s">
        <v>54</v>
      </c>
      <c r="E277" s="98">
        <v>109.95</v>
      </c>
      <c r="F277" s="705" t="s">
        <v>1306</v>
      </c>
      <c r="G277" s="357">
        <v>0</v>
      </c>
      <c r="H277" s="704" t="str">
        <f t="shared" ref="H277:H278" si="785">IF(G277=0,"",IF(F277="Qty=",IF(G277=1,"plant","plants"),IF(F277&gt;0.0001,"warranty","Error")))</f>
        <v/>
      </c>
      <c r="I277" s="98">
        <f t="shared" ref="I277:I278" si="786">IF(F277="Qty=",(E277*G277),((E277*(1-F277))*G277))</f>
        <v>0</v>
      </c>
      <c r="J277" s="98">
        <f>IF(H277="warranty",0,(I277*($J$1782)))</f>
        <v>0</v>
      </c>
      <c r="K277" s="831">
        <f t="shared" si="770"/>
        <v>0</v>
      </c>
      <c r="L277" s="831"/>
      <c r="M277" s="832" t="str">
        <f>IF($H$1784=0,"",IF(G277=0,"",IF(F277="Qty=",CONCATENATE("$",ROUND(K277*(1-$H$1784),2)," with ",($H$1784*100),"% discount"),CONCATENATE("$",ROUND(K277*(1-$H$1784),2)," with ",(($H$1784*100+F277*100)-($H$1784*100*F277)),IF(F277&gt;0,"% discounts",IF($H$1781&gt;0,"% discounts","% discount"))))))</f>
        <v/>
      </c>
      <c r="N277" s="832"/>
      <c r="O277" s="832"/>
      <c r="P277" s="832"/>
      <c r="Q277" s="832"/>
      <c r="R277" s="832"/>
      <c r="S277" s="303">
        <f t="shared" ref="S277" si="787">E277*G277</f>
        <v>0</v>
      </c>
      <c r="T277" s="541">
        <f>VLOOKUP(A277,'Discount Lookup'!D:E,2,FALSE)*G277</f>
        <v>0</v>
      </c>
      <c r="U277" s="83">
        <f>VLOOKUP(A277,'Discount Lookup'!G:H,2,FALSE)*G277</f>
        <v>0</v>
      </c>
      <c r="V277" s="100">
        <f>E277*($J$1782)*G277</f>
        <v>0</v>
      </c>
      <c r="W277" s="100">
        <f t="shared" ref="W277" si="788">I277</f>
        <v>0</v>
      </c>
      <c r="X277" s="100" t="b">
        <f>IF(G277&gt;0,IF(AD277="me","",G277))</f>
        <v>0</v>
      </c>
      <c r="Y277" s="201"/>
      <c r="Z277" s="829" t="str">
        <f t="shared" si="645"/>
        <v/>
      </c>
      <c r="AA277" s="829"/>
      <c r="AB277" s="830" t="str">
        <f>IF(G277=0,"",IF(AD277="free","re-planting",IF(AD277="me","not NVP, by",IF($AD$8="yes",(VLOOKUP(A277,'Discount Lookup'!J:K,2)*G277*(1-$AC$1786)*(1+$AC$1788)),IF(AD277="NVP",(VLOOKUP(A277,'Discount Lookup'!J:K,2)*G277*(1-$AC$1786)*(1+$AC$1788)),IF(AD277="free","re-planting",IF(G277=0,"",IF($AD$8="",IF(AD277="me","not NVP, by",IF(AD277="",IF(G277&gt;0,(VLOOKUP(A277,'Discount Lookup'!J:K,2)*G277*(1-$AC$1786)*(1+$AC$1788)),""),"")),"not NVP, by"))))))))</f>
        <v/>
      </c>
      <c r="AC277" s="830"/>
      <c r="AD277" s="375" t="str">
        <f t="shared" si="666"/>
        <v/>
      </c>
      <c r="AE277" s="833" t="str">
        <f t="shared" si="599"/>
        <v/>
      </c>
      <c r="AF277" s="833"/>
      <c r="AG277" s="833"/>
      <c r="AH277" s="91">
        <f>IF(AD277="free",0,IF(AD277="me",0,IF(G277&gt;0,(VLOOKUP(A277,'Discount Lookup'!J:K,2)*G277),0)))</f>
        <v>0</v>
      </c>
      <c r="AI277" s="92" t="str">
        <f t="shared" si="710"/>
        <v/>
      </c>
      <c r="AJ277" s="828" t="str">
        <f t="shared" si="647"/>
        <v/>
      </c>
      <c r="AK277" s="828"/>
      <c r="AL277" s="313" t="str">
        <f t="shared" si="751"/>
        <v/>
      </c>
      <c r="AM277" s="312"/>
      <c r="AN277" s="101"/>
      <c r="AO277" s="101"/>
      <c r="AP277" s="101"/>
      <c r="AQ277" s="101"/>
      <c r="AR277" s="101"/>
      <c r="AS277" s="101"/>
      <c r="AT277" s="101"/>
    </row>
    <row r="278" spans="1:46" ht="12.95" customHeight="1">
      <c r="A278" s="419">
        <v>15</v>
      </c>
      <c r="B278" s="87" t="s">
        <v>50</v>
      </c>
      <c r="C278" s="128" t="s">
        <v>88</v>
      </c>
      <c r="D278" s="129" t="s">
        <v>90</v>
      </c>
      <c r="E278" s="98">
        <v>245.95</v>
      </c>
      <c r="F278" s="705" t="s">
        <v>1306</v>
      </c>
      <c r="G278" s="357">
        <v>0</v>
      </c>
      <c r="H278" s="704" t="str">
        <f t="shared" si="785"/>
        <v/>
      </c>
      <c r="I278" s="98">
        <f t="shared" si="786"/>
        <v>0</v>
      </c>
      <c r="J278" s="98">
        <f>IF(H278="warranty",0,(I278*($J$1782)))</f>
        <v>0</v>
      </c>
      <c r="K278" s="831">
        <f t="shared" si="770"/>
        <v>0</v>
      </c>
      <c r="L278" s="831"/>
      <c r="M278" s="832" t="str">
        <f>IF($H$1784=0,"",IF(G278=0,"",IF(F278="Qty=",CONCATENATE("$",ROUND(K278*(1-$H$1784),2)," with ",($H$1784*100),"% discount"),CONCATENATE("$",ROUND(K278*(1-$H$1784),2)," with ",(($H$1784*100+F278*100)-($H$1784*100*F278)),IF(F278&gt;0,"% discounts",IF($H$1781&gt;0,"% discounts","% discount"))))))</f>
        <v/>
      </c>
      <c r="N278" s="832"/>
      <c r="O278" s="832"/>
      <c r="P278" s="832"/>
      <c r="Q278" s="832"/>
      <c r="R278" s="832"/>
      <c r="S278" s="303">
        <f t="shared" ref="S278" si="789">E278*G278</f>
        <v>0</v>
      </c>
      <c r="T278" s="541">
        <f>VLOOKUP(A278,'Discount Lookup'!D:E,2,FALSE)*G278</f>
        <v>0</v>
      </c>
      <c r="U278" s="83">
        <f>VLOOKUP(A278,'Discount Lookup'!G:H,2,FALSE)*G278</f>
        <v>0</v>
      </c>
      <c r="V278" s="100">
        <f>E278*($J$1782)*G278</f>
        <v>0</v>
      </c>
      <c r="W278" s="100">
        <f t="shared" ref="W278" si="790">I278</f>
        <v>0</v>
      </c>
      <c r="X278" s="100" t="b">
        <f>IF(G278&gt;0,IF(AD278="me","",G278))</f>
        <v>0</v>
      </c>
      <c r="Y278" s="201"/>
      <c r="Z278" s="829" t="str">
        <f t="shared" si="645"/>
        <v/>
      </c>
      <c r="AA278" s="829"/>
      <c r="AB278" s="830" t="str">
        <f>IF(G278=0,"",IF(AD278="free","re-planting",IF(AD278="me","not NVP, by",IF($AD$8="yes",(VLOOKUP(A278,'Discount Lookup'!J:K,2)*G278*(1-$AC$1786)*(1+$AC$1788)),IF(AD278="NVP",(VLOOKUP(A278,'Discount Lookup'!J:K,2)*G278*(1-$AC$1786)*(1+$AC$1788)),IF(AD278="free","re-planting",IF(G278=0,"",IF($AD$8="",IF(AD278="me","not NVP, by",IF(AD278="",IF(G278&gt;0,(VLOOKUP(A278,'Discount Lookup'!J:K,2)*G278*(1-$AC$1786)*(1+$AC$1788)),""),"")),"not NVP, by"))))))))</f>
        <v/>
      </c>
      <c r="AC278" s="830"/>
      <c r="AD278" s="375" t="str">
        <f t="shared" si="666"/>
        <v/>
      </c>
      <c r="AE278" s="833" t="str">
        <f t="shared" ref="AE278" si="791">IF(G278&gt;0,(CONCATENATE((G278)," quantity, ",(A278)," ",B278)),"")</f>
        <v/>
      </c>
      <c r="AF278" s="833"/>
      <c r="AG278" s="833"/>
      <c r="AH278" s="91">
        <f>IF(AD278="free",0,IF(AD278="me",0,IF(G278&gt;0,(VLOOKUP(A278,'Discount Lookup'!J:K,2)*G278),0)))</f>
        <v>0</v>
      </c>
      <c r="AI278" s="92" t="str">
        <f t="shared" si="710"/>
        <v/>
      </c>
      <c r="AJ278" s="828" t="str">
        <f t="shared" si="647"/>
        <v/>
      </c>
      <c r="AK278" s="828"/>
      <c r="AL278" s="313" t="str">
        <f t="shared" si="751"/>
        <v/>
      </c>
      <c r="AM278" s="312"/>
      <c r="AN278" s="101"/>
      <c r="AO278" s="101"/>
      <c r="AP278" s="101"/>
      <c r="AQ278" s="101"/>
      <c r="AR278" s="101"/>
      <c r="AS278" s="101"/>
      <c r="AT278" s="101"/>
    </row>
    <row r="279" spans="1:46" ht="12.95" customHeight="1">
      <c r="A279" s="465"/>
      <c r="B279" s="150" t="s">
        <v>237</v>
      </c>
      <c r="D279" s="104"/>
      <c r="E279" s="131"/>
      <c r="F279" s="710"/>
      <c r="G279" s="358"/>
      <c r="H279" s="744"/>
      <c r="I279" s="131"/>
      <c r="J279" s="131"/>
      <c r="K279" s="608"/>
      <c r="L279" s="608"/>
      <c r="M279" s="121"/>
      <c r="N279" s="841" t="s">
        <v>125</v>
      </c>
      <c r="O279" s="841"/>
      <c r="P279" s="841"/>
      <c r="Q279" s="841"/>
      <c r="R279" s="841"/>
      <c r="S279" s="841"/>
      <c r="T279" s="286"/>
      <c r="U279" s="286"/>
      <c r="V279" s="286"/>
      <c r="Y279" s="132"/>
      <c r="Z279" s="829" t="str">
        <f t="shared" si="645"/>
        <v/>
      </c>
      <c r="AA279" s="829"/>
      <c r="AB279" s="830" t="str">
        <f>IF(G279=0,"",IF(AD279="free","re-planting",IF(AD279="me","not NVP, by",IF($AD$8="yes",(VLOOKUP(A279,'Discount Lookup'!J:K,2)*G279*(1-$AC$1786)*(1+$AC$1788)),IF(AD279="NVP",(VLOOKUP(A279,'Discount Lookup'!J:K,2)*G279*(1-$AC$1786)*(1+$AC$1788)),IF(AD279="free","re-planting",IF(G279=0,"",IF($AD$8="",IF(AD279="me","not NVP, by",IF(AD279="",IF(G279&gt;0,(VLOOKUP(A279,'Discount Lookup'!J:K,2)*G279*(1-$AC$1786)*(1+$AC$1788)),""),"")),"not NVP, by"))))))))</f>
        <v/>
      </c>
      <c r="AC279" s="830"/>
      <c r="AD279" s="375" t="str">
        <f t="shared" si="666"/>
        <v/>
      </c>
      <c r="AE279" s="833" t="str">
        <f t="shared" si="599"/>
        <v/>
      </c>
      <c r="AF279" s="833"/>
      <c r="AG279" s="833"/>
      <c r="AH279" s="91">
        <f>IF(AD279="free",0,IF(AD279="me",0,IF(G279&gt;0,(VLOOKUP(A279,'Discount Lookup'!J:K,2)*G279),0)))</f>
        <v>0</v>
      </c>
      <c r="AI279" s="92" t="str">
        <f t="shared" si="710"/>
        <v/>
      </c>
      <c r="AJ279" s="828" t="str">
        <f t="shared" si="647"/>
        <v/>
      </c>
      <c r="AK279" s="828"/>
      <c r="AL279" s="313" t="str">
        <f t="shared" si="751"/>
        <v/>
      </c>
      <c r="AM279" s="312"/>
      <c r="AN279" s="101"/>
      <c r="AO279" s="101"/>
      <c r="AP279" s="101"/>
      <c r="AQ279" s="101"/>
      <c r="AR279" s="101"/>
      <c r="AS279" s="101"/>
      <c r="AT279" s="101"/>
    </row>
    <row r="280" spans="1:46" ht="12.95" customHeight="1">
      <c r="A280" s="847" t="s">
        <v>238</v>
      </c>
      <c r="B280" s="848"/>
      <c r="C280" s="848"/>
      <c r="D280" s="848"/>
      <c r="E280" s="848"/>
      <c r="F280" s="848"/>
      <c r="G280" s="848"/>
      <c r="H280" s="770" t="s">
        <v>239</v>
      </c>
      <c r="I280" s="348" t="s">
        <v>44</v>
      </c>
      <c r="J280" s="93"/>
      <c r="K280" s="600" t="s">
        <v>45</v>
      </c>
      <c r="L280" s="601" t="s">
        <v>46</v>
      </c>
      <c r="M280" s="86"/>
      <c r="N280" s="87" t="s">
        <v>69</v>
      </c>
      <c r="O280" s="87"/>
      <c r="P280" s="87"/>
      <c r="Q280" s="87"/>
      <c r="R280" s="86"/>
      <c r="S280" s="125"/>
      <c r="T280" s="543"/>
      <c r="U280" s="112"/>
      <c r="V280" s="100" t="b">
        <f>IF(G280&gt;0,IF(AD280="me","",G280))</f>
        <v>0</v>
      </c>
      <c r="W280" s="100"/>
      <c r="X280" s="100"/>
      <c r="Y280" s="201"/>
      <c r="Z280" s="829" t="str">
        <f t="shared" si="645"/>
        <v/>
      </c>
      <c r="AA280" s="829"/>
      <c r="AB280" s="830" t="str">
        <f>IF(G280=0,"",IF(AD280="free","re-planting",IF(AD280="me","not NVP, by",IF($AD$8="yes",(VLOOKUP(A280,'Discount Lookup'!J:K,2)*G280*(1-$AC$1786)*(1+$AC$1788)),IF(AD280="NVP",(VLOOKUP(A280,'Discount Lookup'!J:K,2)*G280*(1-$AC$1786)*(1+$AC$1788)),IF(AD280="free","re-planting",IF(G280=0,"",IF($AD$8="",IF(AD280="me","not NVP, by",IF(AD280="",IF(G280&gt;0,(VLOOKUP(A280,'Discount Lookup'!J:K,2)*G280*(1-$AC$1786)*(1+$AC$1788)),""),"")),"not NVP, by"))))))))</f>
        <v/>
      </c>
      <c r="AC280" s="830"/>
      <c r="AD280" s="375" t="str">
        <f t="shared" si="666"/>
        <v/>
      </c>
      <c r="AE280" s="833" t="str">
        <f t="shared" si="599"/>
        <v/>
      </c>
      <c r="AF280" s="833"/>
      <c r="AG280" s="833"/>
      <c r="AH280" s="91">
        <f>IF(AD280="free",0,IF(AD280="me",0,IF(G280&gt;0,(VLOOKUP(A280,'Discount Lookup'!J:K,2)*G280),0)))</f>
        <v>0</v>
      </c>
      <c r="AI280" s="92" t="str">
        <f t="shared" si="710"/>
        <v/>
      </c>
      <c r="AJ280" s="828" t="str">
        <f t="shared" si="647"/>
        <v/>
      </c>
      <c r="AK280" s="828"/>
      <c r="AL280" s="313" t="str">
        <f t="shared" si="751"/>
        <v/>
      </c>
      <c r="AM280" s="312"/>
      <c r="AN280" s="101"/>
      <c r="AO280" s="101"/>
      <c r="AP280" s="101"/>
      <c r="AQ280" s="101"/>
      <c r="AR280" s="101"/>
      <c r="AS280" s="101"/>
      <c r="AT280" s="101"/>
    </row>
    <row r="281" spans="1:46" ht="12.95" customHeight="1">
      <c r="A281" s="419">
        <v>7</v>
      </c>
      <c r="B281" s="87" t="s">
        <v>50</v>
      </c>
      <c r="C281" s="128" t="s">
        <v>199</v>
      </c>
      <c r="D281" s="129" t="s">
        <v>54</v>
      </c>
      <c r="E281" s="98">
        <v>95.95</v>
      </c>
      <c r="F281" s="705" t="s">
        <v>1306</v>
      </c>
      <c r="G281" s="357">
        <v>0</v>
      </c>
      <c r="H281" s="704" t="str">
        <f t="shared" ref="H281:H284" si="792">IF(G281=0,"",IF(F281="Qty=",IF(G281=1,"plant","plants"),IF(F281&gt;0.0001,"warranty","Error")))</f>
        <v/>
      </c>
      <c r="I281" s="98">
        <f t="shared" ref="I281:I284" si="793">IF(F281="Qty=",(E281*G281),((E281*(1-F281))*G281))</f>
        <v>0</v>
      </c>
      <c r="J281" s="98">
        <f>IF(H281="warranty",0,(I281*($J$1782)))</f>
        <v>0</v>
      </c>
      <c r="K281" s="831">
        <f t="shared" ref="K281:K284" si="794">I281+J281</f>
        <v>0</v>
      </c>
      <c r="L281" s="831"/>
      <c r="M281" s="832" t="str">
        <f>IF($H$1784=0,"",IF(G281=0,"",IF(F281="Qty=",CONCATENATE("$",ROUND(K281*(1-$H$1784),2)," with ",($H$1784*100),"% discount"),CONCATENATE("$",ROUND(K281*(1-$H$1784),2)," with ",(($H$1784*100+F281*100)-($H$1784*100*F281)),IF(F281&gt;0,"% discounts",IF($H$1781&gt;0,"% discounts","% discount"))))))</f>
        <v/>
      </c>
      <c r="N281" s="832"/>
      <c r="O281" s="832"/>
      <c r="P281" s="832"/>
      <c r="Q281" s="832"/>
      <c r="R281" s="832"/>
      <c r="S281" s="303">
        <f t="shared" ref="S281" si="795">E281*G281</f>
        <v>0</v>
      </c>
      <c r="T281" s="541">
        <f>VLOOKUP(A281,'Discount Lookup'!D:E,2,FALSE)*G281</f>
        <v>0</v>
      </c>
      <c r="U281" s="83">
        <f>VLOOKUP(A281,'Discount Lookup'!G:H,2,FALSE)*G281</f>
        <v>0</v>
      </c>
      <c r="V281" s="100">
        <f>E281*($J$1782)*G281</f>
        <v>0</v>
      </c>
      <c r="W281" s="100">
        <f t="shared" ref="W281" si="796">I281</f>
        <v>0</v>
      </c>
      <c r="X281" s="100" t="b">
        <f>IF(G281&gt;0,IF(AD281="me","",G281))</f>
        <v>0</v>
      </c>
      <c r="Y281" s="201"/>
      <c r="Z281" s="829" t="str">
        <f t="shared" si="645"/>
        <v/>
      </c>
      <c r="AA281" s="829"/>
      <c r="AB281" s="830" t="str">
        <f>IF(G281=0,"",IF(AD281="free","re-planting",IF(AD281="me","not NVP, by",IF($AD$8="yes",(VLOOKUP(A281,'Discount Lookup'!J:K,2)*G281*(1-$AC$1786)*(1+$AC$1788)),IF(AD281="NVP",(VLOOKUP(A281,'Discount Lookup'!J:K,2)*G281*(1-$AC$1786)*(1+$AC$1788)),IF(AD281="free","re-planting",IF(G281=0,"",IF($AD$8="",IF(AD281="me","not NVP, by",IF(AD281="",IF(G281&gt;0,(VLOOKUP(A281,'Discount Lookup'!J:K,2)*G281*(1-$AC$1786)*(1+$AC$1788)),""),"")),"not NVP, by"))))))))</f>
        <v/>
      </c>
      <c r="AC281" s="830"/>
      <c r="AD281" s="375" t="str">
        <f t="shared" si="666"/>
        <v/>
      </c>
      <c r="AE281" s="833" t="str">
        <f t="shared" ref="AE281" si="797">IF(G281&gt;0,(CONCATENATE((G281)," quantity, ",(A281)," ",B281)),"")</f>
        <v/>
      </c>
      <c r="AF281" s="833"/>
      <c r="AG281" s="833"/>
      <c r="AH281" s="91">
        <f>IF(AD281="free",0,IF(AD281="me",0,IF(G281&gt;0,(VLOOKUP(A281,'Discount Lookup'!J:K,2)*G281),0)))</f>
        <v>0</v>
      </c>
      <c r="AI281" s="92" t="str">
        <f t="shared" si="710"/>
        <v/>
      </c>
      <c r="AJ281" s="828" t="str">
        <f t="shared" si="647"/>
        <v/>
      </c>
      <c r="AK281" s="828"/>
      <c r="AL281" s="313" t="str">
        <f t="shared" si="751"/>
        <v/>
      </c>
      <c r="AM281" s="312"/>
      <c r="AN281" s="101"/>
      <c r="AO281" s="101"/>
      <c r="AP281" s="101"/>
      <c r="AQ281" s="101"/>
      <c r="AR281" s="101"/>
      <c r="AS281" s="101"/>
      <c r="AT281" s="101"/>
    </row>
    <row r="282" spans="1:46" ht="12.95" customHeight="1">
      <c r="A282" s="419">
        <v>15</v>
      </c>
      <c r="B282" s="87" t="s">
        <v>50</v>
      </c>
      <c r="C282" s="128" t="s">
        <v>70</v>
      </c>
      <c r="D282" s="129" t="s">
        <v>54</v>
      </c>
      <c r="E282" s="98">
        <v>201.95</v>
      </c>
      <c r="F282" s="705" t="s">
        <v>1306</v>
      </c>
      <c r="G282" s="357">
        <v>0</v>
      </c>
      <c r="H282" s="704" t="str">
        <f t="shared" si="792"/>
        <v/>
      </c>
      <c r="I282" s="98">
        <f t="shared" si="793"/>
        <v>0</v>
      </c>
      <c r="J282" s="98">
        <f>IF(H282="warranty",0,(I282*($J$1782)))</f>
        <v>0</v>
      </c>
      <c r="K282" s="831">
        <f t="shared" si="794"/>
        <v>0</v>
      </c>
      <c r="L282" s="831"/>
      <c r="M282" s="832" t="str">
        <f>IF($H$1784=0,"",IF(G282=0,"",IF(F282="Qty=",CONCATENATE("$",ROUND(K282*(1-$H$1784),2)," with ",($H$1784*100),"% discount"),CONCATENATE("$",ROUND(K282*(1-$H$1784),2)," with ",(($H$1784*100+F282*100)-($H$1784*100*F282)),IF(F282&gt;0,"% discounts",IF($H$1781&gt;0,"% discounts","% discount"))))))</f>
        <v/>
      </c>
      <c r="N282" s="832"/>
      <c r="O282" s="832"/>
      <c r="P282" s="832"/>
      <c r="Q282" s="832"/>
      <c r="R282" s="832"/>
      <c r="S282" s="303">
        <f t="shared" ref="S282" si="798">E282*G282</f>
        <v>0</v>
      </c>
      <c r="T282" s="541">
        <f>VLOOKUP(A282,'Discount Lookup'!D:E,2,FALSE)*G282</f>
        <v>0</v>
      </c>
      <c r="U282" s="83">
        <f>VLOOKUP(A282,'Discount Lookup'!G:H,2,FALSE)*G282</f>
        <v>0</v>
      </c>
      <c r="V282" s="100">
        <f>E282*($J$1782)*G282</f>
        <v>0</v>
      </c>
      <c r="W282" s="100">
        <f t="shared" ref="W282" si="799">I282</f>
        <v>0</v>
      </c>
      <c r="X282" s="100" t="b">
        <f>IF(G282&gt;0,IF(AD282="me","",G282))</f>
        <v>0</v>
      </c>
      <c r="Y282" s="201"/>
      <c r="Z282" s="829" t="str">
        <f t="shared" si="645"/>
        <v/>
      </c>
      <c r="AA282" s="829"/>
      <c r="AB282" s="830" t="str">
        <f>IF(G282=0,"",IF(AD282="free","re-planting",IF(AD282="me","not NVP, by",IF($AD$8="yes",(VLOOKUP(A282,'Discount Lookup'!J:K,2)*G282*(1-$AC$1786)*(1+$AC$1788)),IF(AD282="NVP",(VLOOKUP(A282,'Discount Lookup'!J:K,2)*G282*(1-$AC$1786)*(1+$AC$1788)),IF(AD282="free","re-planting",IF(G282=0,"",IF($AD$8="",IF(AD282="me","not NVP, by",IF(AD282="",IF(G282&gt;0,(VLOOKUP(A282,'Discount Lookup'!J:K,2)*G282*(1-$AC$1786)*(1+$AC$1788)),""),"")),"not NVP, by"))))))))</f>
        <v/>
      </c>
      <c r="AC282" s="830"/>
      <c r="AD282" s="375" t="str">
        <f t="shared" si="666"/>
        <v/>
      </c>
      <c r="AE282" s="833" t="str">
        <f t="shared" si="599"/>
        <v/>
      </c>
      <c r="AF282" s="833"/>
      <c r="AG282" s="833"/>
      <c r="AH282" s="91">
        <f>IF(AD282="free",0,IF(AD282="me",0,IF(G282&gt;0,(VLOOKUP(A282,'Discount Lookup'!J:K,2)*G282),0)))</f>
        <v>0</v>
      </c>
      <c r="AI282" s="92" t="str">
        <f t="shared" si="710"/>
        <v/>
      </c>
      <c r="AJ282" s="828" t="str">
        <f t="shared" si="647"/>
        <v/>
      </c>
      <c r="AK282" s="828"/>
      <c r="AL282" s="313" t="str">
        <f t="shared" si="751"/>
        <v/>
      </c>
      <c r="AM282" s="312"/>
      <c r="AN282" s="101"/>
      <c r="AO282" s="101"/>
      <c r="AP282" s="101"/>
      <c r="AQ282" s="101"/>
      <c r="AR282" s="101"/>
      <c r="AS282" s="101"/>
      <c r="AT282" s="101"/>
    </row>
    <row r="283" spans="1:46" ht="12.95" customHeight="1">
      <c r="A283" s="419">
        <v>15</v>
      </c>
      <c r="B283" s="87" t="s">
        <v>50</v>
      </c>
      <c r="C283" s="128" t="s">
        <v>70</v>
      </c>
      <c r="D283" s="129" t="s">
        <v>63</v>
      </c>
      <c r="E283" s="98">
        <v>183.95</v>
      </c>
      <c r="F283" s="705" t="s">
        <v>1306</v>
      </c>
      <c r="G283" s="357">
        <v>0</v>
      </c>
      <c r="H283" s="704" t="str">
        <f t="shared" si="792"/>
        <v/>
      </c>
      <c r="I283" s="98">
        <f t="shared" si="793"/>
        <v>0</v>
      </c>
      <c r="J283" s="98">
        <f>IF(H283="warranty",0,(I283*($J$1782)))</f>
        <v>0</v>
      </c>
      <c r="K283" s="831">
        <f t="shared" si="794"/>
        <v>0</v>
      </c>
      <c r="L283" s="831"/>
      <c r="M283" s="832" t="str">
        <f>IF($H$1784=0,"",IF(G283=0,"",IF(F283="Qty=",CONCATENATE("$",ROUND(K283*(1-$H$1784),2)," with ",($H$1784*100),"% discount"),CONCATENATE("$",ROUND(K283*(1-$H$1784),2)," with ",(($H$1784*100+F283*100)-($H$1784*100*F283)),IF(F283&gt;0,"% discounts",IF($H$1781&gt;0,"% discounts","% discount"))))))</f>
        <v/>
      </c>
      <c r="N283" s="832"/>
      <c r="O283" s="832"/>
      <c r="P283" s="832"/>
      <c r="Q283" s="832"/>
      <c r="R283" s="832"/>
      <c r="S283" s="303">
        <f>E283*G283</f>
        <v>0</v>
      </c>
      <c r="T283" s="541">
        <f>VLOOKUP(A283,'Discount Lookup'!D:E,2,FALSE)*G283</f>
        <v>0</v>
      </c>
      <c r="U283" s="83">
        <f>VLOOKUP(A283,'Discount Lookup'!G:H,2,FALSE)*G283</f>
        <v>0</v>
      </c>
      <c r="V283" s="100">
        <f>E283*($J$1782)*G283</f>
        <v>0</v>
      </c>
      <c r="W283" s="100">
        <f>I283</f>
        <v>0</v>
      </c>
      <c r="X283" s="100" t="b">
        <f>IF(G283&gt;0,IF(AD283="me","",G283))</f>
        <v>0</v>
      </c>
      <c r="Y283" s="201"/>
      <c r="Z283" s="829" t="str">
        <f t="shared" si="645"/>
        <v/>
      </c>
      <c r="AA283" s="829"/>
      <c r="AB283" s="830" t="str">
        <f>IF(G283=0,"",IF(AD283="free","re-planting",IF(AD283="me","not NVP, by",IF($AD$8="yes",(VLOOKUP(A283,'Discount Lookup'!J:K,2)*G283*(1-$AC$1786)*(1+$AC$1788)),IF(AD283="NVP",(VLOOKUP(A283,'Discount Lookup'!J:K,2)*G283*(1-$AC$1786)*(1+$AC$1788)),IF(AD283="free","re-planting",IF(G283=0,"",IF($AD$8="",IF(AD283="me","not NVP, by",IF(AD283="",IF(G283&gt;0,(VLOOKUP(A283,'Discount Lookup'!J:K,2)*G283*(1-$AC$1786)*(1+$AC$1788)),""),"")),"not NVP, by"))))))))</f>
        <v/>
      </c>
      <c r="AC283" s="830"/>
      <c r="AD283" s="375" t="str">
        <f t="shared" si="666"/>
        <v/>
      </c>
      <c r="AE283" s="833" t="str">
        <f>IF(G283&gt;0,(CONCATENATE((G283)," quantity, ",(A283)," ",B283)),"")</f>
        <v/>
      </c>
      <c r="AF283" s="833"/>
      <c r="AG283" s="833"/>
      <c r="AH283" s="91">
        <f>IF(AD283="free",0,IF(AD283="me",0,IF(G283&gt;0,(VLOOKUP(A283,'Discount Lookup'!J:K,2)*G283),0)))</f>
        <v>0</v>
      </c>
      <c r="AI283" s="92" t="str">
        <f t="shared" si="710"/>
        <v/>
      </c>
      <c r="AJ283" s="828" t="str">
        <f t="shared" si="647"/>
        <v/>
      </c>
      <c r="AK283" s="828"/>
      <c r="AL283" s="313" t="str">
        <f t="shared" si="751"/>
        <v/>
      </c>
      <c r="AM283" s="312"/>
      <c r="AN283" s="101"/>
      <c r="AO283" s="101"/>
      <c r="AP283" s="101"/>
      <c r="AQ283" s="101"/>
      <c r="AR283" s="101"/>
      <c r="AS283" s="101"/>
      <c r="AT283" s="101"/>
    </row>
    <row r="284" spans="1:46" ht="12.95" customHeight="1">
      <c r="A284" s="419">
        <v>25</v>
      </c>
      <c r="B284" s="87" t="s">
        <v>50</v>
      </c>
      <c r="C284" s="128" t="s">
        <v>53</v>
      </c>
      <c r="D284" s="129" t="s">
        <v>54</v>
      </c>
      <c r="E284" s="98">
        <v>367.95</v>
      </c>
      <c r="F284" s="705" t="s">
        <v>1306</v>
      </c>
      <c r="G284" s="357">
        <v>0</v>
      </c>
      <c r="H284" s="704" t="str">
        <f t="shared" si="792"/>
        <v/>
      </c>
      <c r="I284" s="98">
        <f t="shared" si="793"/>
        <v>0</v>
      </c>
      <c r="J284" s="98">
        <f>IF(H284="warranty",0,(I284*($J$1782)))</f>
        <v>0</v>
      </c>
      <c r="K284" s="831">
        <f t="shared" si="794"/>
        <v>0</v>
      </c>
      <c r="L284" s="831"/>
      <c r="M284" s="832" t="str">
        <f>IF($H$1784=0,"",IF(G284=0,"",IF(F284="Qty=",CONCATENATE("$",ROUND(K284*(1-$H$1784),2)," with ",($H$1784*100),"% discount"),CONCATENATE("$",ROUND(K284*(1-$H$1784),2)," with ",(($H$1784*100+F284*100)-($H$1784*100*F284)),IF(F284&gt;0,"% discounts",IF($H$1781&gt;0,"% discounts","% discount"))))))</f>
        <v/>
      </c>
      <c r="N284" s="832"/>
      <c r="O284" s="832"/>
      <c r="P284" s="832"/>
      <c r="Q284" s="832"/>
      <c r="R284" s="832"/>
      <c r="S284" s="303">
        <f t="shared" ref="S284" si="800">E284*G284</f>
        <v>0</v>
      </c>
      <c r="T284" s="541">
        <f>VLOOKUP(A284,'Discount Lookup'!D:E,2,FALSE)*G284</f>
        <v>0</v>
      </c>
      <c r="U284" s="83">
        <f>VLOOKUP(A284,'Discount Lookup'!G:H,2,FALSE)*G284</f>
        <v>0</v>
      </c>
      <c r="V284" s="100">
        <f>E284*($J$1782)*G284</f>
        <v>0</v>
      </c>
      <c r="W284" s="100">
        <f t="shared" ref="W284" si="801">I284</f>
        <v>0</v>
      </c>
      <c r="X284" s="100" t="b">
        <f>IF(G284&gt;0,IF(AD284="me","",G284))</f>
        <v>0</v>
      </c>
      <c r="Y284" s="201"/>
      <c r="Z284" s="829" t="str">
        <f t="shared" si="645"/>
        <v/>
      </c>
      <c r="AA284" s="829"/>
      <c r="AB284" s="830" t="str">
        <f>IF(G284=0,"",IF(AD284="free","re-planting",IF(AD284="me","not NVP, by",IF($AD$8="yes",(VLOOKUP(A284,'Discount Lookup'!J:K,2)*G284*(1-$AC$1786)*(1+$AC$1788)),IF(AD284="NVP",(VLOOKUP(A284,'Discount Lookup'!J:K,2)*G284*(1-$AC$1786)*(1+$AC$1788)),IF(AD284="free","re-planting",IF(G284=0,"",IF($AD$8="",IF(AD284="me","not NVP, by",IF(AD284="",IF(G284&gt;0,(VLOOKUP(A284,'Discount Lookup'!J:K,2)*G284*(1-$AC$1786)*(1+$AC$1788)),""),"")),"not NVP, by"))))))))</f>
        <v/>
      </c>
      <c r="AC284" s="830"/>
      <c r="AD284" s="375" t="str">
        <f t="shared" si="666"/>
        <v/>
      </c>
      <c r="AE284" s="833" t="str">
        <f t="shared" si="599"/>
        <v/>
      </c>
      <c r="AF284" s="833"/>
      <c r="AG284" s="833"/>
      <c r="AH284" s="91">
        <f>IF(AD284="free",0,IF(AD284="me",0,IF(G284&gt;0,(VLOOKUP(A284,'Discount Lookup'!J:K,2)*G284),0)))</f>
        <v>0</v>
      </c>
      <c r="AI284" s="92" t="str">
        <f t="shared" si="710"/>
        <v/>
      </c>
      <c r="AJ284" s="828" t="str">
        <f t="shared" si="647"/>
        <v/>
      </c>
      <c r="AK284" s="828"/>
      <c r="AL284" s="313" t="str">
        <f t="shared" si="751"/>
        <v/>
      </c>
      <c r="AM284" s="312"/>
      <c r="AN284" s="101"/>
      <c r="AO284" s="101"/>
      <c r="AP284" s="101"/>
      <c r="AQ284" s="101"/>
      <c r="AR284" s="101"/>
      <c r="AS284" s="101"/>
      <c r="AT284" s="101"/>
    </row>
    <row r="285" spans="1:46" ht="12.95" customHeight="1">
      <c r="A285" s="470"/>
      <c r="B285" s="150" t="s">
        <v>240</v>
      </c>
      <c r="D285" s="104"/>
      <c r="E285" s="131"/>
      <c r="G285" s="358"/>
      <c r="H285" s="744"/>
      <c r="I285" s="131"/>
      <c r="J285" s="840"/>
      <c r="K285" s="840"/>
      <c r="L285" s="840"/>
      <c r="M285" s="48"/>
      <c r="N285" s="48"/>
      <c r="O285" s="123"/>
      <c r="P285" s="124"/>
      <c r="Q285" s="124"/>
      <c r="R285" s="48"/>
      <c r="S285" s="48"/>
      <c r="T285" s="546"/>
      <c r="V285" s="100" t="b">
        <f>IF(G285&gt;0,IF(AD285="me","",G285))</f>
        <v>0</v>
      </c>
      <c r="W285" s="100"/>
      <c r="X285" s="100"/>
      <c r="Y285" s="201"/>
      <c r="Z285" s="829" t="str">
        <f t="shared" si="645"/>
        <v/>
      </c>
      <c r="AA285" s="829"/>
      <c r="AB285" s="830" t="str">
        <f>IF(G285=0,"",IF(AD285="free","re-planting",IF(AD285="me","not NVP, by",IF($AD$8="yes",(VLOOKUP(A285,'Discount Lookup'!J:K,2)*G285*(1-$AC$1786)*(1+$AC$1788)),IF(AD285="NVP",(VLOOKUP(A285,'Discount Lookup'!J:K,2)*G285*(1-$AC$1786)*(1+$AC$1788)),IF(AD285="free","re-planting",IF(G285=0,"",IF($AD$8="",IF(AD285="me","not NVP, by",IF(AD285="",IF(G285&gt;0,(VLOOKUP(A285,'Discount Lookup'!J:K,2)*G285*(1-$AC$1786)*(1+$AC$1788)),""),"")),"not NVP, by"))))))))</f>
        <v/>
      </c>
      <c r="AC285" s="830"/>
      <c r="AD285" s="375" t="str">
        <f t="shared" si="666"/>
        <v/>
      </c>
      <c r="AE285" s="833" t="str">
        <f t="shared" si="599"/>
        <v/>
      </c>
      <c r="AF285" s="833"/>
      <c r="AG285" s="833"/>
      <c r="AH285" s="91">
        <f>IF(AD285="free",0,IF(AD285="me",0,IF(G285&gt;0,(VLOOKUP(A285,'Discount Lookup'!J:K,2)*G285),0)))</f>
        <v>0</v>
      </c>
      <c r="AI285" s="92" t="str">
        <f t="shared" si="710"/>
        <v/>
      </c>
      <c r="AJ285" s="828" t="str">
        <f t="shared" si="647"/>
        <v/>
      </c>
      <c r="AK285" s="828"/>
      <c r="AL285" s="313" t="str">
        <f t="shared" si="751"/>
        <v/>
      </c>
      <c r="AM285" s="312"/>
      <c r="AN285" s="101"/>
      <c r="AO285" s="101"/>
      <c r="AP285" s="101"/>
      <c r="AQ285" s="101"/>
      <c r="AR285" s="101"/>
      <c r="AS285" s="101"/>
      <c r="AT285" s="101"/>
    </row>
    <row r="286" spans="1:46" ht="12.95" customHeight="1">
      <c r="A286" s="847" t="s">
        <v>241</v>
      </c>
      <c r="B286" s="848"/>
      <c r="C286" s="848"/>
      <c r="D286" s="848"/>
      <c r="E286" s="848"/>
      <c r="F286" s="848"/>
      <c r="G286" s="848"/>
      <c r="H286" s="770" t="s">
        <v>242</v>
      </c>
      <c r="I286" s="348" t="s">
        <v>44</v>
      </c>
      <c r="J286" s="93"/>
      <c r="K286" s="603" t="s">
        <v>45</v>
      </c>
      <c r="L286" s="601" t="s">
        <v>46</v>
      </c>
      <c r="M286" s="86"/>
      <c r="N286" s="87" t="s">
        <v>69</v>
      </c>
      <c r="O286" s="87"/>
      <c r="P286" s="87"/>
      <c r="Q286" s="87"/>
      <c r="R286" s="86"/>
      <c r="S286" s="125"/>
      <c r="T286" s="543"/>
      <c r="U286" s="112"/>
      <c r="V286" s="100" t="b">
        <f>IF(G286&gt;0,IF(AD286="me","",G286))</f>
        <v>0</v>
      </c>
      <c r="W286" s="100"/>
      <c r="X286" s="100"/>
      <c r="Y286" s="201"/>
      <c r="Z286" s="829" t="str">
        <f t="shared" si="645"/>
        <v/>
      </c>
      <c r="AA286" s="829"/>
      <c r="AB286" s="830" t="str">
        <f>IF(G286=0,"",IF(AD286="free","re-planting",IF(AD286="me","not NVP, by",IF($AD$8="yes",(VLOOKUP(A286,'Discount Lookup'!J:K,2)*G286*(1-$AC$1786)*(1+$AC$1788)),IF(AD286="NVP",(VLOOKUP(A286,'Discount Lookup'!J:K,2)*G286*(1-$AC$1786)*(1+$AC$1788)),IF(AD286="free","re-planting",IF(G286=0,"",IF($AD$8="",IF(AD286="me","not NVP, by",IF(AD286="",IF(G286&gt;0,(VLOOKUP(A286,'Discount Lookup'!J:K,2)*G286*(1-$AC$1786)*(1+$AC$1788)),""),"")),"not NVP, by"))))))))</f>
        <v/>
      </c>
      <c r="AC286" s="830"/>
      <c r="AD286" s="375" t="str">
        <f t="shared" si="666"/>
        <v/>
      </c>
      <c r="AE286" s="833" t="str">
        <f t="shared" si="599"/>
        <v/>
      </c>
      <c r="AF286" s="833"/>
      <c r="AG286" s="833"/>
      <c r="AH286" s="91">
        <f>IF(AD286="free",0,IF(AD286="me",0,IF(G286&gt;0,(VLOOKUP(A286,'Discount Lookup'!J:K,2)*G286),0)))</f>
        <v>0</v>
      </c>
      <c r="AI286" s="92" t="str">
        <f t="shared" si="710"/>
        <v/>
      </c>
      <c r="AJ286" s="828" t="str">
        <f t="shared" si="647"/>
        <v/>
      </c>
      <c r="AK286" s="828"/>
      <c r="AL286" s="313" t="str">
        <f t="shared" si="751"/>
        <v/>
      </c>
      <c r="AM286" s="312"/>
      <c r="AN286" s="101"/>
      <c r="AO286" s="101"/>
      <c r="AP286" s="101"/>
      <c r="AQ286" s="101"/>
      <c r="AR286" s="101"/>
      <c r="AS286" s="101"/>
      <c r="AT286" s="101"/>
    </row>
    <row r="287" spans="1:46" ht="12.95" customHeight="1">
      <c r="A287" s="419">
        <v>7</v>
      </c>
      <c r="B287" s="87" t="s">
        <v>50</v>
      </c>
      <c r="C287" s="128" t="s">
        <v>198</v>
      </c>
      <c r="D287" s="129" t="s">
        <v>54</v>
      </c>
      <c r="E287" s="98">
        <v>146.94999999999999</v>
      </c>
      <c r="F287" s="705" t="s">
        <v>1306</v>
      </c>
      <c r="G287" s="357">
        <v>0</v>
      </c>
      <c r="H287" s="704" t="str">
        <f t="shared" ref="H287:H288" si="802">IF(G287=0,"",IF(F287="Qty=",IF(G287=1,"plant","plants"),IF(F287&gt;0.0001,"warranty","Error")))</f>
        <v/>
      </c>
      <c r="I287" s="98">
        <f t="shared" ref="I287:I288" si="803">IF(F287="Qty=",(E287*G287),((E287*(1-F287))*G287))</f>
        <v>0</v>
      </c>
      <c r="J287" s="98">
        <f>IF(H287="warranty",0,(I287*($J$1782)))</f>
        <v>0</v>
      </c>
      <c r="K287" s="831">
        <f t="shared" ref="K287:K288" si="804">I287+J287</f>
        <v>0</v>
      </c>
      <c r="L287" s="831"/>
      <c r="M287" s="832" t="str">
        <f>IF($H$1784=0,"",IF(G287=0,"",IF(F287="Qty=",CONCATENATE("$",ROUND(K287*(1-$H$1784),2)," with ",($H$1784*100),"% discount"),CONCATENATE("$",ROUND(K287*(1-$H$1784),2)," with ",(($H$1784*100+F287*100)-($H$1784*100*F287)),IF(F287&gt;0,"% discounts",IF($H$1781&gt;0,"% discounts","% discount"))))))</f>
        <v/>
      </c>
      <c r="N287" s="832"/>
      <c r="O287" s="832"/>
      <c r="P287" s="832"/>
      <c r="Q287" s="832"/>
      <c r="R287" s="832"/>
      <c r="S287" s="303">
        <f t="shared" ref="S287" si="805">E287*G287</f>
        <v>0</v>
      </c>
      <c r="T287" s="541">
        <f>VLOOKUP(A287,'Discount Lookup'!D:E,2,FALSE)*G287</f>
        <v>0</v>
      </c>
      <c r="U287" s="83">
        <f>VLOOKUP(A287,'Discount Lookup'!G:H,2,FALSE)*G287</f>
        <v>0</v>
      </c>
      <c r="V287" s="100">
        <f>E287*($J$1782)*G287</f>
        <v>0</v>
      </c>
      <c r="W287" s="100">
        <f t="shared" ref="W287" si="806">I287</f>
        <v>0</v>
      </c>
      <c r="X287" s="100" t="b">
        <f>IF(G287&gt;0,IF(AD287="me","",G287))</f>
        <v>0</v>
      </c>
      <c r="Y287" s="201"/>
      <c r="Z287" s="829" t="str">
        <f t="shared" ref="Z287:Z348" si="807">IF(G287=0,"",IF(AD287="me","",IF($AD$8="me","",IF(AD287="free","warranty",IF($AD$8="yes","NVP planting:","to NVP install:")))))</f>
        <v/>
      </c>
      <c r="AA287" s="829"/>
      <c r="AB287" s="830" t="str">
        <f>IF(G287=0,"",IF(AD287="free","re-planting",IF(AD287="me","not NVP, by",IF($AD$8="yes",(VLOOKUP(A287,'Discount Lookup'!J:K,2)*G287*(1-$AC$1786)*(1+$AC$1788)),IF(AD287="NVP",(VLOOKUP(A287,'Discount Lookup'!J:K,2)*G287*(1-$AC$1786)*(1+$AC$1788)),IF(AD287="free","re-planting",IF(G287=0,"",IF($AD$8="",IF(AD287="me","not NVP, by",IF(AD287="",IF(G287&gt;0,(VLOOKUP(A287,'Discount Lookup'!J:K,2)*G287*(1-$AC$1786)*(1+$AC$1788)),""),"")),"not NVP, by"))))))))</f>
        <v/>
      </c>
      <c r="AC287" s="830"/>
      <c r="AD287" s="375" t="str">
        <f t="shared" si="666"/>
        <v/>
      </c>
      <c r="AE287" s="833" t="str">
        <f t="shared" ref="AE287" si="808">IF(G287&gt;0,(CONCATENATE((G287)," quantity, ",(A287)," ",B287)),"")</f>
        <v/>
      </c>
      <c r="AF287" s="833"/>
      <c r="AG287" s="833"/>
      <c r="AH287" s="91">
        <f>IF(AD287="free",0,IF(AD287="me",0,IF(G287&gt;0,(VLOOKUP(A287,'Discount Lookup'!J:K,2)*G287),0)))</f>
        <v>0</v>
      </c>
      <c r="AI287" s="92" t="str">
        <f t="shared" si="710"/>
        <v/>
      </c>
      <c r="AJ287" s="828" t="str">
        <f t="shared" ref="AJ287:AJ348" si="809">IF(G287=0,"",IF(AD287="me","  delivery-only",IF($AD$8="me","  delivery-only",CONCATENATE(" $",ROUND(AI287/G287,2)," each"))))</f>
        <v/>
      </c>
      <c r="AK287" s="828"/>
      <c r="AL287" s="313" t="str">
        <f t="shared" si="751"/>
        <v/>
      </c>
      <c r="AM287" s="312"/>
      <c r="AN287" s="101"/>
      <c r="AO287" s="101"/>
      <c r="AP287" s="101"/>
      <c r="AQ287" s="101"/>
      <c r="AR287" s="101"/>
      <c r="AS287" s="101"/>
      <c r="AT287" s="101"/>
    </row>
    <row r="288" spans="1:46" ht="12.95" customHeight="1">
      <c r="A288" s="419">
        <v>15</v>
      </c>
      <c r="B288" s="87" t="s">
        <v>50</v>
      </c>
      <c r="C288" s="128" t="s">
        <v>64</v>
      </c>
      <c r="D288" s="129" t="s">
        <v>54</v>
      </c>
      <c r="E288" s="98">
        <v>270.95</v>
      </c>
      <c r="F288" s="705" t="s">
        <v>1306</v>
      </c>
      <c r="G288" s="357">
        <v>0</v>
      </c>
      <c r="H288" s="704" t="str">
        <f t="shared" si="802"/>
        <v/>
      </c>
      <c r="I288" s="98">
        <f t="shared" si="803"/>
        <v>0</v>
      </c>
      <c r="J288" s="98">
        <f>IF(H288="warranty",0,(I288*($J$1782)))</f>
        <v>0</v>
      </c>
      <c r="K288" s="831">
        <f t="shared" si="804"/>
        <v>0</v>
      </c>
      <c r="L288" s="831"/>
      <c r="M288" s="832" t="str">
        <f>IF($H$1784=0,"",IF(G288=0,"",IF(F288="Qty=",CONCATENATE("$",ROUND(K288*(1-$H$1784),2)," with ",($H$1784*100),"% discount"),CONCATENATE("$",ROUND(K288*(1-$H$1784),2)," with ",(($H$1784*100+F288*100)-($H$1784*100*F288)),IF(F288&gt;0,"% discounts",IF($H$1781&gt;0,"% discounts","% discount"))))))</f>
        <v/>
      </c>
      <c r="N288" s="832"/>
      <c r="O288" s="832"/>
      <c r="P288" s="832"/>
      <c r="Q288" s="832"/>
      <c r="R288" s="832"/>
      <c r="S288" s="303">
        <f t="shared" ref="S288" si="810">E288*G288</f>
        <v>0</v>
      </c>
      <c r="T288" s="541">
        <f>VLOOKUP(A288,'Discount Lookup'!D:E,2,FALSE)*G288</f>
        <v>0</v>
      </c>
      <c r="U288" s="83">
        <f>VLOOKUP(A288,'Discount Lookup'!G:H,2,FALSE)*G288</f>
        <v>0</v>
      </c>
      <c r="V288" s="100">
        <f>E288*($J$1782)*G288</f>
        <v>0</v>
      </c>
      <c r="W288" s="100">
        <f t="shared" ref="W288" si="811">I288</f>
        <v>0</v>
      </c>
      <c r="X288" s="100" t="b">
        <f>IF(G288&gt;0,IF(AD288="me","",G288))</f>
        <v>0</v>
      </c>
      <c r="Y288" s="201"/>
      <c r="Z288" s="829" t="str">
        <f t="shared" si="807"/>
        <v/>
      </c>
      <c r="AA288" s="829"/>
      <c r="AB288" s="830" t="str">
        <f>IF(G288=0,"",IF(AD288="free","re-planting",IF(AD288="me","not NVP, by",IF($AD$8="yes",(VLOOKUP(A288,'Discount Lookup'!J:K,2)*G288*(1-$AC$1786)*(1+$AC$1788)),IF(AD288="NVP",(VLOOKUP(A288,'Discount Lookup'!J:K,2)*G288*(1-$AC$1786)*(1+$AC$1788)),IF(AD288="free","re-planting",IF(G288=0,"",IF($AD$8="",IF(AD288="me","not NVP, by",IF(AD288="",IF(G288&gt;0,(VLOOKUP(A288,'Discount Lookup'!J:K,2)*G288*(1-$AC$1786)*(1+$AC$1788)),""),"")),"not NVP, by"))))))))</f>
        <v/>
      </c>
      <c r="AC288" s="830"/>
      <c r="AD288" s="375" t="str">
        <f t="shared" si="666"/>
        <v/>
      </c>
      <c r="AE288" s="833" t="str">
        <f t="shared" si="599"/>
        <v/>
      </c>
      <c r="AF288" s="833"/>
      <c r="AG288" s="833"/>
      <c r="AH288" s="91">
        <f>IF(AD288="free",0,IF(AD288="me",0,IF(G288&gt;0,(VLOOKUP(A288,'Discount Lookup'!J:K,2)*G288),0)))</f>
        <v>0</v>
      </c>
      <c r="AI288" s="92" t="str">
        <f t="shared" si="710"/>
        <v/>
      </c>
      <c r="AJ288" s="828" t="str">
        <f t="shared" si="809"/>
        <v/>
      </c>
      <c r="AK288" s="828"/>
      <c r="AL288" s="313" t="str">
        <f t="shared" si="751"/>
        <v/>
      </c>
      <c r="AM288" s="312"/>
      <c r="AN288" s="101"/>
      <c r="AO288" s="101"/>
      <c r="AP288" s="101"/>
      <c r="AQ288" s="101"/>
      <c r="AR288" s="101"/>
      <c r="AS288" s="101"/>
      <c r="AT288" s="101"/>
    </row>
    <row r="289" spans="1:46" ht="12.95" customHeight="1">
      <c r="A289" s="465"/>
      <c r="B289" s="150" t="s">
        <v>243</v>
      </c>
      <c r="C289" s="130"/>
      <c r="D289" s="104"/>
      <c r="E289" s="131"/>
      <c r="F289" s="710"/>
      <c r="G289" s="356"/>
      <c r="H289" s="744"/>
      <c r="I289" s="131"/>
      <c r="J289" s="131"/>
      <c r="K289" s="608"/>
      <c r="L289" s="608"/>
      <c r="M289" s="48"/>
      <c r="N289" s="48"/>
      <c r="O289" s="48"/>
      <c r="P289" s="48"/>
      <c r="Q289" s="48"/>
      <c r="R289" s="48"/>
      <c r="S289" s="48"/>
      <c r="T289" s="540"/>
      <c r="U289" s="83"/>
      <c r="V289" s="100" t="b">
        <f>IF(G289&gt;0,IF(AD289="me","",G289))</f>
        <v>0</v>
      </c>
      <c r="W289" s="100"/>
      <c r="X289" s="100"/>
      <c r="Y289" s="201"/>
      <c r="Z289" s="829" t="str">
        <f t="shared" si="807"/>
        <v/>
      </c>
      <c r="AA289" s="829"/>
      <c r="AB289" s="830" t="str">
        <f>IF(G289=0,"",IF(AD289="free","re-planting",IF(AD289="me","not NVP, by",IF($AD$8="yes",(VLOOKUP(A289,'Discount Lookup'!J:K,2)*G289*(1-$AC$1786)*(1+$AC$1788)),IF(AD289="NVP",(VLOOKUP(A289,'Discount Lookup'!J:K,2)*G289*(1-$AC$1786)*(1+$AC$1788)),IF(AD289="free","re-planting",IF(G289=0,"",IF($AD$8="",IF(AD289="me","not NVP, by",IF(AD289="",IF(G289&gt;0,(VLOOKUP(A289,'Discount Lookup'!J:K,2)*G289*(1-$AC$1786)*(1+$AC$1788)),""),"")),"not NVP, by"))))))))</f>
        <v/>
      </c>
      <c r="AC289" s="830"/>
      <c r="AD289" s="375" t="str">
        <f t="shared" si="666"/>
        <v/>
      </c>
      <c r="AE289" s="833" t="str">
        <f t="shared" si="599"/>
        <v/>
      </c>
      <c r="AF289" s="833"/>
      <c r="AG289" s="833"/>
      <c r="AH289" s="91">
        <f>IF(AD289="free",0,IF(AD289="me",0,IF(G289&gt;0,(VLOOKUP(A289,'Discount Lookup'!J:K,2)*G289),0)))</f>
        <v>0</v>
      </c>
      <c r="AI289" s="92" t="str">
        <f t="shared" si="710"/>
        <v/>
      </c>
      <c r="AJ289" s="828" t="str">
        <f t="shared" si="809"/>
        <v/>
      </c>
      <c r="AK289" s="828"/>
      <c r="AL289" s="313" t="str">
        <f t="shared" si="751"/>
        <v/>
      </c>
      <c r="AM289" s="312"/>
      <c r="AN289" s="101"/>
      <c r="AO289" s="101"/>
      <c r="AP289" s="101"/>
      <c r="AQ289" s="101"/>
      <c r="AR289" s="101"/>
      <c r="AS289" s="101"/>
      <c r="AT289" s="101"/>
    </row>
    <row r="290" spans="1:46" ht="12.75" customHeight="1">
      <c r="A290" s="852" t="s">
        <v>244</v>
      </c>
      <c r="B290" s="844"/>
      <c r="C290" s="844"/>
      <c r="D290" s="844"/>
      <c r="E290" s="844"/>
      <c r="F290" s="844"/>
      <c r="G290" s="844"/>
      <c r="H290" s="770" t="s">
        <v>245</v>
      </c>
      <c r="I290" s="88" t="s">
        <v>79</v>
      </c>
      <c r="J290" s="86"/>
      <c r="K290" s="600" t="s">
        <v>45</v>
      </c>
      <c r="L290" s="604" t="s">
        <v>46</v>
      </c>
      <c r="M290" s="86"/>
      <c r="N290" s="87" t="s">
        <v>128</v>
      </c>
      <c r="O290" s="87"/>
      <c r="P290" s="87"/>
      <c r="Q290" s="87"/>
      <c r="R290" s="86"/>
      <c r="S290" s="125"/>
      <c r="T290" s="543"/>
      <c r="U290" s="112"/>
      <c r="V290" s="100" t="b">
        <f>IF(G290&gt;0,IF(AD290="me","",G290))</f>
        <v>0</v>
      </c>
      <c r="W290" s="100"/>
      <c r="X290" s="100"/>
      <c r="Y290" s="201"/>
      <c r="Z290" s="838" t="str">
        <f>IF(G290=0,"",IF(AD290="me","",IF($AD$8="me","",IF(AD290="free","warranty",IF($AD$8="yes","NVP planting:","to NVP install:")))))</f>
        <v/>
      </c>
      <c r="AA290" s="838"/>
      <c r="AB290" s="830" t="str">
        <f>IF(G290=0,"",IF(AD290="free","re-planting",IF(AD290="me","not NVP, by",IF($AD$8="yes",(VLOOKUP(A290,'Discount Lookup'!J:K,2)*G290*(1-$AC$1786)*(1+$AC$1788)),IF(AD290="NVP",(VLOOKUP(A290,'Discount Lookup'!J:K,2)*G290*(1-$AC$1786)*(1+$AC$1788)),IF(AD290="free","re-planting",IF(G290=0,"",IF($AD$8="",IF(AD290="me","not NVP, by",IF(AD290="",IF(G290&gt;0,(VLOOKUP(A290,'Discount Lookup'!J:K,2)*G290*(1-$AC$1786)*(1+$AC$1788)),""),"")),"not NVP, by"))))))))</f>
        <v/>
      </c>
      <c r="AC290" s="830"/>
      <c r="AD290" s="375" t="str">
        <f t="shared" si="666"/>
        <v/>
      </c>
      <c r="AE290" s="833" t="str">
        <f>IF(G290&gt;0,(CONCATENATE((G290)," quantity, ",(A290)," ",B290)),"")</f>
        <v/>
      </c>
      <c r="AF290" s="833"/>
      <c r="AG290" s="833"/>
      <c r="AH290" s="91">
        <f>IF(AD290="free",0,IF(AD290="me",0,IF(G290&gt;0,(VLOOKUP(A290,'Discount Lookup'!J:K,2)*G290),0)))</f>
        <v>0</v>
      </c>
      <c r="AI290" s="92" t="str">
        <f t="shared" si="710"/>
        <v/>
      </c>
      <c r="AJ290" s="828" t="str">
        <f>IF(G290=0,"",IF(AD290="me","  delivery-only",CONCATENATE(" $",ROUND(AI290/G290,2)," each")))</f>
        <v/>
      </c>
      <c r="AK290" s="828"/>
      <c r="AL290" s="313" t="str">
        <f t="shared" si="751"/>
        <v/>
      </c>
      <c r="AM290" s="312"/>
      <c r="AN290" s="101"/>
      <c r="AO290" s="101"/>
      <c r="AP290" s="101"/>
      <c r="AQ290" s="101"/>
      <c r="AR290" s="101"/>
      <c r="AS290" s="101"/>
      <c r="AT290" s="101"/>
    </row>
    <row r="291" spans="1:46" ht="12.95" customHeight="1">
      <c r="A291" s="419">
        <v>3</v>
      </c>
      <c r="B291" s="87" t="s">
        <v>50</v>
      </c>
      <c r="C291" s="399" t="s">
        <v>102</v>
      </c>
      <c r="D291" s="129" t="s">
        <v>87</v>
      </c>
      <c r="E291" s="98">
        <v>24.95</v>
      </c>
      <c r="F291" s="705" t="s">
        <v>1306</v>
      </c>
      <c r="G291" s="357">
        <v>0</v>
      </c>
      <c r="H291" s="704" t="str">
        <f t="shared" ref="H291" si="812">IF(G291=0,"",IF(F291="Qty=",IF(G291=1,"plant","plants"),IF(F291&gt;0.0001,"warranty","Error")))</f>
        <v/>
      </c>
      <c r="I291" s="98">
        <f t="shared" ref="I291" si="813">IF(F291="Qty=",(E291*G291),((E291*(1-F291))*G291))</f>
        <v>0</v>
      </c>
      <c r="J291" s="98">
        <f>IF(H291="warranty",0,(I291*($J$1782)))</f>
        <v>0</v>
      </c>
      <c r="K291" s="831">
        <f t="shared" ref="K291:K294" si="814">I291+J291</f>
        <v>0</v>
      </c>
      <c r="L291" s="831"/>
      <c r="M291" s="832" t="str">
        <f>IF($H$1784=0,"",IF(G291=0,"",IF(F291="Qty=",CONCATENATE("$",ROUND(K291*(1-$H$1784),2)," with ",($H$1784*100),"% discount"),CONCATENATE("$",ROUND(K291*(1-$H$1784),2)," with ",(($H$1784*100+F291*100)-($H$1784*100*F291)),IF(F291&gt;0,"% discounts",IF($H$1781&gt;0,"% discounts","% discount"))))))</f>
        <v/>
      </c>
      <c r="N291" s="832"/>
      <c r="O291" s="832"/>
      <c r="P291" s="832"/>
      <c r="Q291" s="832"/>
      <c r="R291" s="832"/>
      <c r="S291" s="303">
        <f t="shared" ref="S291" si="815">E291*G291</f>
        <v>0</v>
      </c>
      <c r="T291" s="541">
        <f>VLOOKUP(A291,'Discount Lookup'!D:E,2,FALSE)*G291</f>
        <v>0</v>
      </c>
      <c r="U291" s="83">
        <f>VLOOKUP(A291,'Discount Lookup'!G:H,2,FALSE)*G291</f>
        <v>0</v>
      </c>
      <c r="V291" s="100">
        <f>E291*($J$1782)*G291</f>
        <v>0</v>
      </c>
      <c r="W291" s="100">
        <f t="shared" ref="W291" si="816">I291</f>
        <v>0</v>
      </c>
      <c r="X291" s="100" t="b">
        <f>IF(G291&gt;0,IF(AD291="me","",G291))</f>
        <v>0</v>
      </c>
      <c r="Y291" s="201"/>
      <c r="Z291" s="829" t="str">
        <f t="shared" ref="Z291" si="817">IF(G291=0,"",IF(AD291="me","",IF($AD$8="me","",IF(AD291="free","warranty",IF($AD$8="yes","NVP planting:","to NVP install:")))))</f>
        <v/>
      </c>
      <c r="AA291" s="829"/>
      <c r="AB291" s="830" t="str">
        <f>IF(G291=0,"",IF(AD291="free","re-planting",IF(AD291="me","not NVP, by",IF($AD$8="yes",(VLOOKUP(A291,'Discount Lookup'!J:K,2)*G291*(1-$AC$1786)*(1+$AC$1788)),IF(AD291="NVP",(VLOOKUP(A291,'Discount Lookup'!J:K,2)*G291*(1-$AC$1786)*(1+$AC$1788)),IF(AD291="free","re-planting",IF(G291=0,"",IF($AD$8="",IF(AD291="me","not NVP, by",IF(AD291="",IF(G291&gt;0,(VLOOKUP(A291,'Discount Lookup'!J:K,2)*G291*(1-$AC$1786)*(1+$AC$1788)),""),"")),"not NVP, by"))))))))</f>
        <v/>
      </c>
      <c r="AC291" s="830"/>
      <c r="AD291" s="375" t="str">
        <f t="shared" ref="AD291" si="818">IF(G291=0,"",IF($AD$8="me","me",IF(H291="warranty","free",IF($AD$8="yes","NVP",""))))</f>
        <v/>
      </c>
      <c r="AE291" s="833" t="str">
        <f t="shared" ref="AE291" si="819">IF(G291&gt;0,(CONCATENATE((G291)," quantity, ",(A291)," ",B291)),"")</f>
        <v/>
      </c>
      <c r="AF291" s="833"/>
      <c r="AG291" s="833"/>
      <c r="AH291" s="91">
        <f>IF(AD291="free",0,IF(AD291="me",0,IF(G291&gt;0,(VLOOKUP(A291,'Discount Lookup'!J:K,2)*G291),0)))</f>
        <v>0</v>
      </c>
      <c r="AI291" s="92" t="str">
        <f t="shared" si="710"/>
        <v/>
      </c>
      <c r="AJ291" s="828" t="str">
        <f t="shared" ref="AJ291" si="820">IF(G291=0,"",IF(AD291="me","  delivery-only",IF($AD$8="me","  delivery-only",CONCATENATE(" $",ROUND(AI291/G291,2)," each"))))</f>
        <v/>
      </c>
      <c r="AK291" s="828"/>
      <c r="AL291" s="313" t="str">
        <f t="shared" si="751"/>
        <v/>
      </c>
      <c r="AM291" s="312"/>
      <c r="AN291" s="101"/>
      <c r="AO291" s="101"/>
      <c r="AP291" s="101"/>
      <c r="AQ291" s="101"/>
      <c r="AR291" s="101"/>
      <c r="AS291" s="101"/>
      <c r="AT291" s="101"/>
    </row>
    <row r="292" spans="1:46" ht="12.95" customHeight="1">
      <c r="A292" s="419">
        <v>7</v>
      </c>
      <c r="B292" s="87" t="s">
        <v>50</v>
      </c>
      <c r="C292" s="128" t="s">
        <v>1620</v>
      </c>
      <c r="D292" s="129" t="s">
        <v>90</v>
      </c>
      <c r="E292" s="98">
        <v>177.95</v>
      </c>
      <c r="F292" s="705" t="s">
        <v>1306</v>
      </c>
      <c r="G292" s="357">
        <v>0</v>
      </c>
      <c r="H292" s="704" t="str">
        <f t="shared" ref="H292:H293" si="821">IF(G292=0,"",IF(F292="Qty=",IF(G292=1,"plant","plants"),IF(F292&gt;0.0001,"warranty","Error")))</f>
        <v/>
      </c>
      <c r="I292" s="98">
        <f t="shared" ref="I292:I293" si="822">IF(F292="Qty=",(E292*G292),((E292*(1-F292))*G292))</f>
        <v>0</v>
      </c>
      <c r="J292" s="98">
        <f>IF(H292="warranty",0,(I292*($J$1782)))</f>
        <v>0</v>
      </c>
      <c r="K292" s="831">
        <f t="shared" si="814"/>
        <v>0</v>
      </c>
      <c r="L292" s="831"/>
      <c r="M292" s="832" t="str">
        <f>IF($H$1784=0,"",IF(G292=0,"",IF(F292="Qty=",CONCATENATE("$",ROUND(K292*(1-$H$1784),2)," with ",($H$1784*100),"% discount"),CONCATENATE("$",ROUND(K292*(1-$H$1784),2)," with ",(($H$1784*100+F292*100)-($H$1784*100*F292)),IF(F292&gt;0,"% discounts",IF($H$1781&gt;0,"% discounts","% discount"))))))</f>
        <v/>
      </c>
      <c r="N292" s="832"/>
      <c r="O292" s="832"/>
      <c r="P292" s="832"/>
      <c r="Q292" s="832"/>
      <c r="R292" s="832"/>
      <c r="S292" s="303">
        <f t="shared" ref="S292:S293" si="823">E292*G292</f>
        <v>0</v>
      </c>
      <c r="T292" s="541">
        <f>VLOOKUP(A292,'Discount Lookup'!D:E,2,FALSE)*G292</f>
        <v>0</v>
      </c>
      <c r="U292" s="83">
        <f>VLOOKUP(A292,'Discount Lookup'!G:H,2,FALSE)*G292</f>
        <v>0</v>
      </c>
      <c r="V292" s="100">
        <f>E292*($J$1782)*G292</f>
        <v>0</v>
      </c>
      <c r="W292" s="100">
        <f t="shared" ref="W292:W293" si="824">I292</f>
        <v>0</v>
      </c>
      <c r="X292" s="100" t="b">
        <f>IF(G292&gt;0,IF(AD292="me","",G292))</f>
        <v>0</v>
      </c>
      <c r="Y292" s="201"/>
      <c r="Z292" s="838" t="str">
        <f>IF(G292=0,"",IF(AD292="me","",IF($AD$8="me","",IF(AD292="free","warranty",IF($AD$8="yes","NVP planting:","to NVP install:")))))</f>
        <v/>
      </c>
      <c r="AA292" s="838"/>
      <c r="AB292" s="830" t="str">
        <f>IF(G292=0,"",IF(AD292="free","re-planting",IF(AD292="me","not NVP, by",IF($AD$8="yes",(VLOOKUP(A292,'Discount Lookup'!J:K,2)*G292*(1-$AC$1786)*(1+$AC$1788)),IF(AD292="NVP",(VLOOKUP(A292,'Discount Lookup'!J:K,2)*G292*(1-$AC$1786)*(1+$AC$1788)),IF(AD292="free","re-planting",IF(G292=0,"",IF($AD$8="",IF(AD292="me","not NVP, by",IF(AD292="",IF(G292&gt;0,(VLOOKUP(A292,'Discount Lookup'!J:K,2)*G292*(1-$AC$1786)*(1+$AC$1788)),""),"")),"not NVP, by"))))))))</f>
        <v/>
      </c>
      <c r="AC292" s="830"/>
      <c r="AD292" s="375" t="str">
        <f t="shared" si="666"/>
        <v/>
      </c>
      <c r="AE292" s="833" t="str">
        <f>IF(G292&gt;0,(CONCATENATE((G292)," quantity, ",(A292)," ",B292)),"")</f>
        <v/>
      </c>
      <c r="AF292" s="833"/>
      <c r="AG292" s="833"/>
      <c r="AH292" s="91">
        <f>IF(AD292="free",0,IF(AD292="me",0,IF(G292&gt;0,(VLOOKUP(A292,'Discount Lookup'!J:K,2)*G292),0)))</f>
        <v>0</v>
      </c>
      <c r="AI292" s="92" t="str">
        <f t="shared" si="710"/>
        <v/>
      </c>
      <c r="AJ292" s="828" t="str">
        <f>IF(G292=0,"",IF(AD292="me","  delivery-only",CONCATENATE(" $",ROUND(AI292/G292,2)," each")))</f>
        <v/>
      </c>
      <c r="AK292" s="828"/>
      <c r="AL292" s="313" t="str">
        <f t="shared" si="751"/>
        <v/>
      </c>
      <c r="AM292" s="312"/>
      <c r="AN292" s="101"/>
      <c r="AO292" s="101"/>
      <c r="AP292" s="101"/>
      <c r="AQ292" s="101"/>
      <c r="AR292" s="101"/>
      <c r="AS292" s="101"/>
      <c r="AT292" s="101"/>
    </row>
    <row r="293" spans="1:46" ht="12.95" customHeight="1">
      <c r="A293" s="419">
        <v>15</v>
      </c>
      <c r="B293" s="87" t="s">
        <v>50</v>
      </c>
      <c r="C293" s="399" t="s">
        <v>53</v>
      </c>
      <c r="D293" s="129" t="s">
        <v>87</v>
      </c>
      <c r="E293" s="98">
        <v>180.95</v>
      </c>
      <c r="F293" s="705" t="s">
        <v>1306</v>
      </c>
      <c r="G293" s="357">
        <v>0</v>
      </c>
      <c r="H293" s="704" t="str">
        <f t="shared" si="821"/>
        <v/>
      </c>
      <c r="I293" s="98">
        <f t="shared" si="822"/>
        <v>0</v>
      </c>
      <c r="J293" s="98">
        <f>IF(H293="warranty",0,(I293*($J$1782)))</f>
        <v>0</v>
      </c>
      <c r="K293" s="831">
        <f t="shared" ref="K293" si="825">I293+J293</f>
        <v>0</v>
      </c>
      <c r="L293" s="831"/>
      <c r="M293" s="832" t="str">
        <f>IF($H$1784=0,"",IF(G293=0,"",IF(F293="Qty=",CONCATENATE("$",ROUND(K293*(1-$H$1784),2)," with ",($H$1784*100),"% discount"),CONCATENATE("$",ROUND(K293*(1-$H$1784),2)," with ",(($H$1784*100+F293*100)-($H$1784*100*F293)),IF(F293&gt;0,"% discounts",IF($H$1781&gt;0,"% discounts","% discount"))))))</f>
        <v/>
      </c>
      <c r="N293" s="832"/>
      <c r="O293" s="832"/>
      <c r="P293" s="832"/>
      <c r="Q293" s="832"/>
      <c r="R293" s="832"/>
      <c r="S293" s="303">
        <f t="shared" si="823"/>
        <v>0</v>
      </c>
      <c r="T293" s="541">
        <f>VLOOKUP(A293,'Discount Lookup'!D:E,2,FALSE)*G293</f>
        <v>0</v>
      </c>
      <c r="U293" s="83">
        <f>VLOOKUP(A293,'Discount Lookup'!G:H,2,FALSE)*G293</f>
        <v>0</v>
      </c>
      <c r="V293" s="100">
        <f>E293*($J$1782)*G293</f>
        <v>0</v>
      </c>
      <c r="W293" s="100">
        <f t="shared" si="824"/>
        <v>0</v>
      </c>
      <c r="X293" s="100" t="b">
        <f>IF(G293&gt;0,IF(AD293="me","",G293))</f>
        <v>0</v>
      </c>
      <c r="Y293" s="201"/>
      <c r="Z293" s="829" t="str">
        <f t="shared" ref="Z293" si="826">IF(G293=0,"",IF(AD293="me","",IF($AD$8="me","",IF(AD293="free","warranty",IF($AD$8="yes","NVP planting:","to NVP install:")))))</f>
        <v/>
      </c>
      <c r="AA293" s="829"/>
      <c r="AB293" s="830" t="str">
        <f>IF(G293=0,"",IF(AD293="free","re-planting",IF(AD293="me","not NVP, by",IF($AD$8="yes",(VLOOKUP(A293,'Discount Lookup'!J:K,2)*G293*(1-$AC$1786)*(1+$AC$1788)),IF(AD293="NVP",(VLOOKUP(A293,'Discount Lookup'!J:K,2)*G293*(1-$AC$1786)*(1+$AC$1788)),IF(AD293="free","re-planting",IF(G293=0,"",IF($AD$8="",IF(AD293="me","not NVP, by",IF(AD293="",IF(G293&gt;0,(VLOOKUP(A293,'Discount Lookup'!J:K,2)*G293*(1-$AC$1786)*(1+$AC$1788)),""),"")),"not NVP, by"))))))))</f>
        <v/>
      </c>
      <c r="AC293" s="830"/>
      <c r="AD293" s="375" t="str">
        <f t="shared" si="666"/>
        <v/>
      </c>
      <c r="AE293" s="833" t="str">
        <f t="shared" ref="AE293" si="827">IF(G293&gt;0,(CONCATENATE((G293)," quantity, ",(A293)," ",B293)),"")</f>
        <v/>
      </c>
      <c r="AF293" s="833"/>
      <c r="AG293" s="833"/>
      <c r="AH293" s="91">
        <f>IF(AD293="free",0,IF(AD293="me",0,IF(G293&gt;0,(VLOOKUP(A293,'Discount Lookup'!J:K,2)*G293),0)))</f>
        <v>0</v>
      </c>
      <c r="AI293" s="92" t="str">
        <f t="shared" si="710"/>
        <v/>
      </c>
      <c r="AJ293" s="828" t="str">
        <f t="shared" ref="AJ293" si="828">IF(G293=0,"",IF(AD293="me","  delivery-only",IF($AD$8="me","  delivery-only",CONCATENATE(" $",ROUND(AI293/G293,2)," each"))))</f>
        <v/>
      </c>
      <c r="AK293" s="828"/>
      <c r="AL293" s="313" t="str">
        <f t="shared" si="751"/>
        <v/>
      </c>
      <c r="AM293" s="312"/>
      <c r="AN293" s="101"/>
      <c r="AO293" s="101"/>
      <c r="AP293" s="101"/>
      <c r="AQ293" s="101"/>
      <c r="AR293" s="101"/>
      <c r="AS293" s="101"/>
      <c r="AT293" s="101"/>
    </row>
    <row r="294" spans="1:46" ht="12.95" customHeight="1">
      <c r="A294" s="419">
        <v>15</v>
      </c>
      <c r="B294" s="87" t="s">
        <v>50</v>
      </c>
      <c r="C294" s="399" t="s">
        <v>1619</v>
      </c>
      <c r="D294" s="129" t="s">
        <v>90</v>
      </c>
      <c r="E294" s="98">
        <v>272.95</v>
      </c>
      <c r="F294" s="705" t="s">
        <v>1306</v>
      </c>
      <c r="G294" s="357">
        <v>0</v>
      </c>
      <c r="H294" s="704" t="str">
        <f t="shared" ref="H294" si="829">IF(G294=0,"",IF(F294="Qty=",IF(G294=1,"plant","plants"),IF(F294&gt;0.0001,"warranty","Error")))</f>
        <v/>
      </c>
      <c r="I294" s="98">
        <f t="shared" ref="I294" si="830">IF(F294="Qty=",(E294*G294),((E294*(1-F294))*G294))</f>
        <v>0</v>
      </c>
      <c r="J294" s="98">
        <f>IF(H294="warranty",0,(I294*($J$1782)))</f>
        <v>0</v>
      </c>
      <c r="K294" s="831">
        <f t="shared" si="814"/>
        <v>0</v>
      </c>
      <c r="L294" s="831"/>
      <c r="M294" s="832" t="str">
        <f>IF($H$1784=0,"",IF(G294=0,"",IF(F294="Qty=",CONCATENATE("$",ROUND(K294*(1-$H$1784),2)," with ",($H$1784*100),"% discount"),CONCATENATE("$",ROUND(K294*(1-$H$1784),2)," with ",(($H$1784*100+F294*100)-($H$1784*100*F294)),IF(F294&gt;0,"% discounts",IF($H$1781&gt;0,"% discounts","% discount"))))))</f>
        <v/>
      </c>
      <c r="N294" s="832"/>
      <c r="O294" s="832"/>
      <c r="P294" s="832"/>
      <c r="Q294" s="832"/>
      <c r="R294" s="832"/>
      <c r="S294" s="303">
        <f t="shared" ref="S294" si="831">E294*G294</f>
        <v>0</v>
      </c>
      <c r="T294" s="541">
        <f>VLOOKUP(A294,'Discount Lookup'!D:E,2,FALSE)*G294</f>
        <v>0</v>
      </c>
      <c r="U294" s="83">
        <f>VLOOKUP(A294,'Discount Lookup'!G:H,2,FALSE)*G294</f>
        <v>0</v>
      </c>
      <c r="V294" s="100">
        <f>E294*($J$1782)*G294</f>
        <v>0</v>
      </c>
      <c r="W294" s="100">
        <f t="shared" ref="W294" si="832">I294</f>
        <v>0</v>
      </c>
      <c r="X294" s="100" t="b">
        <f>IF(G294&gt;0,IF(AD294="me","",G294))</f>
        <v>0</v>
      </c>
      <c r="Y294" s="201"/>
      <c r="Z294" s="829" t="str">
        <f t="shared" ref="Z294" si="833">IF(G294=0,"",IF(AD294="me","",IF($AD$8="me","",IF(AD294="free","warranty",IF($AD$8="yes","NVP planting:","to NVP install:")))))</f>
        <v/>
      </c>
      <c r="AA294" s="829"/>
      <c r="AB294" s="830" t="str">
        <f>IF(G294=0,"",IF(AD294="free","re-planting",IF(AD294="me","not NVP, by",IF($AD$8="yes",(VLOOKUP(A294,'Discount Lookup'!J:K,2)*G294*(1-$AC$1786)*(1+$AC$1788)),IF(AD294="NVP",(VLOOKUP(A294,'Discount Lookup'!J:K,2)*G294*(1-$AC$1786)*(1+$AC$1788)),IF(AD294="free","re-planting",IF(G294=0,"",IF($AD$8="",IF(AD294="me","not NVP, by",IF(AD294="",IF(G294&gt;0,(VLOOKUP(A294,'Discount Lookup'!J:K,2)*G294*(1-$AC$1786)*(1+$AC$1788)),""),"")),"not NVP, by"))))))))</f>
        <v/>
      </c>
      <c r="AC294" s="830"/>
      <c r="AD294" s="375" t="str">
        <f t="shared" ref="AD294" si="834">IF(G294=0,"",IF($AD$8="me","me",IF(H294="warranty","free",IF($AD$8="yes","NVP",""))))</f>
        <v/>
      </c>
      <c r="AE294" s="833" t="str">
        <f t="shared" ref="AE294" si="835">IF(G294&gt;0,(CONCATENATE((G294)," quantity, ",(A294)," ",B294)),"")</f>
        <v/>
      </c>
      <c r="AF294" s="833"/>
      <c r="AG294" s="833"/>
      <c r="AH294" s="91">
        <f>IF(AD294="free",0,IF(AD294="me",0,IF(G294&gt;0,(VLOOKUP(A294,'Discount Lookup'!J:K,2)*G294),0)))</f>
        <v>0</v>
      </c>
      <c r="AI294" s="92" t="str">
        <f t="shared" si="710"/>
        <v/>
      </c>
      <c r="AJ294" s="828" t="str">
        <f t="shared" ref="AJ294" si="836">IF(G294=0,"",IF(AD294="me","  delivery-only",IF($AD$8="me","  delivery-only",CONCATENATE(" $",ROUND(AI294/G294,2)," each"))))</f>
        <v/>
      </c>
      <c r="AK294" s="828"/>
      <c r="AL294" s="313" t="str">
        <f t="shared" si="751"/>
        <v/>
      </c>
      <c r="AM294" s="312"/>
      <c r="AN294" s="101"/>
      <c r="AO294" s="101"/>
      <c r="AP294" s="101"/>
      <c r="AQ294" s="101"/>
      <c r="AR294" s="101"/>
      <c r="AS294" s="101"/>
      <c r="AT294" s="101"/>
    </row>
    <row r="295" spans="1:46" ht="12.95" customHeight="1">
      <c r="A295" s="465"/>
      <c r="B295" s="150" t="s">
        <v>246</v>
      </c>
      <c r="C295" s="104"/>
      <c r="D295" s="104"/>
      <c r="E295" s="131"/>
      <c r="F295" s="710"/>
      <c r="G295" s="358"/>
      <c r="H295" s="744"/>
      <c r="I295" s="131"/>
      <c r="J295" s="131"/>
      <c r="K295" s="608"/>
      <c r="L295" s="608"/>
      <c r="M295" s="121"/>
      <c r="N295" s="48"/>
      <c r="O295" s="123"/>
      <c r="P295" s="124"/>
      <c r="Q295" s="48"/>
      <c r="R295" s="48"/>
      <c r="S295" s="48"/>
      <c r="T295" s="48"/>
      <c r="Y295" s="132"/>
      <c r="Z295" s="838" t="str">
        <f>IF(G295=0,"",IF(AD295="me","",IF($AD$8="me","",IF(AD295="free","warranty",IF($AD$8="yes","NVP planting:","to NVP install:")))))</f>
        <v/>
      </c>
      <c r="AA295" s="838"/>
      <c r="AB295" s="830" t="str">
        <f>IF(G295=0,"",IF(AD295="free","re-planting",IF(AD295="me","not NVP, by",IF($AD$8="yes",(VLOOKUP(A295,'Discount Lookup'!J:K,2)*G295*(1-$AC$1786)*(1+$AC$1788)),IF(AD295="NVP",(VLOOKUP(A295,'Discount Lookup'!J:K,2)*G295*(1-$AC$1786)*(1+$AC$1788)),IF(AD295="free","re-planting",IF(G295=0,"",IF($AD$8="",IF(AD295="me","not NVP, by",IF(AD295="",IF(G295&gt;0,(VLOOKUP(A295,'Discount Lookup'!J:K,2)*G295*(1-$AC$1786)*(1+$AC$1788)),""),"")),"not NVP, by"))))))))</f>
        <v/>
      </c>
      <c r="AC295" s="830"/>
      <c r="AD295" s="375" t="str">
        <f t="shared" si="666"/>
        <v/>
      </c>
      <c r="AE295" s="833" t="str">
        <f>IF(G295&gt;0,(CONCATENATE((G295)," quantity, ",(A295)," ",B295)),"")</f>
        <v/>
      </c>
      <c r="AF295" s="833"/>
      <c r="AG295" s="833"/>
      <c r="AH295" s="91">
        <f>IF(AD295="free",0,IF(AD295="me",0,IF(G295&gt;0,(VLOOKUP(A295,'Discount Lookup'!J:K,2)*G295),0)))</f>
        <v>0</v>
      </c>
      <c r="AI295" s="92" t="str">
        <f t="shared" si="710"/>
        <v/>
      </c>
      <c r="AJ295" s="828" t="str">
        <f>IF(G295=0,"",IF(AD295="me","  delivery-only",CONCATENATE(" $",ROUND(AI295/G295,2)," each")))</f>
        <v/>
      </c>
      <c r="AK295" s="828"/>
      <c r="AL295" s="313" t="str">
        <f t="shared" si="751"/>
        <v/>
      </c>
      <c r="AM295" s="312"/>
      <c r="AN295" s="101"/>
      <c r="AO295" s="101"/>
      <c r="AP295" s="101"/>
      <c r="AQ295" s="101"/>
      <c r="AR295" s="101"/>
      <c r="AS295" s="101"/>
      <c r="AT295" s="101"/>
    </row>
    <row r="296" spans="1:46" ht="12.95" customHeight="1">
      <c r="A296" s="852" t="s">
        <v>247</v>
      </c>
      <c r="B296" s="844"/>
      <c r="C296" s="844"/>
      <c r="D296" s="844"/>
      <c r="E296" s="844"/>
      <c r="F296" s="844"/>
      <c r="G296" s="844"/>
      <c r="H296" s="770" t="s">
        <v>245</v>
      </c>
      <c r="I296" s="88" t="s">
        <v>79</v>
      </c>
      <c r="J296" s="86"/>
      <c r="K296" s="603" t="s">
        <v>45</v>
      </c>
      <c r="L296" s="601" t="s">
        <v>46</v>
      </c>
      <c r="M296" s="115"/>
      <c r="N296" s="87" t="s">
        <v>69</v>
      </c>
      <c r="O296" s="87"/>
      <c r="P296" s="87"/>
      <c r="Q296" s="87"/>
      <c r="R296" s="88"/>
      <c r="S296" s="125"/>
      <c r="T296" s="543"/>
      <c r="U296" s="89"/>
      <c r="V296" s="100" t="b">
        <f>IF(G296&gt;0,IF(AD296="me","",G296))</f>
        <v>0</v>
      </c>
      <c r="W296" s="100"/>
      <c r="X296" s="100"/>
      <c r="Y296" s="201"/>
      <c r="Z296" s="829" t="str">
        <f t="shared" si="807"/>
        <v/>
      </c>
      <c r="AA296" s="829"/>
      <c r="AB296" s="830" t="str">
        <f>IF(G296=0,"",IF(AD296="free","re-planting",IF(AD296="me","not NVP, by",IF($AD$8="yes",(VLOOKUP(A296,'Discount Lookup'!J:K,2)*G296*(1-$AC$1786)*(1+$AC$1788)),IF(AD296="NVP",(VLOOKUP(A296,'Discount Lookup'!J:K,2)*G296*(1-$AC$1786)*(1+$AC$1788)),IF(AD296="free","re-planting",IF(G296=0,"",IF($AD$8="",IF(AD296="me","not NVP, by",IF(AD296="",IF(G296&gt;0,(VLOOKUP(A296,'Discount Lookup'!J:K,2)*G296*(1-$AC$1786)*(1+$AC$1788)),""),"")),"not NVP, by"))))))))</f>
        <v/>
      </c>
      <c r="AC296" s="830"/>
      <c r="AD296" s="375" t="str">
        <f t="shared" si="666"/>
        <v/>
      </c>
      <c r="AE296" s="833" t="str">
        <f t="shared" ref="AE296:AE357" si="837">IF(G296&gt;0,(CONCATENATE((G296)," quantity, ",(A296)," ",B296)),"")</f>
        <v/>
      </c>
      <c r="AF296" s="833"/>
      <c r="AG296" s="833"/>
      <c r="AH296" s="91">
        <f>IF(AD296="free",0,IF(AD296="me",0,IF(G296&gt;0,(VLOOKUP(A296,'Discount Lookup'!J:K,2)*G296),0)))</f>
        <v>0</v>
      </c>
      <c r="AI296" s="92" t="str">
        <f t="shared" si="710"/>
        <v/>
      </c>
      <c r="AJ296" s="828" t="str">
        <f t="shared" si="809"/>
        <v/>
      </c>
      <c r="AK296" s="828"/>
      <c r="AL296" s="313" t="str">
        <f t="shared" si="751"/>
        <v/>
      </c>
      <c r="AM296" s="312"/>
      <c r="AN296" s="101"/>
      <c r="AO296" s="101"/>
      <c r="AP296" s="101"/>
      <c r="AQ296" s="101"/>
      <c r="AR296" s="101"/>
      <c r="AS296" s="101"/>
      <c r="AT296" s="101"/>
    </row>
    <row r="297" spans="1:46" ht="12.95" customHeight="1">
      <c r="A297" s="419">
        <v>3</v>
      </c>
      <c r="B297" s="87" t="s">
        <v>50</v>
      </c>
      <c r="C297" s="128" t="s">
        <v>1357</v>
      </c>
      <c r="D297" s="129" t="s">
        <v>52</v>
      </c>
      <c r="E297" s="98">
        <v>29.95</v>
      </c>
      <c r="F297" s="705" t="s">
        <v>1306</v>
      </c>
      <c r="G297" s="357">
        <v>0</v>
      </c>
      <c r="H297" s="704" t="str">
        <f t="shared" ref="H297:H301" si="838">IF(G297=0,"",IF(F297="Qty=",IF(G297=1,"plant","plants"),IF(F297&gt;0.0001,"warranty","Error")))</f>
        <v/>
      </c>
      <c r="I297" s="98">
        <f t="shared" ref="I297:I301" si="839">IF(F297="Qty=",(E297*G297),((E297*(1-F297))*G297))</f>
        <v>0</v>
      </c>
      <c r="J297" s="98">
        <f>IF(H297="warranty",0,(I297*($J$1782)))</f>
        <v>0</v>
      </c>
      <c r="K297" s="831">
        <f t="shared" ref="K297:K301" si="840">I297+J297</f>
        <v>0</v>
      </c>
      <c r="L297" s="831"/>
      <c r="M297" s="832" t="str">
        <f>IF($H$1784=0,"",IF(G297=0,"",IF(F297="Qty=",CONCATENATE("$",ROUND(K297*(1-$H$1784),2)," with ",($H$1784*100),"% discount"),CONCATENATE("$",ROUND(K297*(1-$H$1784),2)," with ",(($H$1784*100+F297*100)-($H$1784*100*F297)),IF(F297&gt;0,"% discounts",IF($H$1781&gt;0,"% discounts","% discount"))))))</f>
        <v/>
      </c>
      <c r="N297" s="832"/>
      <c r="O297" s="832"/>
      <c r="P297" s="832"/>
      <c r="Q297" s="832"/>
      <c r="R297" s="832"/>
      <c r="S297" s="303">
        <f t="shared" ref="S297" si="841">E297*G297</f>
        <v>0</v>
      </c>
      <c r="T297" s="541">
        <f>VLOOKUP(A297,'Discount Lookup'!D:E,2,FALSE)*G297</f>
        <v>0</v>
      </c>
      <c r="U297" s="83">
        <f>VLOOKUP(A297,'Discount Lookup'!G:H,2,FALSE)*G297</f>
        <v>0</v>
      </c>
      <c r="V297" s="100">
        <f>E297*($J$1782)*G297</f>
        <v>0</v>
      </c>
      <c r="W297" s="100">
        <f t="shared" ref="W297" si="842">I297</f>
        <v>0</v>
      </c>
      <c r="X297" s="100" t="b">
        <f t="shared" ref="X297:X301" si="843">IF(G297&gt;0,IF(AD297="me","",G297))</f>
        <v>0</v>
      </c>
      <c r="Y297" s="201"/>
      <c r="Z297" s="829" t="str">
        <f t="shared" si="807"/>
        <v/>
      </c>
      <c r="AA297" s="829"/>
      <c r="AB297" s="830" t="str">
        <f>IF(G297=0,"",IF(AD297="free","re-planting",IF(AD297="me","not NVP, by",IF($AD$8="yes",(VLOOKUP(A297,'Discount Lookup'!J:K,2)*G297*(1-$AC$1786)*(1+$AC$1788)),IF(AD297="NVP",(VLOOKUP(A297,'Discount Lookup'!J:K,2)*G297*(1-$AC$1786)*(1+$AC$1788)),IF(AD297="free","re-planting",IF(G297=0,"",IF($AD$8="",IF(AD297="me","not NVP, by",IF(AD297="",IF(G297&gt;0,(VLOOKUP(A297,'Discount Lookup'!J:K,2)*G297*(1-$AC$1786)*(1+$AC$1788)),""),"")),"not NVP, by"))))))))</f>
        <v/>
      </c>
      <c r="AC297" s="830"/>
      <c r="AD297" s="375" t="str">
        <f t="shared" si="666"/>
        <v/>
      </c>
      <c r="AE297" s="833" t="str">
        <f t="shared" si="837"/>
        <v/>
      </c>
      <c r="AF297" s="833"/>
      <c r="AG297" s="833"/>
      <c r="AH297" s="91">
        <f>IF(AD297="free",0,IF(AD297="me",0,IF(G297&gt;0,(VLOOKUP(A297,'Discount Lookup'!J:K,2)*G297),0)))</f>
        <v>0</v>
      </c>
      <c r="AI297" s="92" t="str">
        <f t="shared" si="710"/>
        <v/>
      </c>
      <c r="AJ297" s="828" t="str">
        <f t="shared" si="809"/>
        <v/>
      </c>
      <c r="AK297" s="828"/>
      <c r="AL297" s="313" t="str">
        <f t="shared" si="751"/>
        <v/>
      </c>
      <c r="AM297" s="312"/>
      <c r="AN297" s="101"/>
      <c r="AO297" s="101"/>
      <c r="AP297" s="101"/>
      <c r="AQ297" s="101"/>
      <c r="AR297" s="101"/>
      <c r="AS297" s="101"/>
      <c r="AT297" s="101"/>
    </row>
    <row r="298" spans="1:46" ht="12.95" customHeight="1">
      <c r="A298" s="419">
        <v>7</v>
      </c>
      <c r="B298" s="87" t="s">
        <v>50</v>
      </c>
      <c r="C298" s="128" t="s">
        <v>1468</v>
      </c>
      <c r="D298" s="129" t="s">
        <v>54</v>
      </c>
      <c r="E298" s="98">
        <v>91.95</v>
      </c>
      <c r="F298" s="705" t="s">
        <v>1306</v>
      </c>
      <c r="G298" s="357">
        <v>0</v>
      </c>
      <c r="H298" s="704" t="str">
        <f t="shared" si="838"/>
        <v/>
      </c>
      <c r="I298" s="98">
        <f t="shared" si="839"/>
        <v>0</v>
      </c>
      <c r="J298" s="98">
        <f>IF(H298="warranty",0,(I298*($J$1782)))</f>
        <v>0</v>
      </c>
      <c r="K298" s="831">
        <f t="shared" si="840"/>
        <v>0</v>
      </c>
      <c r="L298" s="831"/>
      <c r="M298" s="832" t="str">
        <f>IF($H$1784=0,"",IF(G298=0,"",IF(F298="Qty=",CONCATENATE("$",ROUND(K298*(1-$H$1784),2)," with ",($H$1784*100),"% discount"),CONCATENATE("$",ROUND(K298*(1-$H$1784),2)," with ",(($H$1784*100+F298*100)-($H$1784*100*F298)),IF(F298&gt;0,"% discounts",IF($H$1781&gt;0,"% discounts","% discount"))))))</f>
        <v/>
      </c>
      <c r="N298" s="832"/>
      <c r="O298" s="832"/>
      <c r="P298" s="832"/>
      <c r="Q298" s="832"/>
      <c r="R298" s="832"/>
      <c r="S298" s="303">
        <f t="shared" ref="S298:S302" si="844">E298*G298</f>
        <v>0</v>
      </c>
      <c r="T298" s="541">
        <f>VLOOKUP(A298,'Discount Lookup'!D:E,2,FALSE)*G298</f>
        <v>0</v>
      </c>
      <c r="U298" s="83">
        <f>VLOOKUP(A298,'Discount Lookup'!G:H,2,FALSE)*G298</f>
        <v>0</v>
      </c>
      <c r="V298" s="100">
        <f>E298*($J$1782)*G298</f>
        <v>0</v>
      </c>
      <c r="W298" s="100">
        <f t="shared" ref="W298" si="845">I298</f>
        <v>0</v>
      </c>
      <c r="X298" s="100" t="b">
        <f t="shared" si="843"/>
        <v>0</v>
      </c>
      <c r="Y298" s="201"/>
      <c r="Z298" s="829" t="str">
        <f t="shared" si="807"/>
        <v/>
      </c>
      <c r="AA298" s="829"/>
      <c r="AB298" s="830" t="str">
        <f>IF(G298=0,"",IF(AD298="free","re-planting",IF(AD298="me","not NVP, by",IF($AD$8="yes",(VLOOKUP(A298,'Discount Lookup'!J:K,2)*G298*(1-$AC$1786)*(1+$AC$1788)),IF(AD298="NVP",(VLOOKUP(A298,'Discount Lookup'!J:K,2)*G298*(1-$AC$1786)*(1+$AC$1788)),IF(AD298="free","re-planting",IF(G298=0,"",IF($AD$8="",IF(AD298="me","not NVP, by",IF(AD298="",IF(G298&gt;0,(VLOOKUP(A298,'Discount Lookup'!J:K,2)*G298*(1-$AC$1786)*(1+$AC$1788)),""),"")),"not NVP, by"))))))))</f>
        <v/>
      </c>
      <c r="AC298" s="830"/>
      <c r="AD298" s="375" t="str">
        <f t="shared" si="666"/>
        <v/>
      </c>
      <c r="AE298" s="833" t="str">
        <f t="shared" si="837"/>
        <v/>
      </c>
      <c r="AF298" s="833"/>
      <c r="AG298" s="833"/>
      <c r="AH298" s="91">
        <f>IF(AD298="free",0,IF(AD298="me",0,IF(G298&gt;0,(VLOOKUP(A298,'Discount Lookup'!J:K,2)*G298),0)))</f>
        <v>0</v>
      </c>
      <c r="AI298" s="92" t="str">
        <f t="shared" si="710"/>
        <v/>
      </c>
      <c r="AJ298" s="828" t="str">
        <f t="shared" si="809"/>
        <v/>
      </c>
      <c r="AK298" s="828"/>
      <c r="AL298" s="313" t="str">
        <f t="shared" si="751"/>
        <v/>
      </c>
      <c r="AM298" s="312"/>
      <c r="AN298" s="101"/>
      <c r="AO298" s="101"/>
      <c r="AP298" s="101"/>
      <c r="AQ298" s="101"/>
      <c r="AR298" s="101"/>
      <c r="AS298" s="101"/>
      <c r="AT298" s="101"/>
    </row>
    <row r="299" spans="1:46" ht="12.95" customHeight="1">
      <c r="A299" s="419">
        <v>7</v>
      </c>
      <c r="B299" s="87" t="s">
        <v>50</v>
      </c>
      <c r="C299" s="128" t="s">
        <v>88</v>
      </c>
      <c r="D299" s="129" t="s">
        <v>63</v>
      </c>
      <c r="E299" s="98">
        <v>79.95</v>
      </c>
      <c r="F299" s="705" t="s">
        <v>1306</v>
      </c>
      <c r="G299" s="357">
        <v>0</v>
      </c>
      <c r="H299" s="704" t="str">
        <f t="shared" si="838"/>
        <v/>
      </c>
      <c r="I299" s="98">
        <f t="shared" si="839"/>
        <v>0</v>
      </c>
      <c r="J299" s="98">
        <f>IF(H299="warranty",0,(I299*($J$1782)))</f>
        <v>0</v>
      </c>
      <c r="K299" s="831">
        <f t="shared" si="840"/>
        <v>0</v>
      </c>
      <c r="L299" s="831"/>
      <c r="M299" s="832" t="str">
        <f>IF($H$1784=0,"",IF(G299=0,"",IF(F299="Qty=",CONCATENATE("$",ROUND(K299*(1-$H$1784),2)," with ",($H$1784*100),"% discount"),CONCATENATE("$",ROUND(K299*(1-$H$1784),2)," with ",(($H$1784*100+F299*100)-($H$1784*100*F299)),IF(F299&gt;0,"% discounts",IF($H$1781&gt;0,"% discounts","% discount"))))))</f>
        <v/>
      </c>
      <c r="N299" s="832"/>
      <c r="O299" s="832"/>
      <c r="P299" s="832"/>
      <c r="Q299" s="832"/>
      <c r="R299" s="832"/>
      <c r="S299" s="303">
        <f t="shared" ref="S299" si="846">E299*G299</f>
        <v>0</v>
      </c>
      <c r="T299" s="541">
        <f>VLOOKUP(A299,'Discount Lookup'!D:E,2,FALSE)*G299</f>
        <v>0</v>
      </c>
      <c r="U299" s="83">
        <f>VLOOKUP(A299,'Discount Lookup'!G:H,2,FALSE)*G299</f>
        <v>0</v>
      </c>
      <c r="V299" s="100">
        <f>E299*($J$1782)*G299</f>
        <v>0</v>
      </c>
      <c r="W299" s="100">
        <f t="shared" ref="W299" si="847">I299</f>
        <v>0</v>
      </c>
      <c r="X299" s="100" t="b">
        <f t="shared" si="843"/>
        <v>0</v>
      </c>
      <c r="Y299" s="201"/>
      <c r="Z299" s="829" t="str">
        <f t="shared" si="807"/>
        <v/>
      </c>
      <c r="AA299" s="829"/>
      <c r="AB299" s="830" t="str">
        <f>IF(G299=0,"",IF(AD299="free","re-planting",IF(AD299="me","not NVP, by",IF($AD$8="yes",(VLOOKUP(A299,'Discount Lookup'!J:K,2)*G299*(1-$AC$1786)*(1+$AC$1788)),IF(AD299="NVP",(VLOOKUP(A299,'Discount Lookup'!J:K,2)*G299*(1-$AC$1786)*(1+$AC$1788)),IF(AD299="free","re-planting",IF(G299=0,"",IF($AD$8="",IF(AD299="me","not NVP, by",IF(AD299="",IF(G299&gt;0,(VLOOKUP(A299,'Discount Lookup'!J:K,2)*G299*(1-$AC$1786)*(1+$AC$1788)),""),"")),"not NVP, by"))))))))</f>
        <v/>
      </c>
      <c r="AC299" s="830"/>
      <c r="AD299" s="375" t="str">
        <f t="shared" si="666"/>
        <v/>
      </c>
      <c r="AE299" s="833" t="str">
        <f t="shared" ref="AE299" si="848">IF(G299&gt;0,(CONCATENATE((G299)," quantity, ",(A299)," ",B299)),"")</f>
        <v/>
      </c>
      <c r="AF299" s="833"/>
      <c r="AG299" s="833"/>
      <c r="AH299" s="91">
        <f>IF(AD299="free",0,IF(AD299="me",0,IF(G299&gt;0,(VLOOKUP(A299,'Discount Lookup'!J:K,2)*G299),0)))</f>
        <v>0</v>
      </c>
      <c r="AI299" s="92" t="str">
        <f t="shared" si="710"/>
        <v/>
      </c>
      <c r="AJ299" s="828" t="str">
        <f t="shared" si="809"/>
        <v/>
      </c>
      <c r="AK299" s="828"/>
      <c r="AL299" s="313" t="str">
        <f t="shared" si="751"/>
        <v/>
      </c>
      <c r="AM299" s="312"/>
      <c r="AN299" s="101"/>
      <c r="AO299" s="101"/>
      <c r="AP299" s="101"/>
      <c r="AQ299" s="101"/>
      <c r="AR299" s="101"/>
      <c r="AS299" s="101"/>
      <c r="AT299" s="101"/>
    </row>
    <row r="300" spans="1:46" ht="12.95" customHeight="1">
      <c r="A300" s="419">
        <v>15</v>
      </c>
      <c r="B300" s="87" t="s">
        <v>50</v>
      </c>
      <c r="C300" s="128" t="s">
        <v>1276</v>
      </c>
      <c r="D300" s="129" t="s">
        <v>54</v>
      </c>
      <c r="E300" s="98">
        <v>173.95</v>
      </c>
      <c r="F300" s="705" t="s">
        <v>1306</v>
      </c>
      <c r="G300" s="357">
        <v>0</v>
      </c>
      <c r="H300" s="704" t="str">
        <f t="shared" ref="H300" si="849">IF(G300=0,"",IF(F300="Qty=",IF(G300=1,"plant","plants"),IF(F300&gt;0.0001,"warranty","Error")))</f>
        <v/>
      </c>
      <c r="I300" s="98">
        <f t="shared" ref="I300" si="850">IF(F300="Qty=",(E300*G300),((E300*(1-F300))*G300))</f>
        <v>0</v>
      </c>
      <c r="J300" s="98">
        <f>IF(H300="warranty",0,(I300*($J$1782)))</f>
        <v>0</v>
      </c>
      <c r="K300" s="831">
        <f t="shared" ref="K300" si="851">I300+J300</f>
        <v>0</v>
      </c>
      <c r="L300" s="831"/>
      <c r="M300" s="832" t="str">
        <f>IF($H$1784=0,"",IF(G300=0,"",IF(F300="Qty=",CONCATENATE("$",ROUND(K300*(1-$H$1784),2)," with ",($H$1784*100),"% discount"),CONCATENATE("$",ROUND(K300*(1-$H$1784),2)," with ",(($H$1784*100+F300*100)-($H$1784*100*F300)),IF(F300&gt;0,"% discounts",IF($H$1781&gt;0,"% discounts","% discount"))))))</f>
        <v/>
      </c>
      <c r="N300" s="832"/>
      <c r="O300" s="832"/>
      <c r="P300" s="832"/>
      <c r="Q300" s="832"/>
      <c r="R300" s="832"/>
      <c r="S300" s="303">
        <f t="shared" ref="S300" si="852">E300*G300</f>
        <v>0</v>
      </c>
      <c r="T300" s="541">
        <f>VLOOKUP(A300,'Discount Lookup'!D:E,2,FALSE)*G300</f>
        <v>0</v>
      </c>
      <c r="U300" s="83">
        <f>VLOOKUP(A300,'Discount Lookup'!G:H,2,FALSE)*G300</f>
        <v>0</v>
      </c>
      <c r="V300" s="100">
        <f>E300*($J$1782)*G300</f>
        <v>0</v>
      </c>
      <c r="W300" s="100">
        <f t="shared" ref="W300" si="853">I300</f>
        <v>0</v>
      </c>
      <c r="X300" s="100" t="b">
        <f t="shared" ref="X300" si="854">IF(G300&gt;0,IF(AD300="me","",G300))</f>
        <v>0</v>
      </c>
      <c r="Y300" s="201"/>
      <c r="Z300" s="829" t="str">
        <f t="shared" ref="Z300" si="855">IF(G300=0,"",IF(AD300="me","",IF($AD$8="me","",IF(AD300="free","warranty",IF($AD$8="yes","NVP planting:","to NVP install:")))))</f>
        <v/>
      </c>
      <c r="AA300" s="829"/>
      <c r="AB300" s="830" t="str">
        <f>IF(G300=0,"",IF(AD300="free","re-planting",IF(AD300="me","not NVP, by",IF($AD$8="yes",(VLOOKUP(A300,'Discount Lookup'!J:K,2)*G300*(1-$AC$1786)*(1+$AC$1788)),IF(AD300="NVP",(VLOOKUP(A300,'Discount Lookup'!J:K,2)*G300*(1-$AC$1786)*(1+$AC$1788)),IF(AD300="free","re-planting",IF(G300=0,"",IF($AD$8="",IF(AD300="me","not NVP, by",IF(AD300="",IF(G300&gt;0,(VLOOKUP(A300,'Discount Lookup'!J:K,2)*G300*(1-$AC$1786)*(1+$AC$1788)),""),"")),"not NVP, by"))))))))</f>
        <v/>
      </c>
      <c r="AC300" s="830"/>
      <c r="AD300" s="375" t="str">
        <f t="shared" ref="AD300" si="856">IF(G300=0,"",IF($AD$8="me","me",IF(H300="warranty","free",IF($AD$8="yes","NVP",""))))</f>
        <v/>
      </c>
      <c r="AE300" s="833" t="str">
        <f t="shared" ref="AE300" si="857">IF(G300&gt;0,(CONCATENATE((G300)," quantity, ",(A300)," ",B300)),"")</f>
        <v/>
      </c>
      <c r="AF300" s="833"/>
      <c r="AG300" s="833"/>
      <c r="AH300" s="91">
        <f>IF(AD300="free",0,IF(AD300="me",0,IF(G300&gt;0,(VLOOKUP(A300,'Discount Lookup'!J:K,2)*G300),0)))</f>
        <v>0</v>
      </c>
      <c r="AI300" s="92" t="str">
        <f t="shared" si="710"/>
        <v/>
      </c>
      <c r="AJ300" s="828" t="str">
        <f t="shared" ref="AJ300" si="858">IF(G300=0,"",IF(AD300="me","  delivery-only",IF($AD$8="me","  delivery-only",CONCATENATE(" $",ROUND(AI300/G300,2)," each"))))</f>
        <v/>
      </c>
      <c r="AK300" s="828"/>
      <c r="AL300" s="313" t="str">
        <f t="shared" si="751"/>
        <v/>
      </c>
      <c r="AM300" s="312"/>
      <c r="AN300" s="101"/>
      <c r="AO300" s="101"/>
      <c r="AP300" s="101"/>
      <c r="AQ300" s="101"/>
      <c r="AR300" s="101"/>
      <c r="AS300" s="101"/>
      <c r="AT300" s="101"/>
    </row>
    <row r="301" spans="1:46" ht="12.95" customHeight="1">
      <c r="A301" s="419">
        <v>15</v>
      </c>
      <c r="B301" s="87" t="s">
        <v>50</v>
      </c>
      <c r="C301" s="128" t="s">
        <v>53</v>
      </c>
      <c r="D301" s="129" t="s">
        <v>90</v>
      </c>
      <c r="E301" s="98">
        <v>260.95</v>
      </c>
      <c r="F301" s="705" t="s">
        <v>1306</v>
      </c>
      <c r="G301" s="357">
        <v>0</v>
      </c>
      <c r="H301" s="704" t="str">
        <f t="shared" si="838"/>
        <v/>
      </c>
      <c r="I301" s="98">
        <f t="shared" si="839"/>
        <v>0</v>
      </c>
      <c r="J301" s="98">
        <f>IF(H301="warranty",0,(I301*($J$1782)))</f>
        <v>0</v>
      </c>
      <c r="K301" s="831">
        <f t="shared" si="840"/>
        <v>0</v>
      </c>
      <c r="L301" s="831"/>
      <c r="M301" s="832" t="str">
        <f>IF($H$1784=0,"",IF(G301=0,"",IF(F301="Qty=",CONCATENATE("$",ROUND(K301*(1-$H$1784),2)," with ",($H$1784*100),"% discount"),CONCATENATE("$",ROUND(K301*(1-$H$1784),2)," with ",(($H$1784*100+F301*100)-($H$1784*100*F301)),IF(F301&gt;0,"% discounts",IF($H$1781&gt;0,"% discounts","% discount"))))))</f>
        <v/>
      </c>
      <c r="N301" s="832"/>
      <c r="O301" s="832"/>
      <c r="P301" s="832"/>
      <c r="Q301" s="832"/>
      <c r="R301" s="832"/>
      <c r="S301" s="303">
        <f t="shared" ref="S301" si="859">E301*G301</f>
        <v>0</v>
      </c>
      <c r="T301" s="541">
        <f>VLOOKUP(A301,'Discount Lookup'!D:E,2,FALSE)*G301</f>
        <v>0</v>
      </c>
      <c r="U301" s="83">
        <f>VLOOKUP(A301,'Discount Lookup'!G:H,2,FALSE)*G301</f>
        <v>0</v>
      </c>
      <c r="V301" s="100">
        <f>E301*($J$1782)*G301</f>
        <v>0</v>
      </c>
      <c r="W301" s="100">
        <f t="shared" ref="W301" si="860">I301</f>
        <v>0</v>
      </c>
      <c r="X301" s="100" t="b">
        <f t="shared" si="843"/>
        <v>0</v>
      </c>
      <c r="Y301" s="201"/>
      <c r="Z301" s="829" t="str">
        <f t="shared" si="807"/>
        <v/>
      </c>
      <c r="AA301" s="829"/>
      <c r="AB301" s="830" t="str">
        <f>IF(G301=0,"",IF(AD301="free","re-planting",IF(AD301="me","not NVP, by",IF($AD$8="yes",(VLOOKUP(A301,'Discount Lookup'!J:K,2)*G301*(1-$AC$1786)*(1+$AC$1788)),IF(AD301="NVP",(VLOOKUP(A301,'Discount Lookup'!J:K,2)*G301*(1-$AC$1786)*(1+$AC$1788)),IF(AD301="free","re-planting",IF(G301=0,"",IF($AD$8="",IF(AD301="me","not NVP, by",IF(AD301="",IF(G301&gt;0,(VLOOKUP(A301,'Discount Lookup'!J:K,2)*G301*(1-$AC$1786)*(1+$AC$1788)),""),"")),"not NVP, by"))))))))</f>
        <v/>
      </c>
      <c r="AC301" s="830"/>
      <c r="AD301" s="375" t="str">
        <f t="shared" si="666"/>
        <v/>
      </c>
      <c r="AE301" s="833" t="str">
        <f t="shared" si="837"/>
        <v/>
      </c>
      <c r="AF301" s="833"/>
      <c r="AG301" s="833"/>
      <c r="AH301" s="91">
        <f>IF(AD301="free",0,IF(AD301="me",0,IF(G301&gt;0,(VLOOKUP(A301,'Discount Lookup'!J:K,2)*G301),0)))</f>
        <v>0</v>
      </c>
      <c r="AI301" s="92" t="str">
        <f t="shared" si="710"/>
        <v/>
      </c>
      <c r="AJ301" s="828" t="str">
        <f t="shared" si="809"/>
        <v/>
      </c>
      <c r="AK301" s="828"/>
      <c r="AL301" s="313" t="str">
        <f t="shared" si="751"/>
        <v/>
      </c>
      <c r="AM301" s="312"/>
      <c r="AN301" s="101"/>
      <c r="AO301" s="101"/>
      <c r="AP301" s="101"/>
      <c r="AQ301" s="101"/>
      <c r="AR301" s="101"/>
      <c r="AS301" s="101"/>
      <c r="AT301" s="101"/>
    </row>
    <row r="302" spans="1:46" ht="12.95" customHeight="1">
      <c r="A302" s="465"/>
      <c r="B302" s="103" t="s">
        <v>248</v>
      </c>
      <c r="H302" s="363"/>
      <c r="N302" s="163" t="s">
        <v>132</v>
      </c>
      <c r="O302" s="111"/>
      <c r="P302" s="111"/>
      <c r="Q302" s="111"/>
      <c r="R302" s="111"/>
      <c r="S302" s="82">
        <f t="shared" si="844"/>
        <v>0</v>
      </c>
      <c r="T302" s="540"/>
      <c r="U302" s="83"/>
      <c r="V302" s="100" t="b">
        <f>IF(G302&gt;0,IF(AD302="me","",G302))</f>
        <v>0</v>
      </c>
      <c r="W302" s="100"/>
      <c r="X302" s="100"/>
      <c r="Y302" s="201"/>
      <c r="Z302" s="829" t="str">
        <f t="shared" si="807"/>
        <v/>
      </c>
      <c r="AA302" s="829"/>
      <c r="AB302" s="830" t="str">
        <f>IF(G302=0,"",IF(AD302="free","re-planting",IF(AD302="me","not NVP, by",IF($AD$8="yes",(VLOOKUP(A302,'Discount Lookup'!J:K,2)*G302*(1-$AC$1786)*(1+$AC$1788)),IF(AD302="NVP",(VLOOKUP(A302,'Discount Lookup'!J:K,2)*G302*(1-$AC$1786)*(1+$AC$1788)),IF(AD302="free","re-planting",IF(G302=0,"",IF($AD$8="",IF(AD302="me","not NVP, by",IF(AD302="",IF(G302&gt;0,(VLOOKUP(A302,'Discount Lookup'!J:K,2)*G302*(1-$AC$1786)*(1+$AC$1788)),""),"")),"not NVP, by"))))))))</f>
        <v/>
      </c>
      <c r="AC302" s="830"/>
      <c r="AD302" s="375" t="str">
        <f t="shared" ref="AD302:AD360" si="861">IF(G302=0,"",IF($AD$8="me","me",IF(H302="warranty","free",IF($AD$8="yes","NVP",""))))</f>
        <v/>
      </c>
      <c r="AE302" s="833" t="str">
        <f t="shared" si="837"/>
        <v/>
      </c>
      <c r="AF302" s="833"/>
      <c r="AG302" s="833"/>
      <c r="AH302" s="91">
        <f>IF(AD302="free",0,IF(AD302="me",0,IF(G302&gt;0,(VLOOKUP(A302,'Discount Lookup'!J:K,2)*G302),0)))</f>
        <v>0</v>
      </c>
      <c r="AI302" s="92" t="str">
        <f t="shared" si="710"/>
        <v/>
      </c>
      <c r="AJ302" s="828" t="str">
        <f t="shared" si="809"/>
        <v/>
      </c>
      <c r="AK302" s="828"/>
      <c r="AL302" s="313" t="str">
        <f t="shared" si="751"/>
        <v/>
      </c>
      <c r="AM302" s="312"/>
      <c r="AN302" s="101"/>
      <c r="AO302" s="101"/>
      <c r="AP302" s="101"/>
      <c r="AQ302" s="101"/>
      <c r="AR302" s="101"/>
      <c r="AS302" s="101"/>
      <c r="AT302" s="101"/>
    </row>
    <row r="303" spans="1:46" ht="12.95" customHeight="1">
      <c r="A303" s="847" t="s">
        <v>249</v>
      </c>
      <c r="B303" s="848"/>
      <c r="C303" s="848"/>
      <c r="D303" s="848"/>
      <c r="E303" s="848"/>
      <c r="F303" s="848"/>
      <c r="G303" s="848"/>
      <c r="H303" s="770" t="s">
        <v>250</v>
      </c>
      <c r="I303" s="88" t="s">
        <v>79</v>
      </c>
      <c r="J303" s="86"/>
      <c r="K303" s="600" t="s">
        <v>45</v>
      </c>
      <c r="L303" s="601" t="s">
        <v>46</v>
      </c>
      <c r="M303" s="86"/>
      <c r="N303" s="87" t="s">
        <v>157</v>
      </c>
      <c r="O303" s="87"/>
      <c r="P303" s="87"/>
      <c r="Q303" s="87"/>
      <c r="R303" s="835" t="s">
        <v>49</v>
      </c>
      <c r="S303" s="835"/>
      <c r="T303" s="835"/>
      <c r="U303" s="835"/>
      <c r="V303" s="100" t="b">
        <f>IF(G303&gt;0,IF(AD303="me","",G303))</f>
        <v>0</v>
      </c>
      <c r="W303" s="100"/>
      <c r="X303" s="100"/>
      <c r="Y303" s="201"/>
      <c r="Z303" s="829" t="str">
        <f t="shared" si="807"/>
        <v/>
      </c>
      <c r="AA303" s="829"/>
      <c r="AB303" s="830" t="str">
        <f>IF(G303=0,"",IF(AD303="free","re-planting",IF(AD303="me","not NVP, by",IF($AD$8="yes",(VLOOKUP(A303,'Discount Lookup'!J:K,2)*G303*(1-$AC$1786)*(1+$AC$1788)),IF(AD303="NVP",(VLOOKUP(A303,'Discount Lookup'!J:K,2)*G303*(1-$AC$1786)*(1+$AC$1788)),IF(AD303="free","re-planting",IF(G303=0,"",IF($AD$8="",IF(AD303="me","not NVP, by",IF(AD303="",IF(G303&gt;0,(VLOOKUP(A303,'Discount Lookup'!J:K,2)*G303*(1-$AC$1786)*(1+$AC$1788)),""),"")),"not NVP, by"))))))))</f>
        <v/>
      </c>
      <c r="AC303" s="830"/>
      <c r="AD303" s="375" t="str">
        <f t="shared" si="861"/>
        <v/>
      </c>
      <c r="AE303" s="833" t="str">
        <f t="shared" si="837"/>
        <v/>
      </c>
      <c r="AF303" s="833"/>
      <c r="AG303" s="833"/>
      <c r="AH303" s="91">
        <f>IF(AD303="free",0,IF(AD303="me",0,IF(G303&gt;0,(VLOOKUP(A303,'Discount Lookup'!J:K,2)*G303),0)))</f>
        <v>0</v>
      </c>
      <c r="AI303" s="92" t="str">
        <f t="shared" si="710"/>
        <v/>
      </c>
      <c r="AJ303" s="828" t="str">
        <f t="shared" si="809"/>
        <v/>
      </c>
      <c r="AK303" s="828"/>
      <c r="AL303" s="313" t="str">
        <f t="shared" si="751"/>
        <v/>
      </c>
      <c r="AM303" s="312"/>
      <c r="AN303" s="101"/>
      <c r="AO303" s="101"/>
      <c r="AP303" s="101"/>
      <c r="AQ303" s="101"/>
      <c r="AR303" s="101"/>
      <c r="AS303" s="101"/>
      <c r="AT303" s="101"/>
    </row>
    <row r="304" spans="1:46" ht="12.95" customHeight="1">
      <c r="A304" s="419">
        <v>3</v>
      </c>
      <c r="B304" s="87" t="s">
        <v>50</v>
      </c>
      <c r="C304" s="128" t="s">
        <v>1646</v>
      </c>
      <c r="D304" s="129" t="s">
        <v>86</v>
      </c>
      <c r="E304" s="98">
        <v>27.95</v>
      </c>
      <c r="F304" s="705" t="s">
        <v>1306</v>
      </c>
      <c r="G304" s="357">
        <v>0</v>
      </c>
      <c r="H304" s="704" t="str">
        <f t="shared" ref="H304:H305" si="862">IF(G304=0,"",IF(F304="Qty=",IF(G304=1,"plant","plants"),IF(F304&gt;0.0001,"warranty","Error")))</f>
        <v/>
      </c>
      <c r="I304" s="98">
        <f t="shared" ref="I304:I305" si="863">IF(F304="Qty=",(E304*G304),((E304*(1-F304))*G304))</f>
        <v>0</v>
      </c>
      <c r="J304" s="98">
        <f>IF(H304="warranty",0,(I304*($J$1782)))</f>
        <v>0</v>
      </c>
      <c r="K304" s="831">
        <f t="shared" ref="K304:K305" si="864">I304+J304</f>
        <v>0</v>
      </c>
      <c r="L304" s="831"/>
      <c r="M304" s="832" t="str">
        <f>IF($H$1784=0,"",IF(G304=0,"",IF(F304="Qty=",CONCATENATE("$",ROUND(K304*(1-$H$1784),2)," with ",($H$1784*100),"% discount"),CONCATENATE("$",ROUND(K304*(1-$H$1784),2)," with ",(($H$1784*100+F304*100)-($H$1784*100*F304)),IF(F304&gt;0,"% discounts",IF($H$1781&gt;0,"% discounts","% discount"))))))</f>
        <v/>
      </c>
      <c r="N304" s="832"/>
      <c r="O304" s="832"/>
      <c r="P304" s="832"/>
      <c r="Q304" s="832"/>
      <c r="R304" s="832"/>
      <c r="S304" s="303">
        <f t="shared" ref="S304" si="865">E304*G304</f>
        <v>0</v>
      </c>
      <c r="T304" s="541">
        <f>VLOOKUP(A304,'Discount Lookup'!D:E,2,FALSE)*G304</f>
        <v>0</v>
      </c>
      <c r="U304" s="83">
        <f>VLOOKUP(A304,'Discount Lookup'!G:H,2,FALSE)*G304</f>
        <v>0</v>
      </c>
      <c r="V304" s="100">
        <f>E304*($J$1782)*G304</f>
        <v>0</v>
      </c>
      <c r="W304" s="100">
        <f t="shared" ref="W304" si="866">I304</f>
        <v>0</v>
      </c>
      <c r="X304" s="100" t="b">
        <f>IF(G304&gt;0,IF(AD304="me","",G304))</f>
        <v>0</v>
      </c>
      <c r="Y304" s="201"/>
      <c r="Z304" s="829" t="str">
        <f t="shared" si="807"/>
        <v/>
      </c>
      <c r="AA304" s="829"/>
      <c r="AB304" s="830" t="str">
        <f>IF(G304=0,"",IF(AD304="free","re-planting",IF(AD304="me","not NVP, by",IF($AD$8="yes",(VLOOKUP(A304,'Discount Lookup'!J:K,2)*G304*(1-$AC$1786)*(1+$AC$1788)),IF(AD304="NVP",(VLOOKUP(A304,'Discount Lookup'!J:K,2)*G304*(1-$AC$1786)*(1+$AC$1788)),IF(AD304="free","re-planting",IF(G304=0,"",IF($AD$8="",IF(AD304="me","not NVP, by",IF(AD304="",IF(G304&gt;0,(VLOOKUP(A304,'Discount Lookup'!J:K,2)*G304*(1-$AC$1786)*(1+$AC$1788)),""),"")),"not NVP, by"))))))))</f>
        <v/>
      </c>
      <c r="AC304" s="830"/>
      <c r="AD304" s="375" t="str">
        <f t="shared" si="861"/>
        <v/>
      </c>
      <c r="AE304" s="833" t="str">
        <f t="shared" si="837"/>
        <v/>
      </c>
      <c r="AF304" s="833"/>
      <c r="AG304" s="833"/>
      <c r="AH304" s="91">
        <f>IF(AD304="free",0,IF(AD304="me",0,IF(G304&gt;0,(VLOOKUP(A304,'Discount Lookup'!J:K,2)*G304),0)))</f>
        <v>0</v>
      </c>
      <c r="AI304" s="92" t="str">
        <f t="shared" si="710"/>
        <v/>
      </c>
      <c r="AJ304" s="828" t="str">
        <f t="shared" si="809"/>
        <v/>
      </c>
      <c r="AK304" s="828"/>
      <c r="AL304" s="313" t="str">
        <f t="shared" si="751"/>
        <v/>
      </c>
      <c r="AM304" s="312"/>
      <c r="AN304" s="101"/>
      <c r="AO304" s="101"/>
      <c r="AP304" s="101"/>
      <c r="AQ304" s="101"/>
      <c r="AR304" s="101"/>
      <c r="AS304" s="101"/>
      <c r="AT304" s="101"/>
    </row>
    <row r="305" spans="1:46" ht="12.95" customHeight="1">
      <c r="A305" s="419">
        <v>7</v>
      </c>
      <c r="B305" s="87" t="s">
        <v>50</v>
      </c>
      <c r="C305" s="128" t="s">
        <v>223</v>
      </c>
      <c r="D305" s="129" t="s">
        <v>54</v>
      </c>
      <c r="E305" s="98">
        <v>102.95</v>
      </c>
      <c r="F305" s="705" t="s">
        <v>1306</v>
      </c>
      <c r="G305" s="357">
        <v>0</v>
      </c>
      <c r="H305" s="704" t="str">
        <f t="shared" si="862"/>
        <v/>
      </c>
      <c r="I305" s="98">
        <f t="shared" si="863"/>
        <v>0</v>
      </c>
      <c r="J305" s="98">
        <f>IF(H305="warranty",0,(I305*($J$1782)))</f>
        <v>0</v>
      </c>
      <c r="K305" s="831">
        <f t="shared" si="864"/>
        <v>0</v>
      </c>
      <c r="L305" s="831"/>
      <c r="M305" s="832" t="str">
        <f>IF($H$1784=0,"",IF(G305=0,"",IF(F305="Qty=",CONCATENATE("$",ROUND(K305*(1-$H$1784),2)," with ",($H$1784*100),"% discount"),CONCATENATE("$",ROUND(K305*(1-$H$1784),2)," with ",(($H$1784*100+F305*100)-($H$1784*100*F305)),IF(F305&gt;0,"% discounts",IF($H$1781&gt;0,"% discounts","% discount"))))))</f>
        <v/>
      </c>
      <c r="N305" s="832"/>
      <c r="O305" s="832"/>
      <c r="P305" s="832"/>
      <c r="Q305" s="832"/>
      <c r="R305" s="832"/>
      <c r="S305" s="303">
        <f t="shared" ref="S305" si="867">E305*G305</f>
        <v>0</v>
      </c>
      <c r="T305" s="541">
        <f>VLOOKUP(A305,'Discount Lookup'!D:E,2,FALSE)*G305</f>
        <v>0</v>
      </c>
      <c r="U305" s="83">
        <f>VLOOKUP(A305,'Discount Lookup'!G:H,2,FALSE)*G305</f>
        <v>0</v>
      </c>
      <c r="V305" s="100">
        <f>E305*($J$1782)*G305</f>
        <v>0</v>
      </c>
      <c r="W305" s="100">
        <f t="shared" ref="W305" si="868">I305</f>
        <v>0</v>
      </c>
      <c r="X305" s="100" t="b">
        <f>IF(G305&gt;0,IF(AD305="me","",G305))</f>
        <v>0</v>
      </c>
      <c r="Y305" s="201"/>
      <c r="Z305" s="829" t="str">
        <f t="shared" si="807"/>
        <v/>
      </c>
      <c r="AA305" s="829"/>
      <c r="AB305" s="830" t="str">
        <f>IF(G305=0,"",IF(AD305="free","re-planting",IF(AD305="me","not NVP, by",IF($AD$8="yes",(VLOOKUP(A305,'Discount Lookup'!J:K,2)*G305*(1-$AC$1786)*(1+$AC$1788)),IF(AD305="NVP",(VLOOKUP(A305,'Discount Lookup'!J:K,2)*G305*(1-$AC$1786)*(1+$AC$1788)),IF(AD305="free","re-planting",IF(G305=0,"",IF($AD$8="",IF(AD305="me","not NVP, by",IF(AD305="",IF(G305&gt;0,(VLOOKUP(A305,'Discount Lookup'!J:K,2)*G305*(1-$AC$1786)*(1+$AC$1788)),""),"")),"not NVP, by"))))))))</f>
        <v/>
      </c>
      <c r="AC305" s="830"/>
      <c r="AD305" s="375" t="str">
        <f t="shared" si="861"/>
        <v/>
      </c>
      <c r="AE305" s="833" t="str">
        <f t="shared" ref="AE305" si="869">IF(G305&gt;0,(CONCATENATE((G305)," quantity, ",(A305)," ",B305)),"")</f>
        <v/>
      </c>
      <c r="AF305" s="833"/>
      <c r="AG305" s="833"/>
      <c r="AH305" s="91">
        <f>IF(AD305="free",0,IF(AD305="me",0,IF(G305&gt;0,(VLOOKUP(A305,'Discount Lookup'!J:K,2)*G305),0)))</f>
        <v>0</v>
      </c>
      <c r="AI305" s="92" t="str">
        <f t="shared" si="710"/>
        <v/>
      </c>
      <c r="AJ305" s="828" t="str">
        <f t="shared" si="809"/>
        <v/>
      </c>
      <c r="AK305" s="828"/>
      <c r="AL305" s="313" t="str">
        <f t="shared" si="751"/>
        <v/>
      </c>
      <c r="AM305" s="312"/>
      <c r="AN305" s="101"/>
      <c r="AO305" s="101"/>
      <c r="AP305" s="101"/>
      <c r="AQ305" s="101"/>
      <c r="AR305" s="101"/>
      <c r="AS305" s="101"/>
      <c r="AT305" s="101"/>
    </row>
    <row r="306" spans="1:46" ht="12.95" customHeight="1">
      <c r="A306" s="465"/>
      <c r="B306" s="150" t="s">
        <v>251</v>
      </c>
      <c r="C306" s="104"/>
      <c r="D306" s="104"/>
      <c r="E306" s="131"/>
      <c r="F306" s="710"/>
      <c r="G306" s="358"/>
      <c r="H306" s="744"/>
      <c r="I306" s="131"/>
      <c r="J306" s="131"/>
      <c r="K306" s="608"/>
      <c r="L306" s="608"/>
      <c r="M306" s="121"/>
      <c r="N306" s="121"/>
      <c r="O306" s="123"/>
      <c r="P306" s="124"/>
      <c r="Q306" s="124"/>
      <c r="R306" s="83"/>
      <c r="S306" s="82">
        <f>E306*G306</f>
        <v>0</v>
      </c>
      <c r="T306" s="540"/>
      <c r="U306" s="83"/>
      <c r="V306" s="100" t="b">
        <f>IF(G306&gt;0,IF(AD306="me","",G306))</f>
        <v>0</v>
      </c>
      <c r="W306" s="100"/>
      <c r="X306" s="100"/>
      <c r="Y306" s="201"/>
      <c r="Z306" s="829" t="str">
        <f t="shared" si="807"/>
        <v/>
      </c>
      <c r="AA306" s="829"/>
      <c r="AB306" s="830" t="str">
        <f>IF(G306=0,"",IF(AD306="free","re-planting",IF(AD306="me","not NVP, by",IF($AD$8="yes",(VLOOKUP(A306,'Discount Lookup'!J:K,2)*G306*(1-$AC$1786)*(1+$AC$1788)),IF(AD306="NVP",(VLOOKUP(A306,'Discount Lookup'!J:K,2)*G306*(1-$AC$1786)*(1+$AC$1788)),IF(AD306="free","re-planting",IF(G306=0,"",IF($AD$8="",IF(AD306="me","not NVP, by",IF(AD306="",IF(G306&gt;0,(VLOOKUP(A306,'Discount Lookup'!J:K,2)*G306*(1-$AC$1786)*(1+$AC$1788)),""),"")),"not NVP, by"))))))))</f>
        <v/>
      </c>
      <c r="AC306" s="830"/>
      <c r="AD306" s="375" t="str">
        <f t="shared" si="861"/>
        <v/>
      </c>
      <c r="AE306" s="833" t="str">
        <f t="shared" si="837"/>
        <v/>
      </c>
      <c r="AF306" s="833"/>
      <c r="AG306" s="833"/>
      <c r="AH306" s="91">
        <f>IF(AD306="free",0,IF(AD306="me",0,IF(G306&gt;0,(VLOOKUP(A306,'Discount Lookup'!J:K,2)*G306),0)))</f>
        <v>0</v>
      </c>
      <c r="AI306" s="92" t="str">
        <f t="shared" si="710"/>
        <v/>
      </c>
      <c r="AJ306" s="828" t="str">
        <f t="shared" si="809"/>
        <v/>
      </c>
      <c r="AK306" s="828"/>
      <c r="AL306" s="313" t="str">
        <f t="shared" si="751"/>
        <v/>
      </c>
      <c r="AM306" s="312"/>
      <c r="AN306" s="101"/>
      <c r="AO306" s="101"/>
      <c r="AP306" s="101"/>
      <c r="AQ306" s="101"/>
      <c r="AR306" s="101"/>
      <c r="AS306" s="101"/>
      <c r="AT306" s="101"/>
    </row>
    <row r="307" spans="1:46" ht="12.95" customHeight="1">
      <c r="A307" s="852" t="s">
        <v>252</v>
      </c>
      <c r="B307" s="844"/>
      <c r="C307" s="844"/>
      <c r="D307" s="844"/>
      <c r="E307" s="844"/>
      <c r="F307" s="844"/>
      <c r="G307" s="844"/>
      <c r="H307" s="770" t="s">
        <v>253</v>
      </c>
      <c r="I307" s="88" t="s">
        <v>79</v>
      </c>
      <c r="J307" s="86"/>
      <c r="K307" s="600" t="s">
        <v>45</v>
      </c>
      <c r="L307" s="601" t="s">
        <v>46</v>
      </c>
      <c r="M307" s="86"/>
      <c r="N307" s="87" t="s">
        <v>128</v>
      </c>
      <c r="O307" s="87"/>
      <c r="P307" s="87"/>
      <c r="Q307" s="87"/>
      <c r="R307" s="835" t="s">
        <v>49</v>
      </c>
      <c r="S307" s="835"/>
      <c r="T307" s="835"/>
      <c r="U307" s="835"/>
      <c r="V307" s="100" t="b">
        <f>IF(G307&gt;0,IF(AD307="me","",G307))</f>
        <v>0</v>
      </c>
      <c r="W307" s="100"/>
      <c r="X307" s="100"/>
      <c r="Y307" s="201"/>
      <c r="Z307" s="829" t="str">
        <f t="shared" si="807"/>
        <v/>
      </c>
      <c r="AA307" s="829"/>
      <c r="AB307" s="830" t="str">
        <f>IF(G307=0,"",IF(AD307="free","re-planting",IF(AD307="me","not NVP, by",IF($AD$8="yes",(VLOOKUP(A307,'Discount Lookup'!J:K,2)*G307*(1-$AC$1786)*(1+$AC$1788)),IF(AD307="NVP",(VLOOKUP(A307,'Discount Lookup'!J:K,2)*G307*(1-$AC$1786)*(1+$AC$1788)),IF(AD307="free","re-planting",IF(G307=0,"",IF($AD$8="",IF(AD307="me","not NVP, by",IF(AD307="",IF(G307&gt;0,(VLOOKUP(A307,'Discount Lookup'!J:K,2)*G307*(1-$AC$1786)*(1+$AC$1788)),""),"")),"not NVP, by"))))))))</f>
        <v/>
      </c>
      <c r="AC307" s="830"/>
      <c r="AD307" s="375" t="str">
        <f t="shared" si="861"/>
        <v/>
      </c>
      <c r="AE307" s="833" t="str">
        <f t="shared" si="837"/>
        <v/>
      </c>
      <c r="AF307" s="833"/>
      <c r="AG307" s="833"/>
      <c r="AH307" s="91">
        <f>IF(AD307="free",0,IF(AD307="me",0,IF(G307&gt;0,(VLOOKUP(A307,'Discount Lookup'!J:K,2)*G307),0)))</f>
        <v>0</v>
      </c>
      <c r="AI307" s="92" t="str">
        <f t="shared" si="710"/>
        <v/>
      </c>
      <c r="AJ307" s="828" t="str">
        <f t="shared" si="809"/>
        <v/>
      </c>
      <c r="AK307" s="828"/>
      <c r="AL307" s="313" t="str">
        <f t="shared" si="751"/>
        <v/>
      </c>
      <c r="AM307" s="312"/>
      <c r="AN307" s="101"/>
      <c r="AO307" s="101"/>
      <c r="AP307" s="101"/>
      <c r="AQ307" s="101"/>
      <c r="AR307" s="101"/>
      <c r="AS307" s="101"/>
      <c r="AT307" s="101"/>
    </row>
    <row r="308" spans="1:46" ht="12.95" customHeight="1">
      <c r="A308" s="419">
        <v>3</v>
      </c>
      <c r="B308" s="87" t="s">
        <v>50</v>
      </c>
      <c r="C308" s="128" t="s">
        <v>144</v>
      </c>
      <c r="D308" s="129" t="s">
        <v>52</v>
      </c>
      <c r="E308" s="98">
        <v>35.950000000000003</v>
      </c>
      <c r="F308" s="705" t="s">
        <v>1306</v>
      </c>
      <c r="G308" s="357">
        <v>0</v>
      </c>
      <c r="H308" s="704" t="str">
        <f t="shared" ref="H308" si="870">IF(G308=0,"",IF(F308="Qty=",IF(G308=1,"plant","plants"),IF(F308&gt;0.0001,"warranty","Error")))</f>
        <v/>
      </c>
      <c r="I308" s="98">
        <f t="shared" ref="I308" si="871">IF(F308="Qty=",(E308*G308),((E308*(1-F308))*G308))</f>
        <v>0</v>
      </c>
      <c r="J308" s="98">
        <f>IF(H308="warranty",0,(I308*($J$1782)))</f>
        <v>0</v>
      </c>
      <c r="K308" s="831">
        <f t="shared" ref="K308" si="872">I308+J308</f>
        <v>0</v>
      </c>
      <c r="L308" s="831"/>
      <c r="M308" s="832" t="str">
        <f>IF($H$1784=0,"",IF(G308=0,"",IF(F308="Qty=",CONCATENATE("$",ROUND(K308*(1-$H$1784),2)," with ",($H$1784*100),"% discount"),CONCATENATE("$",ROUND(K308*(1-$H$1784),2)," with ",(($H$1784*100+F308*100)-($H$1784*100*F308)),IF(F308&gt;0,"% discounts",IF($H$1781&gt;0,"% discounts","% discount"))))))</f>
        <v/>
      </c>
      <c r="N308" s="832"/>
      <c r="O308" s="832"/>
      <c r="P308" s="832"/>
      <c r="Q308" s="832"/>
      <c r="R308" s="832"/>
      <c r="S308" s="303">
        <f t="shared" ref="S308" si="873">E308*G308</f>
        <v>0</v>
      </c>
      <c r="T308" s="541">
        <f>VLOOKUP(A308,'Discount Lookup'!D:E,2,FALSE)*G308</f>
        <v>0</v>
      </c>
      <c r="U308" s="83">
        <f>VLOOKUP(A308,'Discount Lookup'!G:H,2,FALSE)*G308</f>
        <v>0</v>
      </c>
      <c r="V308" s="100">
        <f>E308*($J$1782)*G308</f>
        <v>0</v>
      </c>
      <c r="W308" s="100">
        <f t="shared" ref="W308" si="874">I308</f>
        <v>0</v>
      </c>
      <c r="X308" s="100" t="b">
        <f>IF(G308&gt;0,IF(AD308="me","",G308))</f>
        <v>0</v>
      </c>
      <c r="Y308" s="201"/>
      <c r="Z308" s="829" t="str">
        <f t="shared" si="807"/>
        <v/>
      </c>
      <c r="AA308" s="829"/>
      <c r="AB308" s="830" t="str">
        <f>IF(G308=0,"",IF(AD308="free","re-planting",IF(AD308="me","not NVP, by",IF($AD$8="yes",(VLOOKUP(A308,'Discount Lookup'!J:K,2)*G308*(1-$AC$1786)*(1+$AC$1788)),IF(AD308="NVP",(VLOOKUP(A308,'Discount Lookup'!J:K,2)*G308*(1-$AC$1786)*(1+$AC$1788)),IF(AD308="free","re-planting",IF(G308=0,"",IF($AD$8="",IF(AD308="me","not NVP, by",IF(AD308="",IF(G308&gt;0,(VLOOKUP(A308,'Discount Lookup'!J:K,2)*G308*(1-$AC$1786)*(1+$AC$1788)),""),"")),"not NVP, by"))))))))</f>
        <v/>
      </c>
      <c r="AC308" s="830"/>
      <c r="AD308" s="375" t="str">
        <f t="shared" si="861"/>
        <v/>
      </c>
      <c r="AE308" s="833" t="str">
        <f t="shared" si="837"/>
        <v/>
      </c>
      <c r="AF308" s="833"/>
      <c r="AG308" s="833"/>
      <c r="AH308" s="91">
        <f>IF(AD308="free",0,IF(AD308="me",0,IF(G308&gt;0,(VLOOKUP(A308,'Discount Lookup'!J:K,2)*G308),0)))</f>
        <v>0</v>
      </c>
      <c r="AI308" s="92" t="str">
        <f t="shared" si="710"/>
        <v/>
      </c>
      <c r="AJ308" s="828" t="str">
        <f t="shared" si="809"/>
        <v/>
      </c>
      <c r="AK308" s="828"/>
      <c r="AL308" s="313" t="str">
        <f t="shared" si="751"/>
        <v/>
      </c>
      <c r="AM308" s="312"/>
      <c r="AN308" s="101"/>
      <c r="AO308" s="101"/>
      <c r="AP308" s="101"/>
      <c r="AQ308" s="101"/>
      <c r="AR308" s="101"/>
      <c r="AS308" s="101"/>
      <c r="AT308" s="101"/>
    </row>
    <row r="309" spans="1:46" ht="12.95" customHeight="1">
      <c r="A309" s="465"/>
      <c r="B309" s="150" t="s">
        <v>254</v>
      </c>
      <c r="C309" s="104"/>
      <c r="D309" s="104"/>
      <c r="E309" s="131"/>
      <c r="F309" s="710"/>
      <c r="G309" s="358"/>
      <c r="H309" s="744"/>
      <c r="I309" s="131"/>
      <c r="J309" s="131"/>
      <c r="K309" s="608"/>
      <c r="L309" s="608"/>
      <c r="M309" s="121"/>
      <c r="N309" s="121"/>
      <c r="O309" s="123"/>
      <c r="P309" s="124"/>
      <c r="Q309" s="124"/>
      <c r="R309" s="83"/>
      <c r="S309" s="82">
        <f>E309*G309</f>
        <v>0</v>
      </c>
      <c r="T309" s="540"/>
      <c r="U309" s="83"/>
      <c r="V309" s="100" t="b">
        <f>IF(G309&gt;0,IF(AD309="me","",G309))</f>
        <v>0</v>
      </c>
      <c r="W309" s="100"/>
      <c r="X309" s="100"/>
      <c r="Y309" s="201"/>
      <c r="Z309" s="829" t="str">
        <f t="shared" si="807"/>
        <v/>
      </c>
      <c r="AA309" s="829"/>
      <c r="AB309" s="830" t="str">
        <f>IF(G309=0,"",IF(AD309="free","re-planting",IF(AD309="me","not NVP, by",IF($AD$8="yes",(VLOOKUP(A309,'Discount Lookup'!J:K,2)*G309*(1-$AC$1786)*(1+$AC$1788)),IF(AD309="NVP",(VLOOKUP(A309,'Discount Lookup'!J:K,2)*G309*(1-$AC$1786)*(1+$AC$1788)),IF(AD309="free","re-planting",IF(G309=0,"",IF($AD$8="",IF(AD309="me","not NVP, by",IF(AD309="",IF(G309&gt;0,(VLOOKUP(A309,'Discount Lookup'!J:K,2)*G309*(1-$AC$1786)*(1+$AC$1788)),""),"")),"not NVP, by"))))))))</f>
        <v/>
      </c>
      <c r="AC309" s="830"/>
      <c r="AD309" s="375" t="str">
        <f t="shared" si="861"/>
        <v/>
      </c>
      <c r="AE309" s="833" t="str">
        <f t="shared" si="837"/>
        <v/>
      </c>
      <c r="AF309" s="833"/>
      <c r="AG309" s="833"/>
      <c r="AH309" s="91">
        <f>IF(AD309="free",0,IF(AD309="me",0,IF(G309&gt;0,(VLOOKUP(A309,'Discount Lookup'!J:K,2)*G309),0)))</f>
        <v>0</v>
      </c>
      <c r="AI309" s="92" t="str">
        <f t="shared" si="710"/>
        <v/>
      </c>
      <c r="AJ309" s="828" t="str">
        <f t="shared" si="809"/>
        <v/>
      </c>
      <c r="AK309" s="828"/>
      <c r="AL309" s="313" t="str">
        <f t="shared" si="751"/>
        <v/>
      </c>
      <c r="AM309" s="312"/>
      <c r="AN309" s="101"/>
      <c r="AO309" s="101"/>
      <c r="AP309" s="101"/>
      <c r="AQ309" s="101"/>
      <c r="AR309" s="101"/>
      <c r="AS309" s="101"/>
      <c r="AT309" s="101"/>
    </row>
    <row r="310" spans="1:46" ht="12.95" customHeight="1">
      <c r="A310" s="847" t="s">
        <v>1509</v>
      </c>
      <c r="B310" s="848"/>
      <c r="C310" s="848"/>
      <c r="D310" s="848"/>
      <c r="E310" s="848"/>
      <c r="F310" s="848"/>
      <c r="G310" s="848"/>
      <c r="H310" s="770" t="s">
        <v>495</v>
      </c>
      <c r="I310" s="88" t="s">
        <v>79</v>
      </c>
      <c r="J310" s="86"/>
      <c r="K310" s="700" t="s">
        <v>45</v>
      </c>
      <c r="L310" s="601" t="s">
        <v>46</v>
      </c>
      <c r="M310" s="86"/>
      <c r="N310" s="87" t="s">
        <v>157</v>
      </c>
      <c r="O310" s="87"/>
      <c r="P310" s="87"/>
      <c r="Q310" s="87"/>
      <c r="R310" s="835" t="s">
        <v>49</v>
      </c>
      <c r="S310" s="835"/>
      <c r="T310" s="835"/>
      <c r="U310" s="835"/>
      <c r="V310" s="100" t="b">
        <f>IF(G310&gt;0,IF(AD310="me","",G310))</f>
        <v>0</v>
      </c>
      <c r="W310" s="100"/>
      <c r="X310" s="100"/>
      <c r="Y310" s="201"/>
      <c r="Z310" s="829" t="str">
        <f t="shared" ref="Z310:Z312" si="875">IF(G310=0,"",IF(AD310="me","",IF($AD$8="me","",IF(AD310="free","warranty",IF($AD$8="yes","NVP planting:","to NVP install:")))))</f>
        <v/>
      </c>
      <c r="AA310" s="829"/>
      <c r="AB310" s="830" t="str">
        <f>IF(G310=0,"",IF(AD310="free","re-planting",IF(AD310="me","not NVP, by",IF($AD$8="yes",(VLOOKUP(A310,'Discount Lookup'!J:K,2)*G310*(1-$AC$1786)*(1+$AC$1788)),IF(AD310="NVP",(VLOOKUP(A310,'Discount Lookup'!J:K,2)*G310*(1-$AC$1786)*(1+$AC$1788)),IF(AD310="free","re-planting",IF(G310=0,"",IF($AD$8="",IF(AD310="me","not NVP, by",IF(AD310="",IF(G310&gt;0,(VLOOKUP(A310,'Discount Lookup'!J:K,2)*G310*(1-$AC$1786)*(1+$AC$1788)),""),"")),"not NVP, by"))))))))</f>
        <v/>
      </c>
      <c r="AC310" s="830"/>
      <c r="AD310" s="375" t="str">
        <f t="shared" ref="AD310:AD312" si="876">IF(G310=0,"",IF($AD$8="me","me",IF(H310="warranty","free",IF($AD$8="yes","NVP",""))))</f>
        <v/>
      </c>
      <c r="AE310" s="833" t="str">
        <f t="shared" ref="AE310:AE312" si="877">IF(G310&gt;0,(CONCATENATE((G310)," quantity, ",(A310)," ",B310)),"")</f>
        <v/>
      </c>
      <c r="AF310" s="833"/>
      <c r="AG310" s="833"/>
      <c r="AH310" s="91">
        <f>IF(AD310="free",0,IF(AD310="me",0,IF(G310&gt;0,(VLOOKUP(A310,'Discount Lookup'!J:K,2)*G310),0)))</f>
        <v>0</v>
      </c>
      <c r="AI310" s="92" t="str">
        <f t="shared" si="710"/>
        <v/>
      </c>
      <c r="AJ310" s="828" t="str">
        <f t="shared" ref="AJ310:AJ312" si="878">IF(G310=0,"",IF(AD310="me","  delivery-only",IF($AD$8="me","  delivery-only",CONCATENATE(" $",ROUND(AI310/G310,2)," each"))))</f>
        <v/>
      </c>
      <c r="AK310" s="828"/>
      <c r="AL310" s="313" t="str">
        <f t="shared" si="751"/>
        <v/>
      </c>
      <c r="AM310" s="312"/>
      <c r="AN310" s="101"/>
      <c r="AO310" s="101"/>
      <c r="AP310" s="101"/>
      <c r="AQ310" s="101"/>
      <c r="AR310" s="101"/>
      <c r="AS310" s="101"/>
      <c r="AT310" s="101"/>
    </row>
    <row r="311" spans="1:46" ht="12.95" customHeight="1">
      <c r="A311" s="419">
        <v>3</v>
      </c>
      <c r="B311" s="87" t="s">
        <v>50</v>
      </c>
      <c r="C311" s="128" t="s">
        <v>102</v>
      </c>
      <c r="D311" s="129" t="s">
        <v>87</v>
      </c>
      <c r="E311" s="98">
        <v>30.95</v>
      </c>
      <c r="F311" s="705" t="s">
        <v>1306</v>
      </c>
      <c r="G311" s="357">
        <v>0</v>
      </c>
      <c r="H311" s="704" t="str">
        <f t="shared" ref="H311" si="879">IF(G311=0,"",IF(F311="Qty=",IF(G311=1,"plant","plants"),IF(F311&gt;0.0001,"warranty","Error")))</f>
        <v/>
      </c>
      <c r="I311" s="98">
        <f t="shared" ref="I311" si="880">IF(F311="Qty=",(E311*G311),((E311*(1-F311))*G311))</f>
        <v>0</v>
      </c>
      <c r="J311" s="98">
        <f>IF(H311="warranty",0,(I311*($J$1782)))</f>
        <v>0</v>
      </c>
      <c r="K311" s="831">
        <f t="shared" ref="K311" si="881">I311+J311</f>
        <v>0</v>
      </c>
      <c r="L311" s="831"/>
      <c r="M311" s="832" t="str">
        <f>IF($H$1784=0,"",IF(G311=0,"",IF(F311="Qty=",CONCATENATE("$",ROUND(K311*(1-$H$1784),2)," with ",($H$1784*100),"% discount"),CONCATENATE("$",ROUND(K311*(1-$H$1784),2)," with ",(($H$1784*100+F311*100)-($H$1784*100*F311)),IF(F311&gt;0,"% discounts",IF($H$1781&gt;0,"% discounts","% discount"))))))</f>
        <v/>
      </c>
      <c r="N311" s="832"/>
      <c r="O311" s="832"/>
      <c r="P311" s="832"/>
      <c r="Q311" s="832"/>
      <c r="R311" s="832"/>
      <c r="S311" s="303">
        <f t="shared" ref="S311" si="882">E311*G311</f>
        <v>0</v>
      </c>
      <c r="T311" s="541">
        <f>VLOOKUP(A311,'Discount Lookup'!D:E,2,FALSE)*G311</f>
        <v>0</v>
      </c>
      <c r="U311" s="83">
        <f>VLOOKUP(A311,'Discount Lookup'!G:H,2,FALSE)*G311</f>
        <v>0</v>
      </c>
      <c r="V311" s="100">
        <f>E311*($J$1782)*G311</f>
        <v>0</v>
      </c>
      <c r="W311" s="100">
        <f t="shared" ref="W311" si="883">I311</f>
        <v>0</v>
      </c>
      <c r="X311" s="100" t="b">
        <f>IF(G311&gt;0,IF(AD311="me","",G311))</f>
        <v>0</v>
      </c>
      <c r="Y311" s="201"/>
      <c r="Z311" s="829" t="str">
        <f t="shared" si="875"/>
        <v/>
      </c>
      <c r="AA311" s="829"/>
      <c r="AB311" s="830" t="str">
        <f>IF(G311=0,"",IF(AD311="free","re-planting",IF(AD311="me","not NVP, by",IF($AD$8="yes",(VLOOKUP(A311,'Discount Lookup'!J:K,2)*G311*(1-$AC$1786)*(1+$AC$1788)),IF(AD311="NVP",(VLOOKUP(A311,'Discount Lookup'!J:K,2)*G311*(1-$AC$1786)*(1+$AC$1788)),IF(AD311="free","re-planting",IF(G311=0,"",IF($AD$8="",IF(AD311="me","not NVP, by",IF(AD311="",IF(G311&gt;0,(VLOOKUP(A311,'Discount Lookup'!J:K,2)*G311*(1-$AC$1786)*(1+$AC$1788)),""),"")),"not NVP, by"))))))))</f>
        <v/>
      </c>
      <c r="AC311" s="830"/>
      <c r="AD311" s="375" t="str">
        <f t="shared" si="876"/>
        <v/>
      </c>
      <c r="AE311" s="833" t="str">
        <f t="shared" si="877"/>
        <v/>
      </c>
      <c r="AF311" s="833"/>
      <c r="AG311" s="833"/>
      <c r="AH311" s="91">
        <f>IF(AD311="free",0,IF(AD311="me",0,IF(G311&gt;0,(VLOOKUP(A311,'Discount Lookup'!J:K,2)*G311),0)))</f>
        <v>0</v>
      </c>
      <c r="AI311" s="92" t="str">
        <f t="shared" si="710"/>
        <v/>
      </c>
      <c r="AJ311" s="828" t="str">
        <f t="shared" si="878"/>
        <v/>
      </c>
      <c r="AK311" s="828"/>
      <c r="AL311" s="313" t="str">
        <f t="shared" si="751"/>
        <v/>
      </c>
      <c r="AM311" s="312"/>
      <c r="AN311" s="101"/>
      <c r="AO311" s="101"/>
      <c r="AP311" s="101"/>
      <c r="AQ311" s="101"/>
      <c r="AR311" s="101"/>
      <c r="AS311" s="101"/>
      <c r="AT311" s="101"/>
    </row>
    <row r="312" spans="1:46" ht="12.95" customHeight="1">
      <c r="A312" s="465"/>
      <c r="B312" s="150" t="s">
        <v>1510</v>
      </c>
      <c r="C312" s="104"/>
      <c r="D312" s="104"/>
      <c r="E312" s="131"/>
      <c r="F312" s="710"/>
      <c r="G312" s="358"/>
      <c r="H312" s="744"/>
      <c r="I312" s="131"/>
      <c r="J312" s="131"/>
      <c r="K312" s="608"/>
      <c r="L312" s="608"/>
      <c r="M312" s="121"/>
      <c r="N312" s="121"/>
      <c r="O312" s="123"/>
      <c r="P312" s="124"/>
      <c r="Q312" s="124"/>
      <c r="R312" s="83"/>
      <c r="S312" s="82">
        <f>E312*G312</f>
        <v>0</v>
      </c>
      <c r="T312" s="540"/>
      <c r="U312" s="83"/>
      <c r="V312" s="100" t="b">
        <f>IF(G312&gt;0,IF(AD312="me","",G312))</f>
        <v>0</v>
      </c>
      <c r="W312" s="100"/>
      <c r="X312" s="100"/>
      <c r="Y312" s="201"/>
      <c r="Z312" s="829" t="str">
        <f t="shared" si="875"/>
        <v/>
      </c>
      <c r="AA312" s="829"/>
      <c r="AB312" s="830" t="str">
        <f>IF(G312=0,"",IF(AD312="free","re-planting",IF(AD312="me","not NVP, by",IF($AD$8="yes",(VLOOKUP(A312,'Discount Lookup'!J:K,2)*G312*(1-$AC$1786)*(1+$AC$1788)),IF(AD312="NVP",(VLOOKUP(A312,'Discount Lookup'!J:K,2)*G312*(1-$AC$1786)*(1+$AC$1788)),IF(AD312="free","re-planting",IF(G312=0,"",IF($AD$8="",IF(AD312="me","not NVP, by",IF(AD312="",IF(G312&gt;0,(VLOOKUP(A312,'Discount Lookup'!J:K,2)*G312*(1-$AC$1786)*(1+$AC$1788)),""),"")),"not NVP, by"))))))))</f>
        <v/>
      </c>
      <c r="AC312" s="830"/>
      <c r="AD312" s="375" t="str">
        <f t="shared" si="876"/>
        <v/>
      </c>
      <c r="AE312" s="833" t="str">
        <f t="shared" si="877"/>
        <v/>
      </c>
      <c r="AF312" s="833"/>
      <c r="AG312" s="833"/>
      <c r="AH312" s="91">
        <f>IF(AD312="free",0,IF(AD312="me",0,IF(G312&gt;0,(VLOOKUP(A312,'Discount Lookup'!J:K,2)*G312),0)))</f>
        <v>0</v>
      </c>
      <c r="AI312" s="92" t="str">
        <f t="shared" si="710"/>
        <v/>
      </c>
      <c r="AJ312" s="828" t="str">
        <f t="shared" si="878"/>
        <v/>
      </c>
      <c r="AK312" s="828"/>
      <c r="AL312" s="313" t="str">
        <f t="shared" si="751"/>
        <v/>
      </c>
      <c r="AM312" s="312"/>
      <c r="AN312" s="101"/>
      <c r="AO312" s="101"/>
      <c r="AP312" s="101"/>
      <c r="AQ312" s="101"/>
      <c r="AR312" s="101"/>
      <c r="AS312" s="101"/>
      <c r="AT312" s="101"/>
    </row>
    <row r="313" spans="1:46" ht="12.95" customHeight="1">
      <c r="A313" s="852" t="s">
        <v>255</v>
      </c>
      <c r="B313" s="844"/>
      <c r="C313" s="844"/>
      <c r="D313" s="844"/>
      <c r="E313" s="844"/>
      <c r="F313" s="844"/>
      <c r="G313" s="844"/>
      <c r="H313" s="770" t="s">
        <v>256</v>
      </c>
      <c r="I313" s="88" t="s">
        <v>79</v>
      </c>
      <c r="J313" s="86"/>
      <c r="K313" s="603" t="s">
        <v>45</v>
      </c>
      <c r="L313" s="601" t="s">
        <v>46</v>
      </c>
      <c r="M313" s="86"/>
      <c r="N313" s="87" t="s">
        <v>130</v>
      </c>
      <c r="O313" s="87"/>
      <c r="P313" s="87"/>
      <c r="Q313" s="87"/>
      <c r="R313" s="86"/>
      <c r="S313" s="125"/>
      <c r="T313" s="543"/>
      <c r="U313" s="89" t="s">
        <v>48</v>
      </c>
      <c r="V313" s="100" t="b">
        <f>IF(G313&gt;0,IF(AD313="me","",G313))</f>
        <v>0</v>
      </c>
      <c r="W313" s="100"/>
      <c r="X313" s="100"/>
      <c r="Y313" s="201"/>
      <c r="Z313" s="829" t="str">
        <f t="shared" si="807"/>
        <v/>
      </c>
      <c r="AA313" s="829"/>
      <c r="AB313" s="830" t="str">
        <f>IF(G313=0,"",IF(AD313="free","re-planting",IF(AD313="me","not NVP, by",IF($AD$8="yes",(VLOOKUP(A313,'Discount Lookup'!J:K,2)*G313*(1-$AC$1786)*(1+$AC$1788)),IF(AD313="NVP",(VLOOKUP(A313,'Discount Lookup'!J:K,2)*G313*(1-$AC$1786)*(1+$AC$1788)),IF(AD313="free","re-planting",IF(G313=0,"",IF($AD$8="",IF(AD313="me","not NVP, by",IF(AD313="",IF(G313&gt;0,(VLOOKUP(A313,'Discount Lookup'!J:K,2)*G313*(1-$AC$1786)*(1+$AC$1788)),""),"")),"not NVP, by"))))))))</f>
        <v/>
      </c>
      <c r="AC313" s="830"/>
      <c r="AD313" s="375" t="str">
        <f t="shared" si="861"/>
        <v/>
      </c>
      <c r="AE313" s="833" t="str">
        <f t="shared" si="837"/>
        <v/>
      </c>
      <c r="AF313" s="833"/>
      <c r="AG313" s="833"/>
      <c r="AH313" s="91">
        <f>IF(AD313="free",0,IF(AD313="me",0,IF(G313&gt;0,(VLOOKUP(A313,'Discount Lookup'!J:K,2)*G313),0)))</f>
        <v>0</v>
      </c>
      <c r="AI313" s="92" t="str">
        <f t="shared" si="710"/>
        <v/>
      </c>
      <c r="AJ313" s="828" t="str">
        <f t="shared" si="809"/>
        <v/>
      </c>
      <c r="AK313" s="828"/>
      <c r="AL313" s="313" t="str">
        <f t="shared" si="751"/>
        <v/>
      </c>
      <c r="AM313" s="312"/>
      <c r="AN313" s="101"/>
      <c r="AO313" s="101"/>
      <c r="AP313" s="101"/>
      <c r="AQ313" s="101"/>
      <c r="AR313" s="101"/>
      <c r="AS313" s="101"/>
      <c r="AT313" s="101"/>
    </row>
    <row r="314" spans="1:46" ht="12.95" customHeight="1">
      <c r="A314" s="419">
        <v>1</v>
      </c>
      <c r="B314" s="87" t="s">
        <v>50</v>
      </c>
      <c r="C314" s="399" t="s">
        <v>136</v>
      </c>
      <c r="D314" s="129" t="s">
        <v>87</v>
      </c>
      <c r="E314" s="98">
        <v>12.95</v>
      </c>
      <c r="F314" s="705" t="s">
        <v>1306</v>
      </c>
      <c r="G314" s="357">
        <v>0</v>
      </c>
      <c r="H314" s="704" t="str">
        <f t="shared" ref="H314" si="884">IF(G314=0,"",IF(F314="Qty=",IF(G314=1,"plant","plants"),IF(F314&gt;0.0001,"warranty","Error")))</f>
        <v/>
      </c>
      <c r="I314" s="98">
        <f t="shared" ref="I314" si="885">IF(F314="Qty=",(E314*G314),((E314*(1-F314))*G314))</f>
        <v>0</v>
      </c>
      <c r="J314" s="98">
        <f>IF(H314="warranty",0,(I314*($J$1782)))</f>
        <v>0</v>
      </c>
      <c r="K314" s="831">
        <f t="shared" ref="K314" si="886">I314+J314</f>
        <v>0</v>
      </c>
      <c r="L314" s="831"/>
      <c r="M314" s="832" t="str">
        <f>IF($H$1784=0,"",IF(G314=0,"",IF(F314="Qty=",CONCATENATE("$",ROUND(K314*(1-$H$1784),2)," with ",($H$1784*100),"% discount"),CONCATENATE("$",ROUND(K314*(1-$H$1784),2)," with ",(($H$1784*100+F314*100)-($H$1784*100*F314)),IF(F314&gt;0,"% discounts",IF($H$1781&gt;0,"% discounts","% discount"))))))</f>
        <v/>
      </c>
      <c r="N314" s="832"/>
      <c r="O314" s="832"/>
      <c r="P314" s="832"/>
      <c r="Q314" s="832"/>
      <c r="R314" s="832"/>
      <c r="S314" s="303">
        <f>E314*G314</f>
        <v>0</v>
      </c>
      <c r="T314" s="541">
        <f>VLOOKUP(A314,'Discount Lookup'!D:E,2,FALSE)*G314</f>
        <v>0</v>
      </c>
      <c r="U314" s="83">
        <f>VLOOKUP(A314,'Discount Lookup'!G:H,2,FALSE)*G314</f>
        <v>0</v>
      </c>
      <c r="V314" s="100">
        <f>E314*($J$1782)*G314</f>
        <v>0</v>
      </c>
      <c r="W314" s="100">
        <f>I314</f>
        <v>0</v>
      </c>
      <c r="X314" s="100" t="b">
        <f>IF(G314&gt;0,IF(AD314="me","",G314))</f>
        <v>0</v>
      </c>
      <c r="Y314" s="201"/>
      <c r="Z314" s="829" t="str">
        <f t="shared" si="807"/>
        <v/>
      </c>
      <c r="AA314" s="829"/>
      <c r="AB314" s="830" t="str">
        <f>IF(G314=0,"",IF(AD314="free","re-planting",IF(AD314="me","not NVP, by",IF($AD$8="yes",(VLOOKUP(A314,'Discount Lookup'!J:K,2)*G314*(1-$AC$1786)*(1+$AC$1788)),IF(AD314="NVP",(VLOOKUP(A314,'Discount Lookup'!J:K,2)*G314*(1-$AC$1786)*(1+$AC$1788)),IF(AD314="free","re-planting",IF(G314=0,"",IF($AD$8="",IF(AD314="me","not NVP, by",IF(AD314="",IF(G314&gt;0,(VLOOKUP(A314,'Discount Lookup'!J:K,2)*G314*(1-$AC$1786)*(1+$AC$1788)),""),"")),"not NVP, by"))))))))</f>
        <v/>
      </c>
      <c r="AC314" s="830"/>
      <c r="AD314" s="375" t="str">
        <f t="shared" si="861"/>
        <v/>
      </c>
      <c r="AE314" s="833" t="str">
        <f>IF(G314&gt;0,(CONCATENATE((G314)," quantity, ",(A314)," ",B314)),"")</f>
        <v/>
      </c>
      <c r="AF314" s="833"/>
      <c r="AG314" s="833"/>
      <c r="AH314" s="91">
        <f>IF(AD314="free",0,IF(AD314="me",0,IF(G314&gt;0,(VLOOKUP(A314,'Discount Lookup'!J:K,2)*G314),0)))</f>
        <v>0</v>
      </c>
      <c r="AI314" s="92" t="str">
        <f t="shared" si="710"/>
        <v/>
      </c>
      <c r="AJ314" s="828" t="str">
        <f t="shared" si="809"/>
        <v/>
      </c>
      <c r="AK314" s="828"/>
      <c r="AL314" s="313" t="str">
        <f t="shared" si="751"/>
        <v/>
      </c>
      <c r="AM314" s="312"/>
      <c r="AN314" s="101"/>
      <c r="AO314" s="101"/>
      <c r="AP314" s="101"/>
      <c r="AQ314" s="101"/>
      <c r="AR314" s="101"/>
      <c r="AS314" s="101"/>
      <c r="AT314" s="101"/>
    </row>
    <row r="315" spans="1:46" ht="12.95" customHeight="1">
      <c r="A315" s="419">
        <v>3</v>
      </c>
      <c r="B315" s="87" t="s">
        <v>50</v>
      </c>
      <c r="C315" s="128" t="s">
        <v>153</v>
      </c>
      <c r="D315" s="129" t="s">
        <v>86</v>
      </c>
      <c r="E315" s="98">
        <v>24.95</v>
      </c>
      <c r="F315" s="705" t="s">
        <v>1306</v>
      </c>
      <c r="G315" s="357">
        <v>0</v>
      </c>
      <c r="H315" s="704" t="str">
        <f t="shared" ref="H315" si="887">IF(G315=0,"",IF(F315="Qty=",IF(G315=1,"plant","plants"),IF(F315&gt;0.0001,"warranty","Error")))</f>
        <v/>
      </c>
      <c r="I315" s="98">
        <f t="shared" ref="I315" si="888">IF(F315="Qty=",(E315*G315),((E315*(1-F315))*G315))</f>
        <v>0</v>
      </c>
      <c r="J315" s="98">
        <f>IF(H315="warranty",0,(I315*($J$1782)))</f>
        <v>0</v>
      </c>
      <c r="K315" s="831">
        <f t="shared" ref="K315:K318" si="889">I315+J315</f>
        <v>0</v>
      </c>
      <c r="L315" s="831"/>
      <c r="M315" s="832" t="str">
        <f>IF($H$1784=0,"",IF(G315=0,"",IF(F315="Qty=",CONCATENATE("$",ROUND(K315*(1-$H$1784),2)," with ",($H$1784*100),"% discount"),CONCATENATE("$",ROUND(K315*(1-$H$1784),2)," with ",(($H$1784*100+F315*100)-($H$1784*100*F315)),IF(F315&gt;0,"% discounts",IF($H$1781&gt;0,"% discounts","% discount"))))))</f>
        <v/>
      </c>
      <c r="N315" s="832"/>
      <c r="O315" s="832"/>
      <c r="P315" s="832"/>
      <c r="Q315" s="832"/>
      <c r="R315" s="832"/>
      <c r="S315" s="303">
        <f>E315*G315</f>
        <v>0</v>
      </c>
      <c r="T315" s="541">
        <f>VLOOKUP(A315,'Discount Lookup'!D:E,2,FALSE)*G315</f>
        <v>0</v>
      </c>
      <c r="U315" s="83">
        <f>VLOOKUP(A315,'Discount Lookup'!G:H,2,FALSE)*G315</f>
        <v>0</v>
      </c>
      <c r="V315" s="100">
        <f>E315*($J$1782)*G315</f>
        <v>0</v>
      </c>
      <c r="W315" s="100">
        <f>I315</f>
        <v>0</v>
      </c>
      <c r="X315" s="100" t="b">
        <f>IF(G315&gt;0,IF(AD315="me","",G315))</f>
        <v>0</v>
      </c>
      <c r="Y315" s="201"/>
      <c r="Z315" s="829" t="str">
        <f t="shared" ref="Z315" si="890">IF(G315=0,"",IF(AD315="me","",IF($AD$8="me","",IF(AD315="free","warranty",IF($AD$8="yes","NVP planting:","to NVP install:")))))</f>
        <v/>
      </c>
      <c r="AA315" s="829"/>
      <c r="AB315" s="830" t="str">
        <f>IF(G315=0,"",IF(AD315="free","re-planting",IF(AD315="me","not NVP, by",IF($AD$8="yes",(VLOOKUP(A315,'Discount Lookup'!J:K,2)*G315*(1-$AC$1786)*(1+$AC$1788)),IF(AD315="NVP",(VLOOKUP(A315,'Discount Lookup'!J:K,2)*G315*(1-$AC$1786)*(1+$AC$1788)),IF(AD315="free","re-planting",IF(G315=0,"",IF($AD$8="",IF(AD315="me","not NVP, by",IF(AD315="",IF(G315&gt;0,(VLOOKUP(A315,'Discount Lookup'!J:K,2)*G315*(1-$AC$1786)*(1+$AC$1788)),""),"")),"not NVP, by"))))))))</f>
        <v/>
      </c>
      <c r="AC315" s="830"/>
      <c r="AD315" s="375" t="str">
        <f t="shared" ref="AD315" si="891">IF(G315=0,"",IF($AD$8="me","me",IF(H315="warranty","free",IF($AD$8="yes","NVP",""))))</f>
        <v/>
      </c>
      <c r="AE315" s="833" t="str">
        <f>IF(G315&gt;0,(CONCATENATE((G315)," quantity, ",(A315)," ",B315)),"")</f>
        <v/>
      </c>
      <c r="AF315" s="833"/>
      <c r="AG315" s="833"/>
      <c r="AH315" s="91">
        <f>IF(AD315="free",0,IF(AD315="me",0,IF(G315&gt;0,(VLOOKUP(A315,'Discount Lookup'!J:K,2)*G315),0)))</f>
        <v>0</v>
      </c>
      <c r="AI315" s="92" t="str">
        <f t="shared" ref="AI315:AI378" si="892">IF(G315=0,"",IF(AD315="free",(K315*(1-$H$1784)),IF($AD$8="me",(K315*(1-$H$1784)),IF(AD315="me",(K315*(1-$H$1784)),(K315*(1-$H$1784))+AB315))))</f>
        <v/>
      </c>
      <c r="AJ315" s="828" t="str">
        <f t="shared" ref="AJ315" si="893">IF(G315=0,"",IF(AD315="me","  delivery-only",IF($AD$8="me","  delivery-only",CONCATENATE(" $",ROUND(AI315/G315,2)," each"))))</f>
        <v/>
      </c>
      <c r="AK315" s="828"/>
      <c r="AL315" s="313" t="str">
        <f t="shared" si="751"/>
        <v/>
      </c>
      <c r="AM315" s="312"/>
      <c r="AN315" s="101"/>
      <c r="AO315" s="101"/>
      <c r="AP315" s="101"/>
      <c r="AQ315" s="101"/>
      <c r="AR315" s="101"/>
      <c r="AS315" s="101"/>
      <c r="AT315" s="101"/>
    </row>
    <row r="316" spans="1:46" ht="12.95" customHeight="1">
      <c r="A316" s="419">
        <v>3</v>
      </c>
      <c r="B316" s="87" t="s">
        <v>50</v>
      </c>
      <c r="C316" s="128" t="s">
        <v>85</v>
      </c>
      <c r="D316" s="129" t="s">
        <v>87</v>
      </c>
      <c r="E316" s="98">
        <v>25.95</v>
      </c>
      <c r="F316" s="705" t="s">
        <v>1306</v>
      </c>
      <c r="G316" s="357">
        <v>0</v>
      </c>
      <c r="H316" s="704" t="str">
        <f>IF(G316=0,"",IF(F316="Qty=",IF(G316=1,"plant","plants"),IF(F316&gt;0.0001,"warranty","Error")))</f>
        <v/>
      </c>
      <c r="I316" s="98">
        <f>IF(F316="Qty=",(E316*G316),((E316*(1-F316))*G316))</f>
        <v>0</v>
      </c>
      <c r="J316" s="98">
        <f>IF(H316="warranty",0,(I316*($J$1782)))</f>
        <v>0</v>
      </c>
      <c r="K316" s="831">
        <f>I316+J316</f>
        <v>0</v>
      </c>
      <c r="L316" s="831"/>
      <c r="M316" s="832" t="str">
        <f>IF($H$1784=0,"",IF(G316=0,"",IF(F316="Qty=",CONCATENATE("$",ROUND(K316*(1-$H$1784),2)," with ",($H$1784*100),"% discount"),CONCATENATE("$",ROUND(K316*(1-$H$1784),2)," with ",(($H$1784*100+F316*100)-($H$1784*100*F316)),IF(F316&gt;0,"% discounts",IF($H$1781&gt;0,"% discounts","% discount"))))))</f>
        <v/>
      </c>
      <c r="N316" s="832"/>
      <c r="O316" s="832"/>
      <c r="P316" s="832"/>
      <c r="Q316" s="832"/>
      <c r="R316" s="832"/>
      <c r="S316" s="303">
        <f>E316*G316</f>
        <v>0</v>
      </c>
      <c r="T316" s="541">
        <f>VLOOKUP(A316,'Discount Lookup'!D:E,2,FALSE)*G316</f>
        <v>0</v>
      </c>
      <c r="U316" s="83">
        <f>VLOOKUP(A316,'Discount Lookup'!G:H,2,FALSE)*G316</f>
        <v>0</v>
      </c>
      <c r="V316" s="100">
        <f>E316*($J$1782)*G316</f>
        <v>0</v>
      </c>
      <c r="W316" s="100">
        <f>I316</f>
        <v>0</v>
      </c>
      <c r="X316" s="100" t="b">
        <f>IF(G316&gt;0,IF(AD316="me","",G316))</f>
        <v>0</v>
      </c>
      <c r="Y316" s="201"/>
      <c r="Z316" s="829" t="str">
        <f>IF(G316=0,"",IF(AD316="me","",IF($AD$8="me","",IF(AD316="free","warranty",IF($AD$8="yes","NVP planting:","to NVP install:")))))</f>
        <v/>
      </c>
      <c r="AA316" s="829"/>
      <c r="AB316" s="830" t="str">
        <f>IF(G316=0,"",IF(AD316="free","re-planting",IF(AD316="me","not NVP, by",IF($AD$8="yes",(VLOOKUP(A316,'Discount Lookup'!J:K,2)*G316*(1-$AC$1786)*(1+$AC$1788)),IF(AD316="NVP",(VLOOKUP(A316,'Discount Lookup'!J:K,2)*G316*(1-$AC$1786)*(1+$AC$1788)),IF(AD316="free","re-planting",IF(G316=0,"",IF($AD$8="",IF(AD316="me","not NVP, by",IF(AD316="",IF(G316&gt;0,(VLOOKUP(A316,'Discount Lookup'!J:K,2)*G316*(1-$AC$1786)*(1+$AC$1788)),""),"")),"not NVP, by"))))))))</f>
        <v/>
      </c>
      <c r="AC316" s="830"/>
      <c r="AD316" s="375" t="str">
        <f>IF(G316=0,"",IF($AD$8="me","me",IF(H316="warranty","free",IF($AD$8="yes","NVP",""))))</f>
        <v/>
      </c>
      <c r="AE316" s="833" t="str">
        <f>IF(G316&gt;0,(CONCATENATE((G316)," quantity, ",(A316)," ",B316)),"")</f>
        <v/>
      </c>
      <c r="AF316" s="833"/>
      <c r="AG316" s="833"/>
      <c r="AH316" s="91">
        <f>IF(AD316="free",0,IF(AD316="me",0,IF(G316&gt;0,(VLOOKUP(A316,'Discount Lookup'!J:K,2)*G316),0)))</f>
        <v>0</v>
      </c>
      <c r="AI316" s="92" t="str">
        <f t="shared" si="892"/>
        <v/>
      </c>
      <c r="AJ316" s="828" t="str">
        <f>IF(G316=0,"",IF(AD316="me","  delivery-only",IF($AD$8="me","  delivery-only",CONCATENATE(" $",ROUND(AI316/G316,2)," each"))))</f>
        <v/>
      </c>
      <c r="AK316" s="828"/>
      <c r="AL316" s="313" t="str">
        <f t="shared" si="751"/>
        <v/>
      </c>
      <c r="AM316" s="312"/>
      <c r="AN316" s="101"/>
      <c r="AO316" s="101"/>
      <c r="AP316" s="101"/>
      <c r="AQ316" s="101"/>
      <c r="AR316" s="101"/>
      <c r="AS316" s="101"/>
      <c r="AT316" s="101"/>
    </row>
    <row r="317" spans="1:46" ht="12.95" customHeight="1">
      <c r="A317" s="419">
        <v>3</v>
      </c>
      <c r="B317" s="87" t="s">
        <v>50</v>
      </c>
      <c r="C317" s="128" t="s">
        <v>466</v>
      </c>
      <c r="D317" s="129" t="s">
        <v>62</v>
      </c>
      <c r="E317" s="98">
        <v>22.95</v>
      </c>
      <c r="F317" s="705" t="s">
        <v>1306</v>
      </c>
      <c r="G317" s="357">
        <v>0</v>
      </c>
      <c r="H317" s="704" t="str">
        <f t="shared" ref="H317" si="894">IF(G317=0,"",IF(F317="Qty=",IF(G317=1,"plant","plants"),IF(F317&gt;0.0001,"warranty","Error")))</f>
        <v/>
      </c>
      <c r="I317" s="98">
        <f t="shared" ref="I317" si="895">IF(F317="Qty=",(E317*G317),((E317*(1-F317))*G317))</f>
        <v>0</v>
      </c>
      <c r="J317" s="98">
        <f>IF(H317="warranty",0,(I317*($J$1782)))</f>
        <v>0</v>
      </c>
      <c r="K317" s="831">
        <f t="shared" ref="K317" si="896">I317+J317</f>
        <v>0</v>
      </c>
      <c r="L317" s="831"/>
      <c r="M317" s="832" t="str">
        <f>IF($H$1784=0,"",IF(G317=0,"",IF(F317="Qty=",CONCATENATE("$",ROUND(K317*(1-$H$1784),2)," with ",($H$1784*100),"% discount"),CONCATENATE("$",ROUND(K317*(1-$H$1784),2)," with ",(($H$1784*100+F317*100)-($H$1784*100*F317)),IF(F317&gt;0,"% discounts",IF($H$1781&gt;0,"% discounts","% discount"))))))</f>
        <v/>
      </c>
      <c r="N317" s="832"/>
      <c r="O317" s="832"/>
      <c r="P317" s="832"/>
      <c r="Q317" s="832"/>
      <c r="R317" s="832"/>
      <c r="S317" s="303">
        <f>E317*G317</f>
        <v>0</v>
      </c>
      <c r="T317" s="541">
        <f>VLOOKUP(A317,'Discount Lookup'!D:E,2,FALSE)*G317</f>
        <v>0</v>
      </c>
      <c r="U317" s="83">
        <f>VLOOKUP(A317,'Discount Lookup'!G:H,2,FALSE)*G317</f>
        <v>0</v>
      </c>
      <c r="V317" s="100">
        <f>E317*($J$1782)*G317</f>
        <v>0</v>
      </c>
      <c r="W317" s="100">
        <f>I317</f>
        <v>0</v>
      </c>
      <c r="X317" s="100" t="b">
        <f>IF(G317&gt;0,IF(AD317="me","",G317))</f>
        <v>0</v>
      </c>
      <c r="Y317" s="201"/>
      <c r="Z317" s="829" t="str">
        <f t="shared" ref="Z317" si="897">IF(G317=0,"",IF(AD317="me","",IF($AD$8="me","",IF(AD317="free","warranty",IF($AD$8="yes","NVP planting:","to NVP install:")))))</f>
        <v/>
      </c>
      <c r="AA317" s="829"/>
      <c r="AB317" s="830" t="str">
        <f>IF(G317=0,"",IF(AD317="free","re-planting",IF(AD317="me","not NVP, by",IF($AD$8="yes",(VLOOKUP(A317,'Discount Lookup'!J:K,2)*G317*(1-$AC$1786)*(1+$AC$1788)),IF(AD317="NVP",(VLOOKUP(A317,'Discount Lookup'!J:K,2)*G317*(1-$AC$1786)*(1+$AC$1788)),IF(AD317="free","re-planting",IF(G317=0,"",IF($AD$8="",IF(AD317="me","not NVP, by",IF(AD317="",IF(G317&gt;0,(VLOOKUP(A317,'Discount Lookup'!J:K,2)*G317*(1-$AC$1786)*(1+$AC$1788)),""),"")),"not NVP, by"))))))))</f>
        <v/>
      </c>
      <c r="AC317" s="830"/>
      <c r="AD317" s="375" t="str">
        <f t="shared" ref="AD317" si="898">IF(G317=0,"",IF($AD$8="me","me",IF(H317="warranty","free",IF($AD$8="yes","NVP",""))))</f>
        <v/>
      </c>
      <c r="AE317" s="833" t="str">
        <f>IF(G317&gt;0,(CONCATENATE((G317)," quantity, ",(A317)," ",B317)),"")</f>
        <v/>
      </c>
      <c r="AF317" s="833"/>
      <c r="AG317" s="833"/>
      <c r="AH317" s="91">
        <f>IF(AD317="free",0,IF(AD317="me",0,IF(G317&gt;0,(VLOOKUP(A317,'Discount Lookup'!J:K,2)*G317),0)))</f>
        <v>0</v>
      </c>
      <c r="AI317" s="92" t="str">
        <f t="shared" si="892"/>
        <v/>
      </c>
      <c r="AJ317" s="828" t="str">
        <f t="shared" ref="AJ317" si="899">IF(G317=0,"",IF(AD317="me","  delivery-only",IF($AD$8="me","  delivery-only",CONCATENATE(" $",ROUND(AI317/G317,2)," each"))))</f>
        <v/>
      </c>
      <c r="AK317" s="828"/>
      <c r="AL317" s="313" t="str">
        <f t="shared" si="751"/>
        <v/>
      </c>
      <c r="AM317" s="312"/>
      <c r="AN317" s="101"/>
      <c r="AO317" s="101"/>
      <c r="AP317" s="101"/>
      <c r="AQ317" s="101"/>
      <c r="AR317" s="101"/>
      <c r="AS317" s="101"/>
      <c r="AT317" s="101"/>
    </row>
    <row r="318" spans="1:46" ht="12.95" customHeight="1">
      <c r="A318" s="419">
        <v>7</v>
      </c>
      <c r="B318" s="87" t="s">
        <v>50</v>
      </c>
      <c r="C318" s="128" t="s">
        <v>51</v>
      </c>
      <c r="D318" s="129" t="s">
        <v>94</v>
      </c>
      <c r="E318" s="98">
        <v>59.95</v>
      </c>
      <c r="F318" s="705" t="s">
        <v>1306</v>
      </c>
      <c r="G318" s="357">
        <v>0</v>
      </c>
      <c r="H318" s="704" t="str">
        <f t="shared" ref="H318" si="900">IF(G318=0,"",IF(F318="Qty=",IF(G318=1,"plant","plants"),IF(F318&gt;0.0001,"warranty","Error")))</f>
        <v/>
      </c>
      <c r="I318" s="98">
        <f t="shared" ref="I318" si="901">IF(F318="Qty=",(E318*G318),((E318*(1-F318))*G318))</f>
        <v>0</v>
      </c>
      <c r="J318" s="98">
        <f>IF(H318="warranty",0,(I318*($J$1782)))</f>
        <v>0</v>
      </c>
      <c r="K318" s="831">
        <f t="shared" si="889"/>
        <v>0</v>
      </c>
      <c r="L318" s="831"/>
      <c r="M318" s="832" t="str">
        <f>IF($H$1784=0,"",IF(G318=0,"",IF(F318="Qty=",CONCATENATE("$",ROUND(K318*(1-$H$1784),2)," with ",($H$1784*100),"% discount"),CONCATENATE("$",ROUND(K318*(1-$H$1784),2)," with ",(($H$1784*100+F318*100)-($H$1784*100*F318)),IF(F318&gt;0,"% discounts",IF($H$1781&gt;0,"% discounts","% discount"))))))</f>
        <v/>
      </c>
      <c r="N318" s="832"/>
      <c r="O318" s="832"/>
      <c r="P318" s="832"/>
      <c r="Q318" s="832"/>
      <c r="R318" s="832"/>
      <c r="S318" s="303">
        <f>E318*G318</f>
        <v>0</v>
      </c>
      <c r="T318" s="541">
        <f>VLOOKUP(A318,'Discount Lookup'!D:E,2,FALSE)*G318</f>
        <v>0</v>
      </c>
      <c r="U318" s="83">
        <f>VLOOKUP(A318,'Discount Lookup'!G:H,2,FALSE)*G318</f>
        <v>0</v>
      </c>
      <c r="V318" s="100">
        <f>E318*($J$1782)*G318</f>
        <v>0</v>
      </c>
      <c r="W318" s="100">
        <f>I318</f>
        <v>0</v>
      </c>
      <c r="X318" s="100" t="b">
        <f>IF(G318&gt;0,IF(AD318="me","",G318))</f>
        <v>0</v>
      </c>
      <c r="Y318" s="201"/>
      <c r="Z318" s="829" t="str">
        <f t="shared" si="807"/>
        <v/>
      </c>
      <c r="AA318" s="829"/>
      <c r="AB318" s="830" t="str">
        <f>IF(G318=0,"",IF(AD318="free","re-planting",IF(AD318="me","not NVP, by",IF($AD$8="yes",(VLOOKUP(A318,'Discount Lookup'!J:K,2)*G318*(1-$AC$1786)*(1+$AC$1788)),IF(AD318="NVP",(VLOOKUP(A318,'Discount Lookup'!J:K,2)*G318*(1-$AC$1786)*(1+$AC$1788)),IF(AD318="free","re-planting",IF(G318=0,"",IF($AD$8="",IF(AD318="me","not NVP, by",IF(AD318="",IF(G318&gt;0,(VLOOKUP(A318,'Discount Lookup'!J:K,2)*G318*(1-$AC$1786)*(1+$AC$1788)),""),"")),"not NVP, by"))))))))</f>
        <v/>
      </c>
      <c r="AC318" s="830"/>
      <c r="AD318" s="375" t="str">
        <f t="shared" si="861"/>
        <v/>
      </c>
      <c r="AE318" s="833" t="str">
        <f>IF(G318&gt;0,(CONCATENATE((G318)," quantity, ",(A318)," ",B318)),"")</f>
        <v/>
      </c>
      <c r="AF318" s="833"/>
      <c r="AG318" s="833"/>
      <c r="AH318" s="91">
        <f>IF(AD318="free",0,IF(AD318="me",0,IF(G318&gt;0,(VLOOKUP(A318,'Discount Lookup'!J:K,2)*G318),0)))</f>
        <v>0</v>
      </c>
      <c r="AI318" s="92" t="str">
        <f t="shared" si="892"/>
        <v/>
      </c>
      <c r="AJ318" s="828" t="str">
        <f t="shared" si="809"/>
        <v/>
      </c>
      <c r="AK318" s="828"/>
      <c r="AL318" s="313" t="str">
        <f t="shared" si="751"/>
        <v/>
      </c>
      <c r="AM318" s="312"/>
      <c r="AN318" s="101"/>
      <c r="AO318" s="101"/>
      <c r="AP318" s="101"/>
      <c r="AQ318" s="101"/>
      <c r="AR318" s="101"/>
      <c r="AS318" s="101"/>
      <c r="AT318" s="101"/>
    </row>
    <row r="319" spans="1:46" ht="12.75" customHeight="1">
      <c r="A319" s="469"/>
      <c r="B319" s="150" t="s">
        <v>257</v>
      </c>
      <c r="C319" s="104"/>
      <c r="D319" s="104"/>
      <c r="E319" s="131"/>
      <c r="F319" s="710"/>
      <c r="G319" s="358"/>
      <c r="H319" s="744"/>
      <c r="I319" s="131"/>
      <c r="J319" s="131"/>
      <c r="K319" s="608"/>
      <c r="L319" s="608"/>
      <c r="M319" s="48"/>
      <c r="N319" s="163" t="s">
        <v>132</v>
      </c>
      <c r="O319" s="48"/>
      <c r="P319" s="48"/>
      <c r="Q319" s="48"/>
      <c r="R319" s="48"/>
      <c r="S319" s="48"/>
      <c r="T319" s="546"/>
      <c r="V319" s="100" t="b">
        <f>IF(G319&gt;0,IF(AD319="me","",G319))</f>
        <v>0</v>
      </c>
      <c r="W319" s="100"/>
      <c r="X319" s="100"/>
      <c r="Y319" s="201"/>
      <c r="Z319" s="829" t="str">
        <f t="shared" si="807"/>
        <v/>
      </c>
      <c r="AA319" s="829"/>
      <c r="AB319" s="830" t="str">
        <f>IF(G319=0,"",IF(AD319="free","re-planting",IF(AD319="me","not NVP, by",IF($AD$8="yes",(VLOOKUP(A319,'Discount Lookup'!J:K,2)*G319*(1-$AC$1786)*(1+$AC$1788)),IF(AD319="NVP",(VLOOKUP(A319,'Discount Lookup'!J:K,2)*G319*(1-$AC$1786)*(1+$AC$1788)),IF(AD319="free","re-planting",IF(G319=0,"",IF($AD$8="",IF(AD319="me","not NVP, by",IF(AD319="",IF(G319&gt;0,(VLOOKUP(A319,'Discount Lookup'!J:K,2)*G319*(1-$AC$1786)*(1+$AC$1788)),""),"")),"not NVP, by"))))))))</f>
        <v/>
      </c>
      <c r="AC319" s="830"/>
      <c r="AD319" s="375" t="str">
        <f t="shared" si="861"/>
        <v/>
      </c>
      <c r="AE319" s="833" t="str">
        <f t="shared" si="837"/>
        <v/>
      </c>
      <c r="AF319" s="833"/>
      <c r="AG319" s="833"/>
      <c r="AH319" s="91">
        <f>IF(AD319="free",0,IF(AD319="me",0,IF(G319&gt;0,(VLOOKUP(A319,'Discount Lookup'!J:K,2)*G319),0)))</f>
        <v>0</v>
      </c>
      <c r="AI319" s="92" t="str">
        <f t="shared" si="892"/>
        <v/>
      </c>
      <c r="AJ319" s="828" t="str">
        <f t="shared" si="809"/>
        <v/>
      </c>
      <c r="AK319" s="828"/>
      <c r="AL319" s="313" t="str">
        <f t="shared" si="751"/>
        <v/>
      </c>
      <c r="AM319" s="312"/>
      <c r="AN319" s="101"/>
      <c r="AO319" s="101"/>
      <c r="AP319" s="101"/>
      <c r="AQ319" s="101"/>
      <c r="AR319" s="101"/>
      <c r="AS319" s="101"/>
      <c r="AT319" s="101"/>
    </row>
    <row r="320" spans="1:46" ht="12.75" customHeight="1">
      <c r="A320" s="471"/>
      <c r="C320" s="104"/>
      <c r="D320" s="104"/>
      <c r="E320" s="131"/>
      <c r="F320" s="710"/>
      <c r="G320" s="358"/>
      <c r="H320" s="744"/>
      <c r="I320" s="119"/>
      <c r="J320" s="378"/>
      <c r="N320" s="840"/>
      <c r="O320" s="840"/>
      <c r="Q320" s="841" t="s">
        <v>125</v>
      </c>
      <c r="R320" s="841"/>
      <c r="S320" s="841"/>
      <c r="T320" s="841"/>
      <c r="U320" s="841"/>
      <c r="V320" s="841"/>
      <c r="Y320" s="132"/>
      <c r="Z320" s="829" t="str">
        <f t="shared" si="807"/>
        <v/>
      </c>
      <c r="AA320" s="829"/>
      <c r="AB320" s="830" t="str">
        <f>IF(G320=0,"",IF(AD320="free","re-planting",IF(AD320="me","not NVP, by",IF($AD$8="yes",(VLOOKUP(A320,'Discount Lookup'!J:K,2)*G320*(1-$AC$1786)*(1+$AC$1788)),IF(AD320="NVP",(VLOOKUP(A320,'Discount Lookup'!J:K,2)*G320*(1-$AC$1786)*(1+$AC$1788)),IF(AD320="free","re-planting",IF(G320=0,"",IF($AD$8="",IF(AD320="me","not NVP, by",IF(AD320="",IF(G320&gt;0,(VLOOKUP(A320,'Discount Lookup'!J:K,2)*G320*(1-$AC$1786)*(1+$AC$1788)),""),"")),"not NVP, by"))))))))</f>
        <v/>
      </c>
      <c r="AC320" s="830"/>
      <c r="AD320" s="375" t="str">
        <f t="shared" si="861"/>
        <v/>
      </c>
      <c r="AE320" s="833" t="str">
        <f t="shared" si="837"/>
        <v/>
      </c>
      <c r="AF320" s="833"/>
      <c r="AG320" s="833"/>
      <c r="AH320" s="91">
        <f>IF(AD320="free",0,IF(AD320="me",0,IF(G320&gt;0,(VLOOKUP(A320,'Discount Lookup'!J:K,2)*G320),0)))</f>
        <v>0</v>
      </c>
      <c r="AI320" s="92" t="str">
        <f t="shared" si="892"/>
        <v/>
      </c>
      <c r="AJ320" s="828" t="str">
        <f t="shared" si="809"/>
        <v/>
      </c>
      <c r="AK320" s="828"/>
      <c r="AL320" s="313" t="str">
        <f t="shared" si="751"/>
        <v/>
      </c>
      <c r="AM320" s="312"/>
      <c r="AN320" s="101"/>
      <c r="AO320" s="101"/>
      <c r="AP320" s="101"/>
      <c r="AQ320" s="101"/>
      <c r="AR320" s="101"/>
      <c r="AS320" s="101"/>
      <c r="AT320" s="101"/>
    </row>
    <row r="321" spans="1:46" ht="12.75" customHeight="1">
      <c r="A321" s="1042" t="s">
        <v>1555</v>
      </c>
      <c r="B321" s="1043"/>
      <c r="C321" s="1043"/>
      <c r="D321" s="1043"/>
      <c r="E321" s="1043"/>
      <c r="F321" s="1043"/>
      <c r="G321" s="1043"/>
      <c r="H321" s="1043"/>
      <c r="I321" s="521" t="str">
        <f>IF($A$8="show",COUNTIF($G$321:$G$697,"&gt;0"),IF($E$1="Quote","",IF($E$1="Order","",IF($E$1="Delivered","",IF($E$1="Completed","",IF(SUM($G$321:$G$697)=0,"",COUNTIF($G$321:$G$697,"&gt;0")))))))</f>
        <v/>
      </c>
      <c r="J321" s="522" t="str">
        <f>IF($A$8="show",CONCATENATE("DT picked, ",SUM($G$321:G697)," DT plants total"),IF($E$1="Quote","",IF($E$1="Order","",IF($E$1="Delivered","",IF($E$1="Completed","",IF(SUM($G$321:G697)&gt;0,CONCATENATE("DT picked, ",SUM($G$321:G697)," DT plants total"),""))))))</f>
        <v/>
      </c>
      <c r="K321" s="610"/>
      <c r="L321" s="610"/>
      <c r="M321" s="856" t="s">
        <v>258</v>
      </c>
      <c r="N321" s="857"/>
      <c r="O321" s="858"/>
      <c r="P321" s="873" t="s">
        <v>259</v>
      </c>
      <c r="Q321" s="874"/>
      <c r="R321" s="874"/>
      <c r="S321" s="874"/>
      <c r="T321" s="874"/>
      <c r="U321" s="874"/>
      <c r="V321" s="100"/>
      <c r="W321" s="100"/>
      <c r="X321" s="100"/>
      <c r="Y321" s="201"/>
      <c r="Z321" s="829" t="str">
        <f t="shared" si="807"/>
        <v/>
      </c>
      <c r="AA321" s="829"/>
      <c r="AB321" s="830" t="str">
        <f>IF(G321=0,"",IF(AD321="free","re-planting",IF(AD321="me","not NVP, by",IF($AD$8="yes",(VLOOKUP(A321,'Discount Lookup'!J:K,2)*G321*(1-$AC$1786)*(1+$AC$1788)),IF(AD321="NVP",(VLOOKUP(A321,'Discount Lookup'!J:K,2)*G321*(1-$AC$1786)*(1+$AC$1788)),IF(AD321="free","re-planting",IF(G321=0,"",IF($AD$8="",IF(AD321="me","not NVP, by",IF(AD321="",IF(G321&gt;0,(VLOOKUP(A321,'Discount Lookup'!J:K,2)*G321*(1-$AC$1786)*(1+$AC$1788)),""),"")),"not NVP, by"))))))))</f>
        <v/>
      </c>
      <c r="AC321" s="830"/>
      <c r="AD321" s="375" t="str">
        <f t="shared" si="861"/>
        <v/>
      </c>
      <c r="AE321" s="833" t="str">
        <f t="shared" si="837"/>
        <v/>
      </c>
      <c r="AF321" s="833"/>
      <c r="AG321" s="833"/>
      <c r="AH321" s="91">
        <f>IF(AD321="free",0,IF(AD321="me",0,IF(G321&gt;0,(VLOOKUP(A321,'Discount Lookup'!J:K,2)*G321),0)))</f>
        <v>0</v>
      </c>
      <c r="AI321" s="92" t="str">
        <f t="shared" si="892"/>
        <v/>
      </c>
      <c r="AJ321" s="828" t="str">
        <f t="shared" si="809"/>
        <v/>
      </c>
      <c r="AK321" s="828"/>
      <c r="AL321" s="313" t="str">
        <f t="shared" si="751"/>
        <v/>
      </c>
      <c r="AM321" s="312"/>
      <c r="AN321" s="101"/>
      <c r="AO321" s="101"/>
      <c r="AP321" s="101"/>
      <c r="AQ321" s="101"/>
      <c r="AR321" s="101"/>
      <c r="AS321" s="101"/>
      <c r="AT321" s="101"/>
    </row>
    <row r="322" spans="1:46" ht="12.75" customHeight="1">
      <c r="A322" s="889" t="s">
        <v>1538</v>
      </c>
      <c r="B322" s="890"/>
      <c r="C322" s="890"/>
      <c r="D322" s="890"/>
      <c r="E322" s="890"/>
      <c r="F322" s="890"/>
      <c r="G322" s="890"/>
      <c r="H322" s="774" t="s">
        <v>260</v>
      </c>
      <c r="I322" s="349" t="s">
        <v>261</v>
      </c>
      <c r="J322" s="157"/>
      <c r="K322" s="611" t="s">
        <v>45</v>
      </c>
      <c r="L322" s="630" t="s">
        <v>46</v>
      </c>
      <c r="M322" s="157"/>
      <c r="N322" s="158" t="s">
        <v>262</v>
      </c>
      <c r="O322" s="158"/>
      <c r="P322" s="158"/>
      <c r="Q322" s="159"/>
      <c r="R322" s="835" t="s">
        <v>49</v>
      </c>
      <c r="S322" s="835"/>
      <c r="T322" s="835"/>
      <c r="U322" s="835"/>
      <c r="V322" s="100" t="b">
        <f>IF(G322&gt;0,IF(AD322="me","",G322))</f>
        <v>0</v>
      </c>
      <c r="W322" s="100"/>
      <c r="X322" s="100"/>
      <c r="Y322" s="201"/>
      <c r="Z322" s="829" t="str">
        <f t="shared" si="807"/>
        <v/>
      </c>
      <c r="AA322" s="829"/>
      <c r="AB322" s="830" t="str">
        <f>IF(G322=0,"",IF(AD322="free","re-planting",IF(AD322="me","not NVP, by",IF($AD$8="yes",(VLOOKUP(A322,'Discount Lookup'!J:K,2)*G322*(1-$AC$1786)*(1+$AC$1788)),IF(AD322="NVP",(VLOOKUP(A322,'Discount Lookup'!J:K,2)*G322*(1-$AC$1786)*(1+$AC$1788)),IF(AD322="free","re-planting",IF(G322=0,"",IF($AD$8="",IF(AD322="me","not NVP, by",IF(AD322="",IF(G322&gt;0,(VLOOKUP(A322,'Discount Lookup'!J:K,2)*G322*(1-$AC$1786)*(1+$AC$1788)),""),"")),"not NVP, by"))))))))</f>
        <v/>
      </c>
      <c r="AC322" s="830"/>
      <c r="AD322" s="375" t="str">
        <f t="shared" si="861"/>
        <v/>
      </c>
      <c r="AE322" s="833" t="str">
        <f t="shared" si="837"/>
        <v/>
      </c>
      <c r="AF322" s="833"/>
      <c r="AG322" s="833"/>
      <c r="AH322" s="91">
        <f>IF(AD322="free",0,IF(AD322="me",0,IF(G322&gt;0,(VLOOKUP(A322,'Discount Lookup'!J:K,2)*G322),0)))</f>
        <v>0</v>
      </c>
      <c r="AI322" s="92" t="str">
        <f t="shared" si="892"/>
        <v/>
      </c>
      <c r="AJ322" s="828" t="str">
        <f t="shared" si="809"/>
        <v/>
      </c>
      <c r="AK322" s="828"/>
      <c r="AL322" s="313" t="str">
        <f t="shared" si="751"/>
        <v/>
      </c>
      <c r="AM322" s="312"/>
      <c r="AN322" s="101"/>
      <c r="AO322" s="101"/>
      <c r="AP322" s="101"/>
      <c r="AQ322" s="101"/>
      <c r="AR322" s="101"/>
      <c r="AS322" s="101"/>
      <c r="AT322" s="101"/>
    </row>
    <row r="323" spans="1:46" ht="12.95" customHeight="1">
      <c r="A323" s="383">
        <v>7</v>
      </c>
      <c r="B323" s="158" t="s">
        <v>50</v>
      </c>
      <c r="C323" s="160" t="s">
        <v>91</v>
      </c>
      <c r="D323" s="161" t="s">
        <v>54</v>
      </c>
      <c r="E323" s="162">
        <v>109.95</v>
      </c>
      <c r="F323" s="713" t="s">
        <v>1306</v>
      </c>
      <c r="G323" s="357">
        <v>0</v>
      </c>
      <c r="H323" s="748" t="str">
        <f t="shared" ref="H323" si="902">IF(G323=0,"",IF(F323="Qty=",IF(G323=1,"plant","plants"),IF(F323&gt;0.0001,"warranty","Error")))</f>
        <v/>
      </c>
      <c r="I323" s="592">
        <f t="shared" ref="I323" si="903">IF(F323="Qty=",(E323*G323),((E323*(1-F323))*G323))</f>
        <v>0</v>
      </c>
      <c r="J323" s="592">
        <f>IF(H323="warranty",0,(I323*($J$1782)))</f>
        <v>0</v>
      </c>
      <c r="K323" s="834">
        <f t="shared" ref="K323" si="904">I323+J323</f>
        <v>0</v>
      </c>
      <c r="L323" s="834"/>
      <c r="M323" s="832" t="str">
        <f>IF($H$1784=0,"",IF(G323=0,"",IF(F323="Qty=",CONCATENATE("$",ROUND(K323*(1-$H$1784),2)," with ",($H$1784*100),"% discount"),CONCATENATE("$",ROUND(K323*(1-$H$1784),2)," with ",(($H$1784*100+F323*100)-($H$1784*100*F323)),IF(F323&gt;0,"% discounts",IF($H$1781&gt;0,"% discounts","% discount"))))))</f>
        <v/>
      </c>
      <c r="N323" s="832"/>
      <c r="O323" s="832"/>
      <c r="P323" s="832"/>
      <c r="Q323" s="832"/>
      <c r="R323" s="832"/>
      <c r="S323" s="303">
        <f t="shared" ref="S323" si="905">E323*G323</f>
        <v>0</v>
      </c>
      <c r="T323" s="541">
        <f>VLOOKUP(A323,'Discount Lookup'!D:E,2,FALSE)*G323</f>
        <v>0</v>
      </c>
      <c r="U323" s="83">
        <f>VLOOKUP(A323,'Discount Lookup'!G:H,2,FALSE)*G323</f>
        <v>0</v>
      </c>
      <c r="V323" s="100">
        <f>E323*($J$1782)*G323</f>
        <v>0</v>
      </c>
      <c r="W323" s="100">
        <f t="shared" ref="W323" si="906">I323</f>
        <v>0</v>
      </c>
      <c r="X323" s="100" t="b">
        <f t="shared" ref="X323" si="907">IF(G323&gt;0,IF(AD323="me","",G323))</f>
        <v>0</v>
      </c>
      <c r="Y323" s="201"/>
      <c r="Z323" s="829" t="str">
        <f t="shared" ref="Z323" si="908">IF(G323=0,"",IF(AD323="me","",IF($AD$8="me","",IF(AD323="free","warranty",IF($AD$8="yes","NVP planting:","to NVP install:")))))</f>
        <v/>
      </c>
      <c r="AA323" s="829"/>
      <c r="AB323" s="830" t="str">
        <f>IF(G323=0,"",IF(AD323="free","re-planting",IF(AD323="me","not NVP, by",IF($AD$8="yes",(VLOOKUP(A323,'Discount Lookup'!J:K,2)*G323*(1-$AC$1786)*(1+$AC$1788)),IF(AD323="NVP",(VLOOKUP(A323,'Discount Lookup'!J:K,2)*G323*(1-$AC$1786)*(1+$AC$1788)),IF(AD323="free","re-planting",IF(G323=0,"",IF($AD$8="",IF(AD323="me","not NVP, by",IF(AD323="",IF(G323&gt;0,(VLOOKUP(A323,'Discount Lookup'!J:K,2)*G323*(1-$AC$1786)*(1+$AC$1788)),""),"")),"not NVP, by"))))))))</f>
        <v/>
      </c>
      <c r="AC323" s="830"/>
      <c r="AD323" s="375" t="str">
        <f t="shared" si="861"/>
        <v/>
      </c>
      <c r="AE323" s="833" t="str">
        <f t="shared" ref="AE323" si="909">IF(G323&gt;0,(CONCATENATE((G323)," quantity, ",(A323)," ",B323)),"")</f>
        <v/>
      </c>
      <c r="AF323" s="833"/>
      <c r="AG323" s="833"/>
      <c r="AH323" s="91">
        <f>IF(AD323="free",0,IF(AD323="me",0,IF(G323&gt;0,(VLOOKUP(A323,'Discount Lookup'!J:K,2)*G323),0)))</f>
        <v>0</v>
      </c>
      <c r="AI323" s="92" t="str">
        <f t="shared" si="892"/>
        <v/>
      </c>
      <c r="AJ323" s="828" t="str">
        <f t="shared" ref="AJ323" si="910">IF(G323=0,"",IF(AD323="me","  delivery-only",IF($AD$8="me","  delivery-only",CONCATENATE(" $",ROUND(AI323/G323,2)," each"))))</f>
        <v/>
      </c>
      <c r="AK323" s="828"/>
      <c r="AL323" s="313" t="str">
        <f t="shared" si="751"/>
        <v/>
      </c>
      <c r="AM323" s="312"/>
      <c r="AN323" s="101"/>
      <c r="AO323" s="101"/>
      <c r="AP323" s="101"/>
      <c r="AQ323" s="101"/>
      <c r="AR323" s="101"/>
      <c r="AS323" s="101"/>
      <c r="AT323" s="101"/>
    </row>
    <row r="324" spans="1:46" ht="12.95" customHeight="1">
      <c r="A324" s="472"/>
      <c r="B324" s="149" t="s">
        <v>267</v>
      </c>
      <c r="C324" s="118"/>
      <c r="D324" s="118"/>
      <c r="E324" s="119"/>
      <c r="F324" s="711"/>
      <c r="G324" s="358"/>
      <c r="H324" s="745"/>
      <c r="I324" s="119"/>
      <c r="J324" s="119"/>
      <c r="K324" s="609"/>
      <c r="L324" s="609"/>
      <c r="M324" s="121"/>
      <c r="N324" s="163" t="s">
        <v>268</v>
      </c>
      <c r="O324" s="123"/>
      <c r="P324" s="124"/>
      <c r="Q324" s="124"/>
      <c r="R324" s="83"/>
      <c r="S324" s="82">
        <f t="shared" ref="S324" si="911">E324*G324</f>
        <v>0</v>
      </c>
      <c r="T324" s="540"/>
      <c r="U324" s="83"/>
      <c r="V324" s="100" t="b">
        <f>IF(G324&gt;0,IF(AD324="me","",G324))</f>
        <v>0</v>
      </c>
      <c r="W324" s="100"/>
      <c r="X324" s="100"/>
      <c r="Y324" s="201"/>
      <c r="Z324" s="829" t="str">
        <f t="shared" si="807"/>
        <v/>
      </c>
      <c r="AA324" s="829"/>
      <c r="AB324" s="830" t="str">
        <f>IF(G324=0,"",IF(AD324="free","re-planting",IF(AD324="me","not NVP, by",IF($AD$8="yes",(VLOOKUP(A324,'Discount Lookup'!J:K,2)*G324*(1-$AC$1786)*(1+$AC$1788)),IF(AD324="NVP",(VLOOKUP(A324,'Discount Lookup'!J:K,2)*G324*(1-$AC$1786)*(1+$AC$1788)),IF(AD324="free","re-planting",IF(G324=0,"",IF($AD$8="",IF(AD324="me","not NVP, by",IF(AD324="",IF(G324&gt;0,(VLOOKUP(A324,'Discount Lookup'!J:K,2)*G324*(1-$AC$1786)*(1+$AC$1788)),""),"")),"not NVP, by"))))))))</f>
        <v/>
      </c>
      <c r="AC324" s="830"/>
      <c r="AD324" s="375" t="str">
        <f t="shared" si="861"/>
        <v/>
      </c>
      <c r="AE324" s="833" t="str">
        <f t="shared" si="837"/>
        <v/>
      </c>
      <c r="AF324" s="833"/>
      <c r="AG324" s="833"/>
      <c r="AH324" s="91">
        <f>IF(AD324="free",0,IF(AD324="me",0,IF(G324&gt;0,(VLOOKUP(A324,'Discount Lookup'!J:K,2)*G324),0)))</f>
        <v>0</v>
      </c>
      <c r="AI324" s="92" t="str">
        <f t="shared" si="892"/>
        <v/>
      </c>
      <c r="AJ324" s="828" t="str">
        <f t="shared" si="809"/>
        <v/>
      </c>
      <c r="AK324" s="828"/>
      <c r="AL324" s="313" t="str">
        <f t="shared" si="751"/>
        <v/>
      </c>
      <c r="AM324" s="312"/>
      <c r="AN324" s="101"/>
      <c r="AO324" s="101"/>
      <c r="AP324" s="101"/>
      <c r="AQ324" s="101"/>
      <c r="AR324" s="101"/>
      <c r="AS324" s="101"/>
      <c r="AT324" s="101"/>
    </row>
    <row r="325" spans="1:46" ht="12.95" customHeight="1">
      <c r="A325" s="889" t="s">
        <v>269</v>
      </c>
      <c r="B325" s="890"/>
      <c r="C325" s="890"/>
      <c r="D325" s="890"/>
      <c r="E325" s="890"/>
      <c r="F325" s="890"/>
      <c r="G325" s="890"/>
      <c r="H325" s="774" t="s">
        <v>270</v>
      </c>
      <c r="I325" s="164" t="s">
        <v>79</v>
      </c>
      <c r="J325" s="157"/>
      <c r="K325" s="611" t="s">
        <v>45</v>
      </c>
      <c r="L325" s="630" t="s">
        <v>46</v>
      </c>
      <c r="M325" s="157"/>
      <c r="N325" s="158" t="s">
        <v>69</v>
      </c>
      <c r="O325" s="158"/>
      <c r="P325" s="158"/>
      <c r="Q325" s="158"/>
      <c r="R325" s="835" t="s">
        <v>49</v>
      </c>
      <c r="S325" s="835"/>
      <c r="T325" s="835"/>
      <c r="U325" s="835"/>
      <c r="V325" s="100" t="b">
        <f>IF(G325&gt;0,IF(AD325="me","",G325))</f>
        <v>0</v>
      </c>
      <c r="W325" s="100"/>
      <c r="X325" s="100"/>
      <c r="Y325" s="201"/>
      <c r="Z325" s="838" t="str">
        <f>IF(G325=0,"",IF(AD325="me","",IF($AD$8="me","",IF(AD325="free","warranty",IF($AD$8="yes","NVP planting:","to NVP install:")))))</f>
        <v/>
      </c>
      <c r="AA325" s="838"/>
      <c r="AB325" s="830" t="str">
        <f>IF(G325=0,"",IF(AD325="free","re-planting",IF(AD325="me","not NVP, by",IF($AD$8="yes",(VLOOKUP(A325,'Discount Lookup'!J:K,2)*G325*(1-$AC$1786)*(1+$AC$1788)),IF(AD325="NVP",(VLOOKUP(A325,'Discount Lookup'!J:K,2)*G325*(1-$AC$1786)*(1+$AC$1788)),IF(AD325="free","re-planting",IF(G325=0,"",IF($AD$8="",IF(AD325="me","not NVP, by",IF(AD325="",IF(G325&gt;0,(VLOOKUP(A325,'Discount Lookup'!J:K,2)*G325*(1-$AC$1786)*(1+$AC$1788)),""),"")),"not NVP, by"))))))))</f>
        <v/>
      </c>
      <c r="AC325" s="830"/>
      <c r="AD325" s="375" t="str">
        <f t="shared" si="861"/>
        <v/>
      </c>
      <c r="AE325" s="833" t="str">
        <f>IF(G325&gt;0,(CONCATENATE((G325)," quantity, ",(A325)," ",B325)),"")</f>
        <v/>
      </c>
      <c r="AF325" s="833"/>
      <c r="AG325" s="833"/>
      <c r="AH325" s="91" t="str">
        <f>IF(AD325="free",0,IF(AD325="me","",IF(G325&gt;0,(VLOOKUP(A325,'Discount Lookup'!J:K,2)*G325),"")))</f>
        <v/>
      </c>
      <c r="AI325" s="92" t="str">
        <f t="shared" si="892"/>
        <v/>
      </c>
      <c r="AJ325" s="828" t="str">
        <f>IF(G325=0,"",IF(AD325="me","  delivery-only",CONCATENATE(" $",ROUND(AI325/G325,2)," each")))</f>
        <v/>
      </c>
      <c r="AK325" s="828"/>
      <c r="AL325" s="313" t="str">
        <f t="shared" si="751"/>
        <v/>
      </c>
      <c r="AM325" s="312"/>
      <c r="AN325" s="101"/>
      <c r="AO325" s="101"/>
      <c r="AP325" s="101"/>
      <c r="AQ325" s="101"/>
      <c r="AR325" s="101"/>
      <c r="AS325" s="101"/>
      <c r="AT325" s="101"/>
    </row>
    <row r="326" spans="1:46" ht="12.95" customHeight="1">
      <c r="A326" s="383">
        <v>7</v>
      </c>
      <c r="B326" s="158" t="s">
        <v>50</v>
      </c>
      <c r="C326" s="402" t="s">
        <v>466</v>
      </c>
      <c r="D326" s="161" t="s">
        <v>54</v>
      </c>
      <c r="E326" s="162">
        <v>109.95</v>
      </c>
      <c r="F326" s="713" t="s">
        <v>1306</v>
      </c>
      <c r="G326" s="357">
        <v>0</v>
      </c>
      <c r="H326" s="748" t="str">
        <f t="shared" ref="H326" si="912">IF(G326=0,"",IF(F326="Qty=",IF(G326=1,"plant","plants"),IF(F326&gt;0.0001,"warranty","Error")))</f>
        <v/>
      </c>
      <c r="I326" s="592">
        <f t="shared" ref="I326" si="913">IF(F326="Qty=",(E326*G326),((E326*(1-F326))*G326))</f>
        <v>0</v>
      </c>
      <c r="J326" s="592">
        <f>IF(H326="warranty",0,(I326*($J$1782)))</f>
        <v>0</v>
      </c>
      <c r="K326" s="834">
        <f t="shared" ref="K326" si="914">I326+J326</f>
        <v>0</v>
      </c>
      <c r="L326" s="834"/>
      <c r="M326" s="832" t="str">
        <f>IF($H$1784=0,"",IF(G326=0,"",IF(F326="Qty=",CONCATENATE("$",ROUND(K326*(1-$H$1784),2)," with ",($H$1784*100),"% discount"),CONCATENATE("$",ROUND(K326*(1-$H$1784),2)," with ",(($H$1784*100+F326*100)-($H$1784*100*F326)),IF(F326&gt;0,"% discounts",IF($H$1781&gt;0,"% discounts","% discount"))))))</f>
        <v/>
      </c>
      <c r="N326" s="832"/>
      <c r="O326" s="832"/>
      <c r="P326" s="832"/>
      <c r="Q326" s="832"/>
      <c r="R326" s="832"/>
      <c r="S326" s="303">
        <f t="shared" ref="S326" si="915">E326*G326</f>
        <v>0</v>
      </c>
      <c r="T326" s="541">
        <f>VLOOKUP(A326,'Discount Lookup'!D:E,2,FALSE)*G326</f>
        <v>0</v>
      </c>
      <c r="U326" s="83">
        <f>VLOOKUP(A326,'Discount Lookup'!G:H,2,FALSE)*G326</f>
        <v>0</v>
      </c>
      <c r="V326" s="100">
        <f>E326*($J$1782)*G326</f>
        <v>0</v>
      </c>
      <c r="W326" s="100">
        <f t="shared" ref="W326" si="916">I326</f>
        <v>0</v>
      </c>
      <c r="X326" s="100" t="b">
        <f>IF(G326&gt;0,IF(AD326="me","",G326))</f>
        <v>0</v>
      </c>
      <c r="Y326" s="201"/>
      <c r="Z326" s="838" t="str">
        <f>IF(G326=0,"",IF(AD326="me","",IF($AD$8="me","",IF(AD326="free","warranty",IF($AD$8="yes","NVP planting:","to NVP install:")))))</f>
        <v/>
      </c>
      <c r="AA326" s="838"/>
      <c r="AB326" s="830" t="str">
        <f>IF(G326=0,"",IF(AD326="free","re-planting",IF(AD326="me","not NVP, by",IF($AD$8="yes",(VLOOKUP(A326,'Discount Lookup'!J:K,2)*G326*(1-$AC$1786)*(1+$AC$1788)),IF(AD326="NVP",(VLOOKUP(A326,'Discount Lookup'!J:K,2)*G326*(1-$AC$1786)*(1+$AC$1788)),IF(AD326="free","re-planting",IF(G326=0,"",IF($AD$8="",IF(AD326="me","not NVP, by",IF(AD326="",IF(G326&gt;0,(VLOOKUP(A326,'Discount Lookup'!J:K,2)*G326*(1-$AC$1786)*(1+$AC$1788)),""),"")),"not NVP, by"))))))))</f>
        <v/>
      </c>
      <c r="AC326" s="830"/>
      <c r="AD326" s="375" t="str">
        <f t="shared" si="861"/>
        <v/>
      </c>
      <c r="AE326" s="833" t="str">
        <f>IF(G326&gt;0,(CONCATENATE((G326)," quantity, ",(A326)," ",B326)),"")</f>
        <v/>
      </c>
      <c r="AF326" s="833"/>
      <c r="AG326" s="833"/>
      <c r="AH326" s="91" t="str">
        <f>IF(AD326="free",0,IF(AD326="me","",IF(G326&gt;0,(VLOOKUP(A326,'Discount Lookup'!J:K,2)*G326),"")))</f>
        <v/>
      </c>
      <c r="AI326" s="92" t="str">
        <f t="shared" si="892"/>
        <v/>
      </c>
      <c r="AJ326" s="828" t="str">
        <f>IF(G326=0,"",IF(AD326="me","  delivery-only",CONCATENATE(" $",ROUND(AI326/G326,2)," each")))</f>
        <v/>
      </c>
      <c r="AK326" s="828"/>
      <c r="AL326" s="313" t="str">
        <f t="shared" si="751"/>
        <v/>
      </c>
      <c r="AM326" s="312"/>
      <c r="AN326" s="101"/>
      <c r="AO326" s="101"/>
      <c r="AP326" s="101"/>
      <c r="AQ326" s="101"/>
      <c r="AR326" s="101"/>
      <c r="AS326" s="101"/>
      <c r="AT326" s="101"/>
    </row>
    <row r="327" spans="1:46" ht="12.95" customHeight="1">
      <c r="A327" s="473"/>
      <c r="B327" s="149" t="s">
        <v>271</v>
      </c>
      <c r="C327" s="117"/>
      <c r="D327" s="118"/>
      <c r="E327" s="119"/>
      <c r="F327" s="711"/>
      <c r="G327" s="356"/>
      <c r="H327" s="745"/>
      <c r="I327" s="119"/>
      <c r="J327" s="119"/>
      <c r="K327" s="609"/>
      <c r="L327" s="609"/>
      <c r="P327" s="124"/>
      <c r="Q327" s="124"/>
      <c r="R327" s="83"/>
      <c r="S327" s="82">
        <f>E327*G327</f>
        <v>0</v>
      </c>
      <c r="T327" s="540"/>
      <c r="U327" s="83"/>
      <c r="V327" s="100" t="b">
        <f>IF(G327&gt;0,IF(AD327="me","",G327))</f>
        <v>0</v>
      </c>
      <c r="W327" s="100"/>
      <c r="X327" s="100"/>
      <c r="Y327" s="201"/>
      <c r="Z327" s="838" t="str">
        <f>IF(G327=0,"",IF(AD327="me","",IF($AD$8="me","",IF(AD327="free","warranty",IF($AD$8="yes","NVP planting:","to NVP install:")))))</f>
        <v/>
      </c>
      <c r="AA327" s="838"/>
      <c r="AB327" s="830" t="str">
        <f>IF(G327=0,"",IF(AD327="free","re-planting",IF(AD327="me","not NVP, by",IF($AD$8="yes",(VLOOKUP(A327,'Discount Lookup'!J:K,2)*G327*(1-$AC$1786)*(1+$AC$1788)),IF(AD327="NVP",(VLOOKUP(A327,'Discount Lookup'!J:K,2)*G327*(1-$AC$1786)*(1+$AC$1788)),IF(AD327="free","re-planting",IF(G327=0,"",IF($AD$8="",IF(AD327="me","not NVP, by",IF(AD327="",IF(G327&gt;0,(VLOOKUP(A327,'Discount Lookup'!J:K,2)*G327*(1-$AC$1786)*(1+$AC$1788)),""),"")),"not NVP, by"))))))))</f>
        <v/>
      </c>
      <c r="AC327" s="830"/>
      <c r="AD327" s="375" t="str">
        <f t="shared" si="861"/>
        <v/>
      </c>
      <c r="AE327" s="833" t="str">
        <f>IF(G327&gt;0,(CONCATENATE((G327)," quantity, ",(A327)," ",B327)),"")</f>
        <v/>
      </c>
      <c r="AF327" s="833"/>
      <c r="AG327" s="833"/>
      <c r="AH327" s="91" t="str">
        <f>IF(AD327="free",0,IF(AD327="me","",IF(G327&gt;0,(VLOOKUP(A327,'Discount Lookup'!J:K,2)*G327),"")))</f>
        <v/>
      </c>
      <c r="AI327" s="92" t="str">
        <f t="shared" si="892"/>
        <v/>
      </c>
      <c r="AJ327" s="828" t="str">
        <f>IF(G327=0,"",IF(AD327="me","  delivery-only",CONCATENATE(" $",ROUND(AI327/G327,2)," each")))</f>
        <v/>
      </c>
      <c r="AK327" s="828"/>
      <c r="AL327" s="313" t="str">
        <f t="shared" si="751"/>
        <v/>
      </c>
      <c r="AM327" s="312"/>
      <c r="AN327" s="101"/>
      <c r="AO327" s="101"/>
      <c r="AP327" s="101"/>
      <c r="AQ327" s="101"/>
      <c r="AR327" s="101"/>
      <c r="AS327" s="101"/>
      <c r="AT327" s="101"/>
    </row>
    <row r="328" spans="1:46" ht="12.95" customHeight="1">
      <c r="A328" s="836" t="s">
        <v>272</v>
      </c>
      <c r="B328" s="837"/>
      <c r="C328" s="837"/>
      <c r="D328" s="837"/>
      <c r="E328" s="837"/>
      <c r="F328" s="837"/>
      <c r="G328" s="837"/>
      <c r="H328" s="774" t="s">
        <v>273</v>
      </c>
      <c r="I328" s="164" t="s">
        <v>79</v>
      </c>
      <c r="J328" s="157"/>
      <c r="K328" s="611" t="s">
        <v>45</v>
      </c>
      <c r="L328" s="630" t="s">
        <v>46</v>
      </c>
      <c r="M328" s="157"/>
      <c r="N328" s="158" t="s">
        <v>130</v>
      </c>
      <c r="O328" s="158"/>
      <c r="P328" s="158"/>
      <c r="Q328" s="158"/>
      <c r="R328" s="835" t="s">
        <v>49</v>
      </c>
      <c r="S328" s="835"/>
      <c r="T328" s="835"/>
      <c r="U328" s="835"/>
      <c r="V328" s="100" t="b">
        <f>IF(G328&gt;0,IF(AD328="me","",G328))</f>
        <v>0</v>
      </c>
      <c r="W328" s="100"/>
      <c r="X328" s="100"/>
      <c r="Y328" s="201"/>
      <c r="Z328" s="829" t="str">
        <f t="shared" si="807"/>
        <v/>
      </c>
      <c r="AA328" s="829"/>
      <c r="AB328" s="830" t="str">
        <f>IF(G328=0,"",IF(AD328="free","re-planting",IF(AD328="me","not NVP, by",IF($AD$8="yes",(VLOOKUP(A328,'Discount Lookup'!J:K,2)*G328*(1-$AC$1786)*(1+$AC$1788)),IF(AD328="NVP",(VLOOKUP(A328,'Discount Lookup'!J:K,2)*G328*(1-$AC$1786)*(1+$AC$1788)),IF(AD328="free","re-planting",IF(G328=0,"",IF($AD$8="",IF(AD328="me","not NVP, by",IF(AD328="",IF(G328&gt;0,(VLOOKUP(A328,'Discount Lookup'!J:K,2)*G328*(1-$AC$1786)*(1+$AC$1788)),""),"")),"not NVP, by"))))))))</f>
        <v/>
      </c>
      <c r="AC328" s="830"/>
      <c r="AD328" s="375" t="str">
        <f t="shared" si="861"/>
        <v/>
      </c>
      <c r="AE328" s="833" t="str">
        <f t="shared" si="837"/>
        <v/>
      </c>
      <c r="AF328" s="833"/>
      <c r="AG328" s="833"/>
      <c r="AH328" s="91">
        <f>IF(AD328="free",0,IF(AD328="me",0,IF(G328&gt;0,(VLOOKUP(A328,'Discount Lookup'!J:K,2)*G328),0)))</f>
        <v>0</v>
      </c>
      <c r="AI328" s="92" t="str">
        <f t="shared" si="892"/>
        <v/>
      </c>
      <c r="AJ328" s="828" t="str">
        <f t="shared" si="809"/>
        <v/>
      </c>
      <c r="AK328" s="828"/>
      <c r="AL328" s="313" t="str">
        <f t="shared" si="751"/>
        <v/>
      </c>
      <c r="AM328" s="312"/>
      <c r="AN328" s="101"/>
      <c r="AO328" s="101"/>
      <c r="AP328" s="101"/>
      <c r="AQ328" s="101"/>
      <c r="AR328" s="101"/>
      <c r="AS328" s="101"/>
      <c r="AT328" s="101"/>
    </row>
    <row r="329" spans="1:46" ht="12.95" customHeight="1">
      <c r="A329" s="383">
        <v>7</v>
      </c>
      <c r="B329" s="158" t="s">
        <v>50</v>
      </c>
      <c r="C329" s="160" t="s">
        <v>1481</v>
      </c>
      <c r="D329" s="161" t="s">
        <v>54</v>
      </c>
      <c r="E329" s="162">
        <v>91.95</v>
      </c>
      <c r="F329" s="713" t="s">
        <v>1306</v>
      </c>
      <c r="G329" s="357">
        <v>0</v>
      </c>
      <c r="H329" s="748" t="str">
        <f t="shared" ref="H329:H331" si="917">IF(G329=0,"",IF(F329="Qty=",IF(G329=1,"plant","plants"),IF(F329&gt;0.0001,"warranty","Error")))</f>
        <v/>
      </c>
      <c r="I329" s="592">
        <f t="shared" ref="I329:I331" si="918">IF(F329="Qty=",(E329*G329),((E329*(1-F329))*G329))</f>
        <v>0</v>
      </c>
      <c r="J329" s="592">
        <f>IF(H329="warranty",0,(I329*($J$1782)))</f>
        <v>0</v>
      </c>
      <c r="K329" s="834">
        <f t="shared" ref="K329:K331" si="919">I329+J329</f>
        <v>0</v>
      </c>
      <c r="L329" s="834"/>
      <c r="M329" s="832" t="str">
        <f>IF($H$1784=0,"",IF(G329=0,"",IF(F329="Qty=",CONCATENATE("$",ROUND(K329*(1-$H$1784),2)," with ",($H$1784*100),"% discount"),CONCATENATE("$",ROUND(K329*(1-$H$1784),2)," with ",(($H$1784*100+F329*100)-($H$1784*100*F329)),IF(F329&gt;0,"% discounts",IF($H$1781&gt;0,"% discounts","% discount"))))))</f>
        <v/>
      </c>
      <c r="N329" s="832"/>
      <c r="O329" s="832"/>
      <c r="P329" s="832"/>
      <c r="Q329" s="832"/>
      <c r="R329" s="832"/>
      <c r="S329" s="303">
        <f t="shared" ref="S329" si="920">E329*G329</f>
        <v>0</v>
      </c>
      <c r="T329" s="541">
        <f>VLOOKUP(A329,'Discount Lookup'!D:E,2,FALSE)*G329</f>
        <v>0</v>
      </c>
      <c r="U329" s="83">
        <f>VLOOKUP(A329,'Discount Lookup'!G:H,2,FALSE)*G329</f>
        <v>0</v>
      </c>
      <c r="V329" s="100">
        <f>E329*($J$1782)*G329</f>
        <v>0</v>
      </c>
      <c r="W329" s="100">
        <f t="shared" ref="W329" si="921">I329</f>
        <v>0</v>
      </c>
      <c r="X329" s="100" t="b">
        <f>IF(G329&gt;0,IF(AD329="me","",G329))</f>
        <v>0</v>
      </c>
      <c r="Y329" s="201"/>
      <c r="Z329" s="829" t="str">
        <f t="shared" si="807"/>
        <v/>
      </c>
      <c r="AA329" s="829"/>
      <c r="AB329" s="830" t="str">
        <f>IF(G329=0,"",IF(AD329="free","re-planting",IF(AD329="me","not NVP, by",IF($AD$8="yes",(VLOOKUP(A329,'Discount Lookup'!J:K,2)*G329*(1-$AC$1786)*(1+$AC$1788)),IF(AD329="NVP",(VLOOKUP(A329,'Discount Lookup'!J:K,2)*G329*(1-$AC$1786)*(1+$AC$1788)),IF(AD329="free","re-planting",IF(G329=0,"",IF($AD$8="",IF(AD329="me","not NVP, by",IF(AD329="",IF(G329&gt;0,(VLOOKUP(A329,'Discount Lookup'!J:K,2)*G329*(1-$AC$1786)*(1+$AC$1788)),""),"")),"not NVP, by"))))))))</f>
        <v/>
      </c>
      <c r="AC329" s="830"/>
      <c r="AD329" s="375" t="str">
        <f t="shared" si="861"/>
        <v/>
      </c>
      <c r="AE329" s="833" t="str">
        <f t="shared" si="837"/>
        <v/>
      </c>
      <c r="AF329" s="833"/>
      <c r="AG329" s="833"/>
      <c r="AH329" s="91">
        <f>IF(AD329="free",0,IF(AD329="me",0,IF(G329&gt;0,(VLOOKUP(A329,'Discount Lookup'!J:K,2)*G329),0)))</f>
        <v>0</v>
      </c>
      <c r="AI329" s="92" t="str">
        <f t="shared" si="892"/>
        <v/>
      </c>
      <c r="AJ329" s="828" t="str">
        <f t="shared" si="809"/>
        <v/>
      </c>
      <c r="AK329" s="828"/>
      <c r="AL329" s="313" t="str">
        <f t="shared" si="751"/>
        <v/>
      </c>
      <c r="AM329" s="312"/>
      <c r="AN329" s="101"/>
      <c r="AO329" s="101"/>
      <c r="AP329" s="101"/>
      <c r="AQ329" s="101"/>
      <c r="AR329" s="101"/>
      <c r="AS329" s="101"/>
      <c r="AT329" s="101"/>
    </row>
    <row r="330" spans="1:46" ht="12.95" customHeight="1">
      <c r="A330" s="383">
        <v>15</v>
      </c>
      <c r="B330" s="158" t="s">
        <v>50</v>
      </c>
      <c r="C330" s="160" t="s">
        <v>275</v>
      </c>
      <c r="D330" s="161" t="s">
        <v>54</v>
      </c>
      <c r="E330" s="162">
        <v>164.95</v>
      </c>
      <c r="F330" s="713" t="s">
        <v>1306</v>
      </c>
      <c r="G330" s="357">
        <v>0</v>
      </c>
      <c r="H330" s="748" t="str">
        <f t="shared" si="917"/>
        <v/>
      </c>
      <c r="I330" s="592">
        <f t="shared" si="918"/>
        <v>0</v>
      </c>
      <c r="J330" s="592">
        <f>IF(H330="warranty",0,(I330*($J$1782)))</f>
        <v>0</v>
      </c>
      <c r="K330" s="834">
        <f t="shared" si="919"/>
        <v>0</v>
      </c>
      <c r="L330" s="834"/>
      <c r="M330" s="832" t="str">
        <f>IF($H$1784=0,"",IF(G330=0,"",IF(F330="Qty=",CONCATENATE("$",ROUND(K330*(1-$H$1784),2)," with ",($H$1784*100),"% discount"),CONCATENATE("$",ROUND(K330*(1-$H$1784),2)," with ",(($H$1784*100+F330*100)-($H$1784*100*F330)),IF(F330&gt;0,"% discounts",IF($H$1781&gt;0,"% discounts","% discount"))))))</f>
        <v/>
      </c>
      <c r="N330" s="832"/>
      <c r="O330" s="832"/>
      <c r="P330" s="832"/>
      <c r="Q330" s="832"/>
      <c r="R330" s="832"/>
      <c r="S330" s="303">
        <f t="shared" ref="S330" si="922">E330*G330</f>
        <v>0</v>
      </c>
      <c r="T330" s="541">
        <f>VLOOKUP(A330,'Discount Lookup'!D:E,2,FALSE)*G330</f>
        <v>0</v>
      </c>
      <c r="U330" s="83">
        <f>VLOOKUP(A330,'Discount Lookup'!G:H,2,FALSE)*G330</f>
        <v>0</v>
      </c>
      <c r="V330" s="100">
        <f>E330*($J$1782)*G330</f>
        <v>0</v>
      </c>
      <c r="W330" s="100">
        <f t="shared" ref="W330" si="923">I330</f>
        <v>0</v>
      </c>
      <c r="X330" s="100" t="b">
        <f>IF(G330&gt;0,IF(AD330="me","",G330))</f>
        <v>0</v>
      </c>
      <c r="Y330" s="201"/>
      <c r="Z330" s="829" t="str">
        <f t="shared" si="807"/>
        <v/>
      </c>
      <c r="AA330" s="829"/>
      <c r="AB330" s="830" t="str">
        <f>IF(G330=0,"",IF(AD330="free","re-planting",IF(AD330="me","not NVP, by",IF($AD$8="yes",(VLOOKUP(A330,'Discount Lookup'!J:K,2)*G330*(1-$AC$1786)*(1+$AC$1788)),IF(AD330="NVP",(VLOOKUP(A330,'Discount Lookup'!J:K,2)*G330*(1-$AC$1786)*(1+$AC$1788)),IF(AD330="free","re-planting",IF(G330=0,"",IF($AD$8="",IF(AD330="me","not NVP, by",IF(AD330="",IF(G330&gt;0,(VLOOKUP(A330,'Discount Lookup'!J:K,2)*G330*(1-$AC$1786)*(1+$AC$1788)),""),"")),"not NVP, by"))))))))</f>
        <v/>
      </c>
      <c r="AC330" s="830"/>
      <c r="AD330" s="375" t="str">
        <f t="shared" si="861"/>
        <v/>
      </c>
      <c r="AE330" s="833" t="str">
        <f t="shared" ref="AE330" si="924">IF(G330&gt;0,(CONCATENATE((G330)," quantity, ",(A330)," ",B330)),"")</f>
        <v/>
      </c>
      <c r="AF330" s="833"/>
      <c r="AG330" s="833"/>
      <c r="AH330" s="91">
        <f>IF(AD330="free",0,IF(AD330="me",0,IF(G330&gt;0,(VLOOKUP(A330,'Discount Lookup'!J:K,2)*G330),0)))</f>
        <v>0</v>
      </c>
      <c r="AI330" s="92" t="str">
        <f t="shared" si="892"/>
        <v/>
      </c>
      <c r="AJ330" s="828" t="str">
        <f t="shared" si="809"/>
        <v/>
      </c>
      <c r="AK330" s="828"/>
      <c r="AL330" s="313" t="str">
        <f t="shared" si="751"/>
        <v/>
      </c>
      <c r="AM330" s="312"/>
      <c r="AN330" s="101"/>
      <c r="AO330" s="101"/>
      <c r="AP330" s="101"/>
      <c r="AQ330" s="101"/>
      <c r="AR330" s="101"/>
      <c r="AS330" s="101"/>
      <c r="AT330" s="101"/>
    </row>
    <row r="331" spans="1:46" ht="12.95" customHeight="1">
      <c r="A331" s="383">
        <v>15</v>
      </c>
      <c r="B331" s="158" t="s">
        <v>50</v>
      </c>
      <c r="C331" s="160" t="s">
        <v>265</v>
      </c>
      <c r="D331" s="161" t="s">
        <v>90</v>
      </c>
      <c r="E331" s="162">
        <v>226.95</v>
      </c>
      <c r="F331" s="713" t="s">
        <v>1306</v>
      </c>
      <c r="G331" s="357">
        <v>0</v>
      </c>
      <c r="H331" s="748" t="str">
        <f t="shared" si="917"/>
        <v/>
      </c>
      <c r="I331" s="592">
        <f t="shared" si="918"/>
        <v>0</v>
      </c>
      <c r="J331" s="592">
        <f>IF(H331="warranty",0,(I331*($J$1782)))</f>
        <v>0</v>
      </c>
      <c r="K331" s="834">
        <f t="shared" si="919"/>
        <v>0</v>
      </c>
      <c r="L331" s="834"/>
      <c r="M331" s="832" t="str">
        <f>IF($H$1784=0,"",IF(G331=0,"",IF(F331="Qty=",CONCATENATE("$",ROUND(K331*(1-$H$1784),2)," with ",($H$1784*100),"% discount"),CONCATENATE("$",ROUND(K331*(1-$H$1784),2)," with ",(($H$1784*100+F331*100)-($H$1784*100*F331)),IF(F331&gt;0,"% discounts",IF($H$1781&gt;0,"% discounts","% discount"))))))</f>
        <v/>
      </c>
      <c r="N331" s="832"/>
      <c r="O331" s="832"/>
      <c r="P331" s="832"/>
      <c r="Q331" s="832"/>
      <c r="R331" s="832"/>
      <c r="S331" s="303">
        <f t="shared" ref="S331" si="925">E331*G331</f>
        <v>0</v>
      </c>
      <c r="T331" s="541">
        <f>VLOOKUP(A331,'Discount Lookup'!D:E,2,FALSE)*G331</f>
        <v>0</v>
      </c>
      <c r="U331" s="83">
        <f>VLOOKUP(A331,'Discount Lookup'!G:H,2,FALSE)*G331</f>
        <v>0</v>
      </c>
      <c r="V331" s="100">
        <f>E331*($J$1782)*G331</f>
        <v>0</v>
      </c>
      <c r="W331" s="100">
        <f t="shared" ref="W331" si="926">I331</f>
        <v>0</v>
      </c>
      <c r="X331" s="100" t="b">
        <f>IF(G331&gt;0,IF(AD331="me","",G331))</f>
        <v>0</v>
      </c>
      <c r="Y331" s="201"/>
      <c r="Z331" s="829" t="str">
        <f t="shared" si="807"/>
        <v/>
      </c>
      <c r="AA331" s="829"/>
      <c r="AB331" s="830" t="str">
        <f>IF(G331=0,"",IF(AD331="free","re-planting",IF(AD331="me","not NVP, by",IF($AD$8="yes",(VLOOKUP(A331,'Discount Lookup'!J:K,2)*G331*(1-$AC$1786)*(1+$AC$1788)),IF(AD331="NVP",(VLOOKUP(A331,'Discount Lookup'!J:K,2)*G331*(1-$AC$1786)*(1+$AC$1788)),IF(AD331="free","re-planting",IF(G331=0,"",IF($AD$8="",IF(AD331="me","not NVP, by",IF(AD331="",IF(G331&gt;0,(VLOOKUP(A331,'Discount Lookup'!J:K,2)*G331*(1-$AC$1786)*(1+$AC$1788)),""),"")),"not NVP, by"))))))))</f>
        <v/>
      </c>
      <c r="AC331" s="830"/>
      <c r="AD331" s="375" t="str">
        <f t="shared" si="861"/>
        <v/>
      </c>
      <c r="AE331" s="833" t="str">
        <f t="shared" ref="AE331" si="927">IF(G331&gt;0,(CONCATENATE((G331)," quantity, ",(A331)," ",B331)),"")</f>
        <v/>
      </c>
      <c r="AF331" s="833"/>
      <c r="AG331" s="833"/>
      <c r="AH331" s="91">
        <f>IF(AD331="free",0,IF(AD331="me",0,IF(G331&gt;0,(VLOOKUP(A331,'Discount Lookup'!J:K,2)*G331),0)))</f>
        <v>0</v>
      </c>
      <c r="AI331" s="92" t="str">
        <f t="shared" si="892"/>
        <v/>
      </c>
      <c r="AJ331" s="828" t="str">
        <f t="shared" si="809"/>
        <v/>
      </c>
      <c r="AK331" s="828"/>
      <c r="AL331" s="313" t="str">
        <f t="shared" ref="AL331:AL394" si="928">IF(AD331="free","      ~ discounts included, no tax or planting fee applies ~",IF(G331=0,"",IF($AD$8="me",CONCATENATE(" $",ROUND(AI331/G331,2)," per plant, with tax &amp; discount"),IF(AD331="me",CONCATENATE(" $",ROUND(AI331/G331,2)," per plant, with tax &amp; discount"),CONCATENATE("= $",ROUND((K331*(1-$H$1784))/G331,2)," per plant + $",AB331/G331,(" per planting      ~ includes tax &amp; discounts ~"))))))</f>
        <v/>
      </c>
      <c r="AM331" s="312"/>
      <c r="AN331" s="101"/>
      <c r="AO331" s="101"/>
      <c r="AP331" s="101"/>
      <c r="AQ331" s="101"/>
      <c r="AR331" s="101"/>
      <c r="AS331" s="101"/>
      <c r="AT331" s="101"/>
    </row>
    <row r="332" spans="1:46" ht="12.95" customHeight="1">
      <c r="A332" s="394"/>
      <c r="B332" s="149" t="s">
        <v>276</v>
      </c>
      <c r="C332" s="104"/>
      <c r="D332" s="104"/>
      <c r="E332" s="131"/>
      <c r="G332" s="358"/>
      <c r="H332" s="744"/>
      <c r="I332" s="131"/>
      <c r="J332" s="131"/>
      <c r="K332" s="608"/>
      <c r="L332" s="608"/>
      <c r="M332" s="121"/>
      <c r="N332" s="122" t="s">
        <v>277</v>
      </c>
      <c r="O332" s="123"/>
      <c r="P332" s="124"/>
      <c r="Q332" s="124"/>
      <c r="R332" s="83"/>
      <c r="S332" s="82"/>
      <c r="T332" s="540"/>
      <c r="U332" s="83"/>
      <c r="V332" s="100" t="b">
        <f>IF(G332&gt;0,IF(AD332="me","",G332))</f>
        <v>0</v>
      </c>
      <c r="W332" s="100"/>
      <c r="X332" s="100"/>
      <c r="Y332" s="201"/>
      <c r="Z332" s="829" t="str">
        <f t="shared" si="807"/>
        <v/>
      </c>
      <c r="AA332" s="829"/>
      <c r="AB332" s="830" t="str">
        <f>IF(G332=0,"",IF(AD332="free","re-planting",IF(AD332="me","not NVP, by",IF($AD$8="yes",(VLOOKUP(A332,'Discount Lookup'!J:K,2)*G332*(1-$AC$1786)*(1+$AC$1788)),IF(AD332="NVP",(VLOOKUP(A332,'Discount Lookup'!J:K,2)*G332*(1-$AC$1786)*(1+$AC$1788)),IF(AD332="free","re-planting",IF(G332=0,"",IF($AD$8="",IF(AD332="me","not NVP, by",IF(AD332="",IF(G332&gt;0,(VLOOKUP(A332,'Discount Lookup'!J:K,2)*G332*(1-$AC$1786)*(1+$AC$1788)),""),"")),"not NVP, by"))))))))</f>
        <v/>
      </c>
      <c r="AC332" s="830"/>
      <c r="AD332" s="375" t="str">
        <f t="shared" si="861"/>
        <v/>
      </c>
      <c r="AE332" s="833" t="str">
        <f t="shared" si="837"/>
        <v/>
      </c>
      <c r="AF332" s="833"/>
      <c r="AG332" s="833"/>
      <c r="AH332" s="91">
        <f>IF(AD332="free",0,IF(AD332="me",0,IF(G332&gt;0,(VLOOKUP(A332,'Discount Lookup'!J:K,2)*G332),0)))</f>
        <v>0</v>
      </c>
      <c r="AI332" s="92" t="str">
        <f t="shared" si="892"/>
        <v/>
      </c>
      <c r="AJ332" s="828" t="str">
        <f t="shared" si="809"/>
        <v/>
      </c>
      <c r="AK332" s="828"/>
      <c r="AL332" s="313" t="str">
        <f t="shared" si="928"/>
        <v/>
      </c>
      <c r="AM332" s="312"/>
      <c r="AN332" s="101"/>
      <c r="AO332" s="101"/>
      <c r="AP332" s="101"/>
      <c r="AQ332" s="101"/>
      <c r="AR332" s="101"/>
      <c r="AS332" s="101"/>
      <c r="AT332" s="101"/>
    </row>
    <row r="333" spans="1:46" ht="12.95" customHeight="1">
      <c r="A333" s="889" t="s">
        <v>1541</v>
      </c>
      <c r="B333" s="890"/>
      <c r="C333" s="890"/>
      <c r="D333" s="890"/>
      <c r="E333" s="890"/>
      <c r="F333" s="890"/>
      <c r="G333" s="890"/>
      <c r="H333" s="774" t="s">
        <v>278</v>
      </c>
      <c r="I333" s="349" t="s">
        <v>261</v>
      </c>
      <c r="J333" s="157"/>
      <c r="K333" s="611" t="s">
        <v>45</v>
      </c>
      <c r="L333" s="630" t="s">
        <v>46</v>
      </c>
      <c r="M333" s="167"/>
      <c r="N333" s="158" t="s">
        <v>262</v>
      </c>
      <c r="O333" s="158"/>
      <c r="P333" s="158"/>
      <c r="Q333" s="159"/>
      <c r="R333" s="835" t="s">
        <v>49</v>
      </c>
      <c r="S333" s="835"/>
      <c r="T333" s="835"/>
      <c r="U333" s="835"/>
      <c r="V333" s="100" t="b">
        <f>IF(G333&gt;0,IF(AD333="me","",G333))</f>
        <v>0</v>
      </c>
      <c r="W333" s="100"/>
      <c r="X333" s="100"/>
      <c r="Y333" s="201"/>
      <c r="Z333" s="829" t="str">
        <f t="shared" si="807"/>
        <v/>
      </c>
      <c r="AA333" s="829"/>
      <c r="AB333" s="830" t="str">
        <f>IF(G333=0,"",IF(AD333="free","re-planting",IF(AD333="me","not NVP, by",IF($AD$8="yes",(VLOOKUP(A333,'Discount Lookup'!J:K,2)*G333*(1-$AC$1786)*(1+$AC$1788)),IF(AD333="NVP",(VLOOKUP(A333,'Discount Lookup'!J:K,2)*G333*(1-$AC$1786)*(1+$AC$1788)),IF(AD333="free","re-planting",IF(G333=0,"",IF($AD$8="",IF(AD333="me","not NVP, by",IF(AD333="",IF(G333&gt;0,(VLOOKUP(A333,'Discount Lookup'!J:K,2)*G333*(1-$AC$1786)*(1+$AC$1788)),""),"")),"not NVP, by"))))))))</f>
        <v/>
      </c>
      <c r="AC333" s="830"/>
      <c r="AD333" s="375" t="str">
        <f t="shared" si="861"/>
        <v/>
      </c>
      <c r="AE333" s="833" t="str">
        <f t="shared" si="837"/>
        <v/>
      </c>
      <c r="AF333" s="833"/>
      <c r="AG333" s="833"/>
      <c r="AH333" s="91">
        <f>IF(AD333="free",0,IF(AD333="me",0,IF(G333&gt;0,(VLOOKUP(A333,'Discount Lookup'!J:K,2)*G333),0)))</f>
        <v>0</v>
      </c>
      <c r="AI333" s="92" t="str">
        <f t="shared" si="892"/>
        <v/>
      </c>
      <c r="AJ333" s="828" t="str">
        <f t="shared" si="809"/>
        <v/>
      </c>
      <c r="AK333" s="828"/>
      <c r="AL333" s="313" t="str">
        <f t="shared" si="928"/>
        <v/>
      </c>
      <c r="AM333" s="312"/>
      <c r="AN333" s="101"/>
      <c r="AO333" s="101"/>
      <c r="AP333" s="101"/>
      <c r="AQ333" s="101"/>
      <c r="AR333" s="101"/>
      <c r="AS333" s="101"/>
      <c r="AT333" s="101"/>
    </row>
    <row r="334" spans="1:46" ht="12.95" customHeight="1">
      <c r="A334" s="383">
        <v>7</v>
      </c>
      <c r="B334" s="158" t="s">
        <v>50</v>
      </c>
      <c r="C334" s="160" t="s">
        <v>292</v>
      </c>
      <c r="D334" s="161" t="s">
        <v>54</v>
      </c>
      <c r="E334" s="162">
        <v>91.95</v>
      </c>
      <c r="F334" s="713" t="s">
        <v>1306</v>
      </c>
      <c r="G334" s="357">
        <v>0</v>
      </c>
      <c r="H334" s="748" t="str">
        <f t="shared" ref="H334:H336" si="929">IF(G334=0,"",IF(F334="Qty=",IF(G334=1,"plant","plants"),IF(F334&gt;0.0001,"warranty","Error")))</f>
        <v/>
      </c>
      <c r="I334" s="592">
        <f t="shared" ref="I334:I336" si="930">IF(F334="Qty=",(E334*G334),((E334*(1-F334))*G334))</f>
        <v>0</v>
      </c>
      <c r="J334" s="592">
        <f>IF(H334="warranty",0,(I334*($J$1782)))</f>
        <v>0</v>
      </c>
      <c r="K334" s="834">
        <f t="shared" ref="K334:K336" si="931">I334+J334</f>
        <v>0</v>
      </c>
      <c r="L334" s="834"/>
      <c r="M334" s="832" t="str">
        <f>IF($H$1784=0,"",IF(G334=0,"",IF(F334="Qty=",CONCATENATE("$",ROUND(K334*(1-$H$1784),2)," with ",($H$1784*100),"% discount"),CONCATENATE("$",ROUND(K334*(1-$H$1784),2)," with ",(($H$1784*100+F334*100)-($H$1784*100*F334)),IF(F334&gt;0,"% discounts",IF($H$1781&gt;0,"% discounts","% discount"))))))</f>
        <v/>
      </c>
      <c r="N334" s="832"/>
      <c r="O334" s="832"/>
      <c r="P334" s="832"/>
      <c r="Q334" s="832"/>
      <c r="R334" s="832"/>
      <c r="S334" s="303">
        <f t="shared" ref="S334:S336" si="932">E334*G334</f>
        <v>0</v>
      </c>
      <c r="T334" s="541">
        <f>VLOOKUP(A334,'Discount Lookup'!D:E,2,FALSE)*G334</f>
        <v>0</v>
      </c>
      <c r="U334" s="83">
        <f>VLOOKUP(A334,'Discount Lookup'!G:H,2,FALSE)*G334</f>
        <v>0</v>
      </c>
      <c r="V334" s="100">
        <f>E334*($J$1782)*G334</f>
        <v>0</v>
      </c>
      <c r="W334" s="100">
        <f t="shared" ref="W334:W336" si="933">I334</f>
        <v>0</v>
      </c>
      <c r="X334" s="100" t="b">
        <f>IF(G334&gt;0,IF(AD334="me","",G334))</f>
        <v>0</v>
      </c>
      <c r="Y334" s="201"/>
      <c r="Z334" s="829" t="str">
        <f t="shared" si="807"/>
        <v/>
      </c>
      <c r="AA334" s="829"/>
      <c r="AB334" s="830" t="str">
        <f>IF(G334=0,"",IF(AD334="free","re-planting",IF(AD334="me","not NVP, by",IF($AD$8="yes",(VLOOKUP(A334,'Discount Lookup'!J:K,2)*G334*(1-$AC$1786)*(1+$AC$1788)),IF(AD334="NVP",(VLOOKUP(A334,'Discount Lookup'!J:K,2)*G334*(1-$AC$1786)*(1+$AC$1788)),IF(AD334="free","re-planting",IF(G334=0,"",IF($AD$8="",IF(AD334="me","not NVP, by",IF(AD334="",IF(G334&gt;0,(VLOOKUP(A334,'Discount Lookup'!J:K,2)*G334*(1-$AC$1786)*(1+$AC$1788)),""),"")),"not NVP, by"))))))))</f>
        <v/>
      </c>
      <c r="AC334" s="830"/>
      <c r="AD334" s="375" t="str">
        <f t="shared" si="861"/>
        <v/>
      </c>
      <c r="AE334" s="833" t="str">
        <f t="shared" si="837"/>
        <v/>
      </c>
      <c r="AF334" s="833"/>
      <c r="AG334" s="833"/>
      <c r="AH334" s="91">
        <f>IF(AD334="free",0,IF(AD334="me",0,IF(G334&gt;0,(VLOOKUP(A334,'Discount Lookup'!J:K,2)*G334),0)))</f>
        <v>0</v>
      </c>
      <c r="AI334" s="92" t="str">
        <f t="shared" si="892"/>
        <v/>
      </c>
      <c r="AJ334" s="828" t="str">
        <f t="shared" si="809"/>
        <v/>
      </c>
      <c r="AK334" s="828"/>
      <c r="AL334" s="313" t="str">
        <f t="shared" si="928"/>
        <v/>
      </c>
      <c r="AM334" s="312"/>
      <c r="AN334" s="101"/>
      <c r="AO334" s="101"/>
      <c r="AP334" s="101"/>
      <c r="AQ334" s="101"/>
      <c r="AR334" s="101"/>
      <c r="AS334" s="101"/>
      <c r="AT334" s="101"/>
    </row>
    <row r="335" spans="1:46" ht="12.95" customHeight="1">
      <c r="A335" s="383">
        <v>15</v>
      </c>
      <c r="B335" s="158" t="s">
        <v>50</v>
      </c>
      <c r="C335" s="160" t="s">
        <v>265</v>
      </c>
      <c r="D335" s="161" t="s">
        <v>54</v>
      </c>
      <c r="E335" s="162">
        <v>164.95</v>
      </c>
      <c r="F335" s="713" t="s">
        <v>1306</v>
      </c>
      <c r="G335" s="357">
        <v>0</v>
      </c>
      <c r="H335" s="748" t="str">
        <f t="shared" si="929"/>
        <v/>
      </c>
      <c r="I335" s="592">
        <f t="shared" si="930"/>
        <v>0</v>
      </c>
      <c r="J335" s="592">
        <f>IF(H335="warranty",0,(I335*($J$1782)))</f>
        <v>0</v>
      </c>
      <c r="K335" s="834">
        <f t="shared" si="931"/>
        <v>0</v>
      </c>
      <c r="L335" s="834"/>
      <c r="M335" s="832" t="str">
        <f>IF($H$1784=0,"",IF(G335=0,"",IF(F335="Qty=",CONCATENATE("$",ROUND(K335*(1-$H$1784),2)," with ",($H$1784*100),"% discount"),CONCATENATE("$",ROUND(K335*(1-$H$1784),2)," with ",(($H$1784*100+F335*100)-($H$1784*100*F335)),IF(F335&gt;0,"% discounts",IF($H$1781&gt;0,"% discounts","% discount"))))))</f>
        <v/>
      </c>
      <c r="N335" s="832"/>
      <c r="O335" s="832"/>
      <c r="P335" s="832"/>
      <c r="Q335" s="832"/>
      <c r="R335" s="832"/>
      <c r="S335" s="303">
        <f t="shared" si="932"/>
        <v>0</v>
      </c>
      <c r="T335" s="541">
        <f>VLOOKUP(A335,'Discount Lookup'!D:E,2,FALSE)*G335</f>
        <v>0</v>
      </c>
      <c r="U335" s="83">
        <f>VLOOKUP(A335,'Discount Lookup'!G:H,2,FALSE)*G335</f>
        <v>0</v>
      </c>
      <c r="V335" s="100">
        <f>E335*($J$1782)*G335</f>
        <v>0</v>
      </c>
      <c r="W335" s="100">
        <f t="shared" si="933"/>
        <v>0</v>
      </c>
      <c r="X335" s="100" t="b">
        <f>IF(G335&gt;0,IF(AD335="me","",G335))</f>
        <v>0</v>
      </c>
      <c r="Y335" s="201"/>
      <c r="Z335" s="829" t="str">
        <f t="shared" si="807"/>
        <v/>
      </c>
      <c r="AA335" s="829"/>
      <c r="AB335" s="830" t="str">
        <f>IF(G335=0,"",IF(AD335="free","re-planting",IF(AD335="me","not NVP, by",IF($AD$8="yes",(VLOOKUP(A335,'Discount Lookup'!J:K,2)*G335*(1-$AC$1786)*(1+$AC$1788)),IF(AD335="NVP",(VLOOKUP(A335,'Discount Lookup'!J:K,2)*G335*(1-$AC$1786)*(1+$AC$1788)),IF(AD335="free","re-planting",IF(G335=0,"",IF($AD$8="",IF(AD335="me","not NVP, by",IF(AD335="",IF(G335&gt;0,(VLOOKUP(A335,'Discount Lookup'!J:K,2)*G335*(1-$AC$1786)*(1+$AC$1788)),""),"")),"not NVP, by"))))))))</f>
        <v/>
      </c>
      <c r="AC335" s="830"/>
      <c r="AD335" s="375" t="str">
        <f t="shared" si="861"/>
        <v/>
      </c>
      <c r="AE335" s="833" t="str">
        <f t="shared" si="837"/>
        <v/>
      </c>
      <c r="AF335" s="833"/>
      <c r="AG335" s="833"/>
      <c r="AH335" s="91">
        <f>IF(AD335="free",0,IF(AD335="me",0,IF(G335&gt;0,(VLOOKUP(A335,'Discount Lookup'!J:K,2)*G335),0)))</f>
        <v>0</v>
      </c>
      <c r="AI335" s="92" t="str">
        <f t="shared" si="892"/>
        <v/>
      </c>
      <c r="AJ335" s="828" t="str">
        <f t="shared" si="809"/>
        <v/>
      </c>
      <c r="AK335" s="828"/>
      <c r="AL335" s="313" t="str">
        <f t="shared" si="928"/>
        <v/>
      </c>
      <c r="AM335" s="312"/>
      <c r="AN335" s="101"/>
      <c r="AO335" s="101"/>
      <c r="AP335" s="101"/>
      <c r="AQ335" s="101"/>
      <c r="AR335" s="101"/>
      <c r="AS335" s="101"/>
      <c r="AT335" s="101"/>
    </row>
    <row r="336" spans="1:46" ht="12.95" customHeight="1">
      <c r="A336" s="383">
        <v>25</v>
      </c>
      <c r="B336" s="158" t="s">
        <v>50</v>
      </c>
      <c r="C336" s="168" t="s">
        <v>265</v>
      </c>
      <c r="D336" s="161" t="s">
        <v>90</v>
      </c>
      <c r="E336" s="162">
        <v>289.95</v>
      </c>
      <c r="F336" s="713" t="s">
        <v>1306</v>
      </c>
      <c r="G336" s="357">
        <v>0</v>
      </c>
      <c r="H336" s="748" t="str">
        <f t="shared" si="929"/>
        <v/>
      </c>
      <c r="I336" s="592">
        <f t="shared" si="930"/>
        <v>0</v>
      </c>
      <c r="J336" s="592">
        <f>IF(H336="warranty",0,(I336*($J$1782)))</f>
        <v>0</v>
      </c>
      <c r="K336" s="834">
        <f t="shared" si="931"/>
        <v>0</v>
      </c>
      <c r="L336" s="834"/>
      <c r="M336" s="832" t="str">
        <f>IF($H$1784=0,"",IF(G336=0,"",IF(F336="Qty=",CONCATENATE("$",ROUND(K336*(1-$H$1784),2)," with ",($H$1784*100),"% discount"),CONCATENATE("$",ROUND(K336*(1-$H$1784),2)," with ",(($H$1784*100+F336*100)-($H$1784*100*F336)),IF(F336&gt;0,"% discounts",IF($H$1781&gt;0,"% discounts","% discount"))))))</f>
        <v/>
      </c>
      <c r="N336" s="832"/>
      <c r="O336" s="832"/>
      <c r="P336" s="832"/>
      <c r="Q336" s="832"/>
      <c r="R336" s="832"/>
      <c r="S336" s="303">
        <f t="shared" si="932"/>
        <v>0</v>
      </c>
      <c r="T336" s="541">
        <f>VLOOKUP(A336,'Discount Lookup'!D:E,2,FALSE)*G336</f>
        <v>0</v>
      </c>
      <c r="U336" s="83">
        <f>VLOOKUP(A336,'Discount Lookup'!G:H,2,FALSE)*G336</f>
        <v>0</v>
      </c>
      <c r="V336" s="100">
        <f>E336*($J$1782)*G336</f>
        <v>0</v>
      </c>
      <c r="W336" s="100">
        <f t="shared" si="933"/>
        <v>0</v>
      </c>
      <c r="X336" s="100" t="b">
        <f>IF(G336&gt;0,IF(AD336="me","",G336))</f>
        <v>0</v>
      </c>
      <c r="Y336" s="201"/>
      <c r="Z336" s="829" t="str">
        <f t="shared" si="807"/>
        <v/>
      </c>
      <c r="AA336" s="829"/>
      <c r="AB336" s="830" t="str">
        <f>IF(G336=0,"",IF(AD336="free","re-planting",IF(AD336="me","not NVP, by",IF($AD$8="yes",(VLOOKUP(A336,'Discount Lookup'!J:K,2)*G336*(1-$AC$1786)*(1+$AC$1788)),IF(AD336="NVP",(VLOOKUP(A336,'Discount Lookup'!J:K,2)*G336*(1-$AC$1786)*(1+$AC$1788)),IF(AD336="free","re-planting",IF(G336=0,"",IF($AD$8="",IF(AD336="me","not NVP, by",IF(AD336="",IF(G336&gt;0,(VLOOKUP(A336,'Discount Lookup'!J:K,2)*G336*(1-$AC$1786)*(1+$AC$1788)),""),"")),"not NVP, by"))))))))</f>
        <v/>
      </c>
      <c r="AC336" s="830"/>
      <c r="AD336" s="375" t="str">
        <f t="shared" si="861"/>
        <v/>
      </c>
      <c r="AE336" s="833" t="str">
        <f t="shared" si="837"/>
        <v/>
      </c>
      <c r="AF336" s="833"/>
      <c r="AG336" s="833"/>
      <c r="AH336" s="91">
        <f>IF(AD336="free",0,IF(AD336="me",0,IF(G336&gt;0,(VLOOKUP(A336,'Discount Lookup'!J:K,2)*G336),0)))</f>
        <v>0</v>
      </c>
      <c r="AI336" s="92" t="str">
        <f t="shared" si="892"/>
        <v/>
      </c>
      <c r="AJ336" s="828" t="str">
        <f t="shared" si="809"/>
        <v/>
      </c>
      <c r="AK336" s="828"/>
      <c r="AL336" s="313" t="str">
        <f t="shared" si="928"/>
        <v/>
      </c>
      <c r="AM336" s="312"/>
      <c r="AN336" s="101"/>
      <c r="AO336" s="101"/>
      <c r="AP336" s="101"/>
      <c r="AQ336" s="101"/>
      <c r="AR336" s="101"/>
      <c r="AS336" s="101"/>
      <c r="AT336" s="101"/>
    </row>
    <row r="337" spans="1:46" ht="12.95" customHeight="1">
      <c r="A337" s="394"/>
      <c r="B337" s="149" t="s">
        <v>279</v>
      </c>
      <c r="C337" s="104"/>
      <c r="D337" s="104"/>
      <c r="E337" s="131"/>
      <c r="F337" s="710"/>
      <c r="G337" s="358"/>
      <c r="H337" s="744"/>
      <c r="I337" s="131"/>
      <c r="J337" s="131"/>
      <c r="K337" s="608"/>
      <c r="L337" s="608"/>
      <c r="M337" s="121"/>
      <c r="N337" s="163" t="s">
        <v>268</v>
      </c>
      <c r="O337" s="123"/>
      <c r="P337" s="124"/>
      <c r="Q337" s="124"/>
      <c r="R337" s="83"/>
      <c r="S337" s="82">
        <f t="shared" ref="S337" si="934">E337*G337</f>
        <v>0</v>
      </c>
      <c r="T337" s="540"/>
      <c r="U337" s="83"/>
      <c r="V337" s="100" t="b">
        <f>IF(G337&gt;0,IF(AD337="me","",G337))</f>
        <v>0</v>
      </c>
      <c r="W337" s="100"/>
      <c r="X337" s="100"/>
      <c r="Y337" s="201"/>
      <c r="Z337" s="829" t="str">
        <f t="shared" si="807"/>
        <v/>
      </c>
      <c r="AA337" s="829"/>
      <c r="AB337" s="830" t="str">
        <f>IF(G337=0,"",IF(AD337="free","re-planting",IF(AD337="me","not NVP, by",IF($AD$8="yes",(VLOOKUP(A337,'Discount Lookup'!J:K,2)*G337*(1-$AC$1786)*(1+$AC$1788)),IF(AD337="NVP",(VLOOKUP(A337,'Discount Lookup'!J:K,2)*G337*(1-$AC$1786)*(1+$AC$1788)),IF(AD337="free","re-planting",IF(G337=0,"",IF($AD$8="",IF(AD337="me","not NVP, by",IF(AD337="",IF(G337&gt;0,(VLOOKUP(A337,'Discount Lookup'!J:K,2)*G337*(1-$AC$1786)*(1+$AC$1788)),""),"")),"not NVP, by"))))))))</f>
        <v/>
      </c>
      <c r="AC337" s="830"/>
      <c r="AD337" s="375" t="str">
        <f t="shared" si="861"/>
        <v/>
      </c>
      <c r="AE337" s="833" t="str">
        <f t="shared" si="837"/>
        <v/>
      </c>
      <c r="AF337" s="833"/>
      <c r="AG337" s="833"/>
      <c r="AH337" s="91">
        <f>IF(AD337="free",0,IF(AD337="me",0,IF(G337&gt;0,(VLOOKUP(A337,'Discount Lookup'!J:K,2)*G337),0)))</f>
        <v>0</v>
      </c>
      <c r="AI337" s="92" t="str">
        <f t="shared" si="892"/>
        <v/>
      </c>
      <c r="AJ337" s="828" t="str">
        <f t="shared" si="809"/>
        <v/>
      </c>
      <c r="AK337" s="828"/>
      <c r="AL337" s="313" t="str">
        <f t="shared" si="928"/>
        <v/>
      </c>
      <c r="AM337" s="312"/>
      <c r="AN337" s="101"/>
      <c r="AO337" s="101"/>
      <c r="AP337" s="101"/>
      <c r="AQ337" s="101"/>
      <c r="AR337" s="101"/>
      <c r="AS337" s="101"/>
      <c r="AT337" s="101"/>
    </row>
    <row r="338" spans="1:46" ht="12.95" customHeight="1">
      <c r="A338" s="889" t="s">
        <v>1539</v>
      </c>
      <c r="B338" s="890"/>
      <c r="C338" s="890"/>
      <c r="D338" s="890"/>
      <c r="E338" s="890"/>
      <c r="F338" s="890"/>
      <c r="G338" s="890"/>
      <c r="H338" s="774" t="s">
        <v>278</v>
      </c>
      <c r="I338" s="349" t="s">
        <v>280</v>
      </c>
      <c r="J338" s="157"/>
      <c r="K338" s="611" t="s">
        <v>45</v>
      </c>
      <c r="L338" s="630" t="s">
        <v>46</v>
      </c>
      <c r="M338" s="157"/>
      <c r="N338" s="158" t="s">
        <v>262</v>
      </c>
      <c r="O338" s="158"/>
      <c r="P338" s="158"/>
      <c r="Q338" s="159"/>
      <c r="R338" s="835" t="s">
        <v>49</v>
      </c>
      <c r="S338" s="835"/>
      <c r="T338" s="835"/>
      <c r="U338" s="835"/>
      <c r="V338" s="100" t="b">
        <f>IF(G338&gt;0,IF(AD338="me","",G338))</f>
        <v>0</v>
      </c>
      <c r="W338" s="100"/>
      <c r="X338" s="100"/>
      <c r="Y338" s="201"/>
      <c r="Z338" s="829" t="str">
        <f t="shared" si="807"/>
        <v/>
      </c>
      <c r="AA338" s="829"/>
      <c r="AB338" s="830" t="str">
        <f>IF(G338=0,"",IF(AD338="free","re-planting",IF(AD338="me","not NVP, by",IF($AD$8="yes",(VLOOKUP(A338,'Discount Lookup'!J:K,2)*G338*(1-$AC$1786)*(1+$AC$1788)),IF(AD338="NVP",(VLOOKUP(A338,'Discount Lookup'!J:K,2)*G338*(1-$AC$1786)*(1+$AC$1788)),IF(AD338="free","re-planting",IF(G338=0,"",IF($AD$8="",IF(AD338="me","not NVP, by",IF(AD338="",IF(G338&gt;0,(VLOOKUP(A338,'Discount Lookup'!J:K,2)*G338*(1-$AC$1786)*(1+$AC$1788)),""),"")),"not NVP, by"))))))))</f>
        <v/>
      </c>
      <c r="AC338" s="830"/>
      <c r="AD338" s="375" t="str">
        <f t="shared" si="861"/>
        <v/>
      </c>
      <c r="AE338" s="833" t="str">
        <f t="shared" si="837"/>
        <v/>
      </c>
      <c r="AF338" s="833"/>
      <c r="AG338" s="833"/>
      <c r="AH338" s="91">
        <f>IF(AD338="free",0,IF(AD338="me",0,IF(G338&gt;0,(VLOOKUP(A338,'Discount Lookup'!J:K,2)*G338),0)))</f>
        <v>0</v>
      </c>
      <c r="AI338" s="92" t="str">
        <f t="shared" si="892"/>
        <v/>
      </c>
      <c r="AJ338" s="828" t="str">
        <f t="shared" si="809"/>
        <v/>
      </c>
      <c r="AK338" s="828"/>
      <c r="AL338" s="313" t="str">
        <f t="shared" si="928"/>
        <v/>
      </c>
      <c r="AM338" s="312"/>
      <c r="AN338" s="101"/>
      <c r="AO338" s="101"/>
      <c r="AP338" s="101"/>
      <c r="AQ338" s="101"/>
      <c r="AR338" s="101"/>
      <c r="AS338" s="101"/>
      <c r="AT338" s="101"/>
    </row>
    <row r="339" spans="1:46" ht="12.95" customHeight="1">
      <c r="A339" s="383">
        <v>15</v>
      </c>
      <c r="B339" s="158" t="s">
        <v>50</v>
      </c>
      <c r="C339" s="160" t="s">
        <v>293</v>
      </c>
      <c r="D339" s="161" t="s">
        <v>54</v>
      </c>
      <c r="E339" s="162">
        <v>164.95</v>
      </c>
      <c r="F339" s="713" t="s">
        <v>1306</v>
      </c>
      <c r="G339" s="357">
        <v>0</v>
      </c>
      <c r="H339" s="748" t="str">
        <f t="shared" ref="H339:H340" si="935">IF(G339=0,"",IF(F339="Qty=",IF(G339=1,"plant","plants"),IF(F339&gt;0.0001,"warranty","Error")))</f>
        <v/>
      </c>
      <c r="I339" s="592">
        <f t="shared" ref="I339:I340" si="936">IF(F339="Qty=",(E339*G339),((E339*(1-F339))*G339))</f>
        <v>0</v>
      </c>
      <c r="J339" s="592">
        <f>IF(H339="warranty",0,(I339*($J$1782)))</f>
        <v>0</v>
      </c>
      <c r="K339" s="834">
        <f t="shared" ref="K339:K340" si="937">I339+J339</f>
        <v>0</v>
      </c>
      <c r="L339" s="834"/>
      <c r="M339" s="832" t="str">
        <f>IF($H$1784=0,"",IF(G339=0,"",IF(F339="Qty=",CONCATENATE("$",ROUND(K339*(1-$H$1784),2)," with ",($H$1784*100),"% discount"),CONCATENATE("$",ROUND(K339*(1-$H$1784),2)," with ",(($H$1784*100+F339*100)-($H$1784*100*F339)),IF(F339&gt;0,"% discounts",IF($H$1781&gt;0,"% discounts","% discount"))))))</f>
        <v/>
      </c>
      <c r="N339" s="832"/>
      <c r="O339" s="832"/>
      <c r="P339" s="832"/>
      <c r="Q339" s="832"/>
      <c r="R339" s="832"/>
      <c r="S339" s="303">
        <f t="shared" ref="S339:S340" si="938">E339*G339</f>
        <v>0</v>
      </c>
      <c r="T339" s="541">
        <f>VLOOKUP(A339,'Discount Lookup'!D:E,2,FALSE)*G339</f>
        <v>0</v>
      </c>
      <c r="U339" s="83">
        <f>VLOOKUP(A339,'Discount Lookup'!G:H,2,FALSE)*G339</f>
        <v>0</v>
      </c>
      <c r="V339" s="100">
        <f>E339*($J$1782)*G339</f>
        <v>0</v>
      </c>
      <c r="W339" s="100">
        <f t="shared" ref="W339:W340" si="939">I339</f>
        <v>0</v>
      </c>
      <c r="X339" s="100" t="b">
        <f>IF(G339&gt;0,IF(AD339="me","",G339))</f>
        <v>0</v>
      </c>
      <c r="Y339" s="201"/>
      <c r="Z339" s="829" t="str">
        <f t="shared" si="807"/>
        <v/>
      </c>
      <c r="AA339" s="829"/>
      <c r="AB339" s="830" t="str">
        <f>IF(G339=0,"",IF(AD339="free","re-planting",IF(AD339="me","not NVP, by",IF($AD$8="yes",(VLOOKUP(A339,'Discount Lookup'!J:K,2)*G339*(1-$AC$1786)*(1+$AC$1788)),IF(AD339="NVP",(VLOOKUP(A339,'Discount Lookup'!J:K,2)*G339*(1-$AC$1786)*(1+$AC$1788)),IF(AD339="free","re-planting",IF(G339=0,"",IF($AD$8="",IF(AD339="me","not NVP, by",IF(AD339="",IF(G339&gt;0,(VLOOKUP(A339,'Discount Lookup'!J:K,2)*G339*(1-$AC$1786)*(1+$AC$1788)),""),"")),"not NVP, by"))))))))</f>
        <v/>
      </c>
      <c r="AC339" s="830"/>
      <c r="AD339" s="375" t="str">
        <f t="shared" si="861"/>
        <v/>
      </c>
      <c r="AE339" s="833" t="str">
        <f t="shared" si="837"/>
        <v/>
      </c>
      <c r="AF339" s="833"/>
      <c r="AG339" s="833"/>
      <c r="AH339" s="91">
        <f>IF(AD339="free",0,IF(AD339="me",0,IF(G339&gt;0,(VLOOKUP(A339,'Discount Lookup'!J:K,2)*G339),0)))</f>
        <v>0</v>
      </c>
      <c r="AI339" s="92" t="str">
        <f t="shared" si="892"/>
        <v/>
      </c>
      <c r="AJ339" s="828" t="str">
        <f t="shared" si="809"/>
        <v/>
      </c>
      <c r="AK339" s="828"/>
      <c r="AL339" s="313" t="str">
        <f t="shared" si="928"/>
        <v/>
      </c>
      <c r="AM339" s="312"/>
      <c r="AN339" s="101"/>
      <c r="AO339" s="101"/>
      <c r="AP339" s="101"/>
      <c r="AQ339" s="101"/>
      <c r="AR339" s="101"/>
      <c r="AS339" s="101"/>
      <c r="AT339" s="101"/>
    </row>
    <row r="340" spans="1:46" ht="12.95" customHeight="1">
      <c r="A340" s="383">
        <v>25</v>
      </c>
      <c r="B340" s="158" t="s">
        <v>50</v>
      </c>
      <c r="C340" s="160" t="s">
        <v>265</v>
      </c>
      <c r="D340" s="161" t="s">
        <v>90</v>
      </c>
      <c r="E340" s="162">
        <v>289.95</v>
      </c>
      <c r="F340" s="713" t="s">
        <v>1306</v>
      </c>
      <c r="G340" s="357">
        <v>0</v>
      </c>
      <c r="H340" s="748" t="str">
        <f t="shared" si="935"/>
        <v/>
      </c>
      <c r="I340" s="592">
        <f t="shared" si="936"/>
        <v>0</v>
      </c>
      <c r="J340" s="592">
        <f>IF(H340="warranty",0,(I340*($J$1782)))</f>
        <v>0</v>
      </c>
      <c r="K340" s="834">
        <f t="shared" si="937"/>
        <v>0</v>
      </c>
      <c r="L340" s="834"/>
      <c r="M340" s="832" t="str">
        <f>IF($H$1784=0,"",IF(G340=0,"",IF(F340="Qty=",CONCATENATE("$",ROUND(K340*(1-$H$1784),2)," with ",($H$1784*100),"% discount"),CONCATENATE("$",ROUND(K340*(1-$H$1784),2)," with ",(($H$1784*100+F340*100)-($H$1784*100*F340)),IF(F340&gt;0,"% discounts",IF($H$1781&gt;0,"% discounts","% discount"))))))</f>
        <v/>
      </c>
      <c r="N340" s="832"/>
      <c r="O340" s="832"/>
      <c r="P340" s="832"/>
      <c r="Q340" s="832"/>
      <c r="R340" s="832"/>
      <c r="S340" s="303">
        <f t="shared" si="938"/>
        <v>0</v>
      </c>
      <c r="T340" s="541">
        <f>VLOOKUP(A340,'Discount Lookup'!D:E,2,FALSE)*G340</f>
        <v>0</v>
      </c>
      <c r="U340" s="83">
        <f>VLOOKUP(A340,'Discount Lookup'!G:H,2,FALSE)*G340</f>
        <v>0</v>
      </c>
      <c r="V340" s="100">
        <f>E340*($J$1782)*G340</f>
        <v>0</v>
      </c>
      <c r="W340" s="100">
        <f t="shared" si="939"/>
        <v>0</v>
      </c>
      <c r="X340" s="100" t="b">
        <f>IF(G340&gt;0,IF(AD340="me","",G340))</f>
        <v>0</v>
      </c>
      <c r="Y340" s="201"/>
      <c r="Z340" s="829" t="str">
        <f t="shared" ref="Z340" si="940">IF(G340=0,"",IF(AD340="me","",IF($AD$8="me","",IF(AD340="free","warranty",IF($AD$8="yes","NVP planting:","to NVP install:")))))</f>
        <v/>
      </c>
      <c r="AA340" s="829"/>
      <c r="AB340" s="830" t="str">
        <f>IF(G340=0,"",IF(AD340="free","re-planting",IF(AD340="me","not NVP, by",IF($AD$8="yes",(VLOOKUP(A340,'Discount Lookup'!J:K,2)*G340*(1-$AC$1786)*(1+$AC$1788)),IF(AD340="NVP",(VLOOKUP(A340,'Discount Lookup'!J:K,2)*G340*(1-$AC$1786)*(1+$AC$1788)),IF(AD340="free","re-planting",IF(G340=0,"",IF($AD$8="",IF(AD340="me","not NVP, by",IF(AD340="",IF(G340&gt;0,(VLOOKUP(A340,'Discount Lookup'!J:K,2)*G340*(1-$AC$1786)*(1+$AC$1788)),""),"")),"not NVP, by"))))))))</f>
        <v/>
      </c>
      <c r="AC340" s="830"/>
      <c r="AD340" s="375" t="str">
        <f t="shared" si="861"/>
        <v/>
      </c>
      <c r="AE340" s="833" t="str">
        <f t="shared" ref="AE340" si="941">IF(G340&gt;0,(CONCATENATE((G340)," quantity, ",(A340)," ",B340)),"")</f>
        <v/>
      </c>
      <c r="AF340" s="833"/>
      <c r="AG340" s="833"/>
      <c r="AH340" s="91">
        <f>IF(AD340="free",0,IF(AD340="me",0,IF(G340&gt;0,(VLOOKUP(A340,'Discount Lookup'!J:K,2)*G340),0)))</f>
        <v>0</v>
      </c>
      <c r="AI340" s="92" t="str">
        <f t="shared" si="892"/>
        <v/>
      </c>
      <c r="AJ340" s="828" t="str">
        <f t="shared" ref="AJ340" si="942">IF(G340=0,"",IF(AD340="me","  delivery-only",IF($AD$8="me","  delivery-only",CONCATENATE(" $",ROUND(AI340/G340,2)," each"))))</f>
        <v/>
      </c>
      <c r="AK340" s="828"/>
      <c r="AL340" s="313" t="str">
        <f t="shared" si="928"/>
        <v/>
      </c>
      <c r="AM340" s="312"/>
      <c r="AN340" s="101"/>
      <c r="AO340" s="101"/>
      <c r="AP340" s="101"/>
      <c r="AQ340" s="101"/>
      <c r="AR340" s="101"/>
      <c r="AS340" s="101"/>
      <c r="AT340" s="101"/>
    </row>
    <row r="341" spans="1:46" ht="12.95" customHeight="1">
      <c r="A341" s="475"/>
      <c r="B341" s="149" t="s">
        <v>281</v>
      </c>
      <c r="G341" s="361"/>
      <c r="H341" s="749"/>
      <c r="J341" s="119"/>
      <c r="K341" s="609"/>
      <c r="L341" s="609"/>
      <c r="M341" s="48"/>
      <c r="N341" s="163" t="s">
        <v>268</v>
      </c>
      <c r="O341" s="111"/>
      <c r="P341" s="111"/>
      <c r="Q341" s="841" t="s">
        <v>125</v>
      </c>
      <c r="R341" s="841"/>
      <c r="S341" s="841"/>
      <c r="T341" s="841"/>
      <c r="U341" s="841"/>
      <c r="V341" s="841"/>
      <c r="Y341" s="132"/>
      <c r="Z341" s="829" t="str">
        <f t="shared" si="807"/>
        <v/>
      </c>
      <c r="AA341" s="829"/>
      <c r="AB341" s="830" t="str">
        <f>IF(G341=0,"",IF(AD341="free","re-planting",IF(AD341="me","not NVP, by",IF($AD$8="yes",(VLOOKUP(A341,'Discount Lookup'!J:K,2)*G341*(1-$AC$1786)*(1+$AC$1788)),IF(AD341="NVP",(VLOOKUP(A341,'Discount Lookup'!J:K,2)*G341*(1-$AC$1786)*(1+$AC$1788)),IF(AD341="free","re-planting",IF(G341=0,"",IF($AD$8="",IF(AD341="me","not NVP, by",IF(AD341="",IF(G341&gt;0,(VLOOKUP(A341,'Discount Lookup'!J:K,2)*G341*(1-$AC$1786)*(1+$AC$1788)),""),"")),"not NVP, by"))))))))</f>
        <v/>
      </c>
      <c r="AC341" s="830"/>
      <c r="AD341" s="375" t="str">
        <f t="shared" si="861"/>
        <v/>
      </c>
      <c r="AE341" s="833" t="str">
        <f t="shared" si="837"/>
        <v/>
      </c>
      <c r="AF341" s="833"/>
      <c r="AG341" s="833"/>
      <c r="AH341" s="91">
        <f>IF(AD341="free",0,IF(AD341="me",0,IF(G341&gt;0,(VLOOKUP(A341,'Discount Lookup'!J:K,2)*G341),0)))</f>
        <v>0</v>
      </c>
      <c r="AI341" s="92" t="str">
        <f t="shared" si="892"/>
        <v/>
      </c>
      <c r="AJ341" s="828" t="str">
        <f t="shared" si="809"/>
        <v/>
      </c>
      <c r="AK341" s="828"/>
      <c r="AL341" s="313" t="str">
        <f t="shared" si="928"/>
        <v/>
      </c>
      <c r="AM341" s="312"/>
      <c r="AN341" s="101"/>
      <c r="AO341" s="101"/>
      <c r="AP341" s="101"/>
      <c r="AQ341" s="101"/>
      <c r="AR341" s="101"/>
      <c r="AS341" s="101"/>
      <c r="AT341" s="101"/>
    </row>
    <row r="342" spans="1:46" ht="12.95" customHeight="1">
      <c r="A342" s="891" t="s">
        <v>1543</v>
      </c>
      <c r="B342" s="892"/>
      <c r="C342" s="892"/>
      <c r="D342" s="892"/>
      <c r="E342" s="892"/>
      <c r="F342" s="892"/>
      <c r="G342" s="892"/>
      <c r="H342" s="774" t="s">
        <v>282</v>
      </c>
      <c r="I342" s="164" t="s">
        <v>79</v>
      </c>
      <c r="J342" s="157"/>
      <c r="K342" s="611" t="s">
        <v>45</v>
      </c>
      <c r="L342" s="630" t="s">
        <v>46</v>
      </c>
      <c r="M342" s="157"/>
      <c r="N342" s="158" t="s">
        <v>69</v>
      </c>
      <c r="O342" s="158"/>
      <c r="P342" s="158"/>
      <c r="Q342" s="158"/>
      <c r="R342" s="157"/>
      <c r="S342" s="170"/>
      <c r="T342" s="547"/>
      <c r="U342" s="171"/>
      <c r="V342" s="100" t="b">
        <f>IF(G342&gt;0,IF(AD342="me","",G342))</f>
        <v>0</v>
      </c>
      <c r="W342" s="100"/>
      <c r="X342" s="100"/>
      <c r="Y342" s="201"/>
      <c r="Z342" s="829" t="str">
        <f t="shared" si="807"/>
        <v/>
      </c>
      <c r="AA342" s="829"/>
      <c r="AB342" s="830" t="str">
        <f>IF(G342=0,"",IF(AD342="free","re-planting",IF(AD342="me","not NVP, by",IF($AD$8="yes",(VLOOKUP(A342,'Discount Lookup'!J:K,2)*G342*(1-$AC$1786)*(1+$AC$1788)),IF(AD342="NVP",(VLOOKUP(A342,'Discount Lookup'!J:K,2)*G342*(1-$AC$1786)*(1+$AC$1788)),IF(AD342="free","re-planting",IF(G342=0,"",IF($AD$8="",IF(AD342="me","not NVP, by",IF(AD342="",IF(G342&gt;0,(VLOOKUP(A342,'Discount Lookup'!J:K,2)*G342*(1-$AC$1786)*(1+$AC$1788)),""),"")),"not NVP, by"))))))))</f>
        <v/>
      </c>
      <c r="AC342" s="830"/>
      <c r="AD342" s="375" t="str">
        <f t="shared" si="861"/>
        <v/>
      </c>
      <c r="AE342" s="833" t="str">
        <f t="shared" si="837"/>
        <v/>
      </c>
      <c r="AF342" s="833"/>
      <c r="AG342" s="833"/>
      <c r="AH342" s="91">
        <f>IF(AD342="free",0,IF(AD342="me",0,IF(G342&gt;0,(VLOOKUP(A342,'Discount Lookup'!J:K,2)*G342),0)))</f>
        <v>0</v>
      </c>
      <c r="AI342" s="92" t="str">
        <f t="shared" si="892"/>
        <v/>
      </c>
      <c r="AJ342" s="828" t="str">
        <f t="shared" si="809"/>
        <v/>
      </c>
      <c r="AK342" s="828"/>
      <c r="AL342" s="313" t="str">
        <f t="shared" si="928"/>
        <v/>
      </c>
      <c r="AM342" s="312"/>
      <c r="AN342" s="101"/>
      <c r="AO342" s="101"/>
      <c r="AP342" s="101"/>
      <c r="AQ342" s="101"/>
      <c r="AR342" s="101"/>
      <c r="AS342" s="101"/>
      <c r="AT342" s="101"/>
    </row>
    <row r="343" spans="1:46" ht="12.95" customHeight="1">
      <c r="A343" s="383">
        <v>7</v>
      </c>
      <c r="B343" s="158" t="s">
        <v>50</v>
      </c>
      <c r="C343" s="160" t="s">
        <v>263</v>
      </c>
      <c r="D343" s="161" t="s">
        <v>54</v>
      </c>
      <c r="E343" s="162">
        <v>91.95</v>
      </c>
      <c r="F343" s="713" t="s">
        <v>1306</v>
      </c>
      <c r="G343" s="357">
        <v>0</v>
      </c>
      <c r="H343" s="748" t="str">
        <f t="shared" ref="H343:H344" si="943">IF(G343=0,"",IF(F343="Qty=",IF(G343=1,"plant","plants"),IF(F343&gt;0.0001,"warranty","Error")))</f>
        <v/>
      </c>
      <c r="I343" s="592">
        <f t="shared" ref="I343:I344" si="944">IF(F343="Qty=",(E343*G343),((E343*(1-F343))*G343))</f>
        <v>0</v>
      </c>
      <c r="J343" s="592">
        <f>IF(H343="warranty",0,(I343*($J$1782)))</f>
        <v>0</v>
      </c>
      <c r="K343" s="834">
        <f t="shared" ref="K343:K344" si="945">I343+J343</f>
        <v>0</v>
      </c>
      <c r="L343" s="834"/>
      <c r="M343" s="832" t="str">
        <f>IF($H$1784=0,"",IF(G343=0,"",IF(F343="Qty=",CONCATENATE("$",ROUND(K343*(1-$H$1784),2)," with ",($H$1784*100),"% discount"),CONCATENATE("$",ROUND(K343*(1-$H$1784),2)," with ",(($H$1784*100+F343*100)-($H$1784*100*F343)),IF(F343&gt;0,"% discounts",IF($H$1781&gt;0,"% discounts","% discount"))))))</f>
        <v/>
      </c>
      <c r="N343" s="832"/>
      <c r="O343" s="832"/>
      <c r="P343" s="832"/>
      <c r="Q343" s="832"/>
      <c r="R343" s="832"/>
      <c r="S343" s="303">
        <f t="shared" ref="S343:S344" si="946">E343*G343</f>
        <v>0</v>
      </c>
      <c r="T343" s="541">
        <f>VLOOKUP(A343,'Discount Lookup'!D:E,2,FALSE)*G343</f>
        <v>0</v>
      </c>
      <c r="U343" s="83">
        <f>VLOOKUP(A343,'Discount Lookup'!G:H,2,FALSE)*G343</f>
        <v>0</v>
      </c>
      <c r="V343" s="100">
        <f>E343*($J$1782)*G343</f>
        <v>0</v>
      </c>
      <c r="W343" s="100">
        <f t="shared" ref="W343:W344" si="947">I343</f>
        <v>0</v>
      </c>
      <c r="X343" s="100" t="b">
        <f>IF(G343&gt;0,IF(AD343="me","",G343))</f>
        <v>0</v>
      </c>
      <c r="Y343" s="201"/>
      <c r="Z343" s="829" t="str">
        <f t="shared" si="807"/>
        <v/>
      </c>
      <c r="AA343" s="829"/>
      <c r="AB343" s="830" t="str">
        <f>IF(G343=0,"",IF(AD343="free","re-planting",IF(AD343="me","not NVP, by",IF($AD$8="yes",(VLOOKUP(A343,'Discount Lookup'!J:K,2)*G343*(1-$AC$1786)*(1+$AC$1788)),IF(AD343="NVP",(VLOOKUP(A343,'Discount Lookup'!J:K,2)*G343*(1-$AC$1786)*(1+$AC$1788)),IF(AD343="free","re-planting",IF(G343=0,"",IF($AD$8="",IF(AD343="me","not NVP, by",IF(AD343="",IF(G343&gt;0,(VLOOKUP(A343,'Discount Lookup'!J:K,2)*G343*(1-$AC$1786)*(1+$AC$1788)),""),"")),"not NVP, by"))))))))</f>
        <v/>
      </c>
      <c r="AC343" s="830"/>
      <c r="AD343" s="375" t="str">
        <f t="shared" si="861"/>
        <v/>
      </c>
      <c r="AE343" s="833" t="str">
        <f t="shared" si="837"/>
        <v/>
      </c>
      <c r="AF343" s="833"/>
      <c r="AG343" s="833"/>
      <c r="AH343" s="91">
        <f>IF(AD343="free",0,IF(AD343="me",0,IF(G343&gt;0,(VLOOKUP(A343,'Discount Lookup'!J:K,2)*G343),0)))</f>
        <v>0</v>
      </c>
      <c r="AI343" s="92" t="str">
        <f t="shared" si="892"/>
        <v/>
      </c>
      <c r="AJ343" s="828" t="str">
        <f t="shared" si="809"/>
        <v/>
      </c>
      <c r="AK343" s="828"/>
      <c r="AL343" s="313" t="str">
        <f t="shared" si="928"/>
        <v/>
      </c>
      <c r="AM343" s="312"/>
      <c r="AN343" s="101"/>
      <c r="AO343" s="101"/>
      <c r="AP343" s="101"/>
      <c r="AQ343" s="101"/>
      <c r="AR343" s="101"/>
      <c r="AS343" s="101"/>
      <c r="AT343" s="101"/>
    </row>
    <row r="344" spans="1:46" ht="12.95" customHeight="1">
      <c r="A344" s="383">
        <v>25</v>
      </c>
      <c r="B344" s="158" t="s">
        <v>50</v>
      </c>
      <c r="C344" s="160" t="s">
        <v>1314</v>
      </c>
      <c r="D344" s="161" t="s">
        <v>54</v>
      </c>
      <c r="E344" s="162">
        <v>293.95</v>
      </c>
      <c r="F344" s="713" t="s">
        <v>1306</v>
      </c>
      <c r="G344" s="357">
        <v>0</v>
      </c>
      <c r="H344" s="748" t="str">
        <f t="shared" si="943"/>
        <v/>
      </c>
      <c r="I344" s="592">
        <f t="shared" si="944"/>
        <v>0</v>
      </c>
      <c r="J344" s="592">
        <f>IF(H344="warranty",0,(I344*($J$1782)))</f>
        <v>0</v>
      </c>
      <c r="K344" s="834">
        <f t="shared" si="945"/>
        <v>0</v>
      </c>
      <c r="L344" s="834"/>
      <c r="M344" s="832" t="str">
        <f>IF($H$1784=0,"",IF(G344=0,"",IF(F344="Qty=",CONCATENATE("$",ROUND(K344*(1-$H$1784),2)," with ",($H$1784*100),"% discount"),CONCATENATE("$",ROUND(K344*(1-$H$1784),2)," with ",(($H$1784*100+F344*100)-($H$1784*100*F344)),IF(F344&gt;0,"% discounts",IF($H$1781&gt;0,"% discounts","% discount"))))))</f>
        <v/>
      </c>
      <c r="N344" s="832"/>
      <c r="O344" s="832"/>
      <c r="P344" s="832"/>
      <c r="Q344" s="832"/>
      <c r="R344" s="832"/>
      <c r="S344" s="303">
        <f t="shared" si="946"/>
        <v>0</v>
      </c>
      <c r="T344" s="541">
        <f>VLOOKUP(A344,'Discount Lookup'!D:E,2,FALSE)*G344</f>
        <v>0</v>
      </c>
      <c r="U344" s="83">
        <f>VLOOKUP(A344,'Discount Lookup'!G:H,2,FALSE)*G344</f>
        <v>0</v>
      </c>
      <c r="V344" s="100">
        <f>E344*($J$1782)*G344</f>
        <v>0</v>
      </c>
      <c r="W344" s="100">
        <f t="shared" si="947"/>
        <v>0</v>
      </c>
      <c r="X344" s="100" t="b">
        <f>IF(G344&gt;0,IF(AD344="me","",G344))</f>
        <v>0</v>
      </c>
      <c r="Y344" s="201"/>
      <c r="Z344" s="829" t="str">
        <f t="shared" si="807"/>
        <v/>
      </c>
      <c r="AA344" s="829"/>
      <c r="AB344" s="830" t="str">
        <f>IF(G344=0,"",IF(AD344="free","re-planting",IF(AD344="me","not NVP, by",IF($AD$8="yes",(VLOOKUP(A344,'Discount Lookup'!J:K,2)*G344*(1-$AC$1786)*(1+$AC$1788)),IF(AD344="NVP",(VLOOKUP(A344,'Discount Lookup'!J:K,2)*G344*(1-$AC$1786)*(1+$AC$1788)),IF(AD344="free","re-planting",IF(G344=0,"",IF($AD$8="",IF(AD344="me","not NVP, by",IF(AD344="",IF(G344&gt;0,(VLOOKUP(A344,'Discount Lookup'!J:K,2)*G344*(1-$AC$1786)*(1+$AC$1788)),""),"")),"not NVP, by"))))))))</f>
        <v/>
      </c>
      <c r="AC344" s="830"/>
      <c r="AD344" s="375" t="str">
        <f t="shared" si="861"/>
        <v/>
      </c>
      <c r="AE344" s="833" t="str">
        <f t="shared" si="837"/>
        <v/>
      </c>
      <c r="AF344" s="833"/>
      <c r="AG344" s="833"/>
      <c r="AH344" s="91">
        <f>IF(AD344="free",0,IF(AD344="me",0,IF(G344&gt;0,(VLOOKUP(A344,'Discount Lookup'!J:K,2)*G344),0)))</f>
        <v>0</v>
      </c>
      <c r="AI344" s="92" t="str">
        <f t="shared" si="892"/>
        <v/>
      </c>
      <c r="AJ344" s="828" t="str">
        <f t="shared" si="809"/>
        <v/>
      </c>
      <c r="AK344" s="828"/>
      <c r="AL344" s="313" t="str">
        <f t="shared" si="928"/>
        <v/>
      </c>
      <c r="AM344" s="312"/>
      <c r="AN344" s="101"/>
      <c r="AO344" s="101"/>
      <c r="AP344" s="101"/>
      <c r="AQ344" s="101"/>
      <c r="AR344" s="101"/>
      <c r="AS344" s="101"/>
      <c r="AT344" s="101"/>
    </row>
    <row r="345" spans="1:46" ht="12.95" customHeight="1">
      <c r="A345" s="472"/>
      <c r="B345" s="149" t="s">
        <v>284</v>
      </c>
      <c r="C345" s="118"/>
      <c r="D345" s="118"/>
      <c r="E345" s="119"/>
      <c r="F345" s="711"/>
      <c r="G345" s="358"/>
      <c r="H345" s="745"/>
      <c r="I345" s="119"/>
      <c r="J345" s="119"/>
      <c r="K345" s="609"/>
      <c r="L345" s="609"/>
      <c r="M345" s="121"/>
      <c r="N345" s="48"/>
      <c r="O345" s="123"/>
      <c r="P345" s="124"/>
      <c r="Q345" s="124"/>
      <c r="R345" s="83"/>
      <c r="S345" s="82">
        <f>E345*G345</f>
        <v>0</v>
      </c>
      <c r="T345" s="540"/>
      <c r="U345" s="83"/>
      <c r="V345" s="100" t="b">
        <f>IF(G345&gt;0,IF(AD345="me","",G345))</f>
        <v>0</v>
      </c>
      <c r="W345" s="100"/>
      <c r="X345" s="100"/>
      <c r="Y345" s="201"/>
      <c r="Z345" s="829" t="str">
        <f t="shared" si="807"/>
        <v/>
      </c>
      <c r="AA345" s="829"/>
      <c r="AB345" s="830" t="str">
        <f>IF(G345=0,"",IF(AD345="free","re-planting",IF(AD345="me","not NVP, by",IF($AD$8="yes",(VLOOKUP(A345,'Discount Lookup'!J:K,2)*G345*(1-$AC$1786)*(1+$AC$1788)),IF(AD345="NVP",(VLOOKUP(A345,'Discount Lookup'!J:K,2)*G345*(1-$AC$1786)*(1+$AC$1788)),IF(AD345="free","re-planting",IF(G345=0,"",IF($AD$8="",IF(AD345="me","not NVP, by",IF(AD345="",IF(G345&gt;0,(VLOOKUP(A345,'Discount Lookup'!J:K,2)*G345*(1-$AC$1786)*(1+$AC$1788)),""),"")),"not NVP, by"))))))))</f>
        <v/>
      </c>
      <c r="AC345" s="830"/>
      <c r="AD345" s="375" t="str">
        <f t="shared" si="861"/>
        <v/>
      </c>
      <c r="AE345" s="833" t="str">
        <f t="shared" si="837"/>
        <v/>
      </c>
      <c r="AF345" s="833"/>
      <c r="AG345" s="833"/>
      <c r="AH345" s="91">
        <f>IF(AD345="free",0,IF(AD345="me",0,IF(G345&gt;0,(VLOOKUP(A345,'Discount Lookup'!J:K,2)*G345),0)))</f>
        <v>0</v>
      </c>
      <c r="AI345" s="92" t="str">
        <f t="shared" si="892"/>
        <v/>
      </c>
      <c r="AJ345" s="828" t="str">
        <f t="shared" si="809"/>
        <v/>
      </c>
      <c r="AK345" s="828"/>
      <c r="AL345" s="313" t="str">
        <f t="shared" si="928"/>
        <v/>
      </c>
      <c r="AM345" s="312"/>
      <c r="AN345" s="101"/>
      <c r="AO345" s="101"/>
      <c r="AP345" s="101"/>
      <c r="AQ345" s="101"/>
      <c r="AR345" s="101"/>
      <c r="AS345" s="101"/>
      <c r="AT345" s="101"/>
    </row>
    <row r="346" spans="1:46" ht="12.95" customHeight="1">
      <c r="A346" s="889" t="s">
        <v>1542</v>
      </c>
      <c r="B346" s="890"/>
      <c r="C346" s="890"/>
      <c r="D346" s="890"/>
      <c r="E346" s="890"/>
      <c r="F346" s="890"/>
      <c r="G346" s="890"/>
      <c r="H346" s="774" t="s">
        <v>285</v>
      </c>
      <c r="I346" s="164" t="s">
        <v>79</v>
      </c>
      <c r="J346" s="157"/>
      <c r="K346" s="611" t="s">
        <v>45</v>
      </c>
      <c r="L346" s="630" t="s">
        <v>46</v>
      </c>
      <c r="M346" s="157"/>
      <c r="N346" s="158" t="s">
        <v>47</v>
      </c>
      <c r="O346" s="158"/>
      <c r="P346" s="158"/>
      <c r="Q346" s="804" t="s">
        <v>1626</v>
      </c>
      <c r="R346" s="835" t="s">
        <v>49</v>
      </c>
      <c r="S346" s="835"/>
      <c r="T346" s="835"/>
      <c r="U346" s="835"/>
      <c r="V346" s="100" t="b">
        <f>IF(G346&gt;0,IF(AD346="me","",G346))</f>
        <v>0</v>
      </c>
      <c r="W346" s="100"/>
      <c r="X346" s="100"/>
      <c r="Y346" s="201"/>
      <c r="Z346" s="829" t="str">
        <f t="shared" si="807"/>
        <v/>
      </c>
      <c r="AA346" s="829"/>
      <c r="AB346" s="830" t="str">
        <f>IF(G346=0,"",IF(AD346="free","re-planting",IF(AD346="me","not NVP, by",IF($AD$8="yes",(VLOOKUP(A346,'Discount Lookup'!J:K,2)*G346*(1-$AC$1786)*(1+$AC$1788)),IF(AD346="NVP",(VLOOKUP(A346,'Discount Lookup'!J:K,2)*G346*(1-$AC$1786)*(1+$AC$1788)),IF(AD346="free","re-planting",IF(G346=0,"",IF($AD$8="",IF(AD346="me","not NVP, by",IF(AD346="",IF(G346&gt;0,(VLOOKUP(A346,'Discount Lookup'!J:K,2)*G346*(1-$AC$1786)*(1+$AC$1788)),""),"")),"not NVP, by"))))))))</f>
        <v/>
      </c>
      <c r="AC346" s="830"/>
      <c r="AD346" s="375" t="str">
        <f t="shared" si="861"/>
        <v/>
      </c>
      <c r="AE346" s="833" t="str">
        <f t="shared" si="837"/>
        <v/>
      </c>
      <c r="AF346" s="833"/>
      <c r="AG346" s="833"/>
      <c r="AH346" s="91">
        <f>IF(AD346="free",0,IF(AD346="me",0,IF(G346&gt;0,(VLOOKUP(A346,'Discount Lookup'!J:K,2)*G346),0)))</f>
        <v>0</v>
      </c>
      <c r="AI346" s="92" t="str">
        <f t="shared" si="892"/>
        <v/>
      </c>
      <c r="AJ346" s="828" t="str">
        <f t="shared" si="809"/>
        <v/>
      </c>
      <c r="AK346" s="828"/>
      <c r="AL346" s="313" t="str">
        <f t="shared" si="928"/>
        <v/>
      </c>
      <c r="AM346" s="312"/>
      <c r="AN346" s="101"/>
      <c r="AO346" s="101"/>
      <c r="AP346" s="101"/>
      <c r="AQ346" s="101"/>
      <c r="AR346" s="101"/>
      <c r="AS346" s="101"/>
      <c r="AT346" s="101"/>
    </row>
    <row r="347" spans="1:46" ht="12.95" customHeight="1">
      <c r="A347" s="383">
        <v>7</v>
      </c>
      <c r="B347" s="158" t="s">
        <v>50</v>
      </c>
      <c r="C347" s="160" t="s">
        <v>211</v>
      </c>
      <c r="D347" s="161" t="s">
        <v>54</v>
      </c>
      <c r="E347" s="162">
        <v>123.95</v>
      </c>
      <c r="F347" s="713" t="s">
        <v>1306</v>
      </c>
      <c r="G347" s="357">
        <v>0</v>
      </c>
      <c r="H347" s="748" t="str">
        <f t="shared" ref="H347:H348" si="948">IF(G347=0,"",IF(F347="Qty=",IF(G347=1,"plant","plants"),IF(F347&gt;0.0001,"warranty","Error")))</f>
        <v/>
      </c>
      <c r="I347" s="592">
        <f t="shared" ref="I347:I348" si="949">IF(F347="Qty=",(E347*G347),((E347*(1-F347))*G347))</f>
        <v>0</v>
      </c>
      <c r="J347" s="592">
        <f>IF(H347="warranty",0,(I347*($J$1782)))</f>
        <v>0</v>
      </c>
      <c r="K347" s="834">
        <f t="shared" ref="K347:K348" si="950">I347+J347</f>
        <v>0</v>
      </c>
      <c r="L347" s="834"/>
      <c r="M347" s="832" t="str">
        <f>IF($H$1784=0,"",IF(G347=0,"",IF(F347="Qty=",CONCATENATE("$",ROUND(K347*(1-$H$1784),2)," with ",($H$1784*100),"% discount"),CONCATENATE("$",ROUND(K347*(1-$H$1784),2)," with ",(($H$1784*100+F347*100)-($H$1784*100*F347)),IF(F347&gt;0,"% discounts",IF($H$1781&gt;0,"% discounts","% discount"))))))</f>
        <v/>
      </c>
      <c r="N347" s="832"/>
      <c r="O347" s="832"/>
      <c r="P347" s="832"/>
      <c r="Q347" s="832"/>
      <c r="R347" s="832"/>
      <c r="S347" s="303">
        <f t="shared" ref="S347:S348" si="951">E347*G347</f>
        <v>0</v>
      </c>
      <c r="T347" s="541">
        <f>VLOOKUP(A347,'Discount Lookup'!D:E,2,FALSE)*G347</f>
        <v>0</v>
      </c>
      <c r="U347" s="83">
        <f>VLOOKUP(A347,'Discount Lookup'!G:H,2,FALSE)*G347</f>
        <v>0</v>
      </c>
      <c r="V347" s="100">
        <f>E347*($J$1782)*G347</f>
        <v>0</v>
      </c>
      <c r="W347" s="100">
        <f t="shared" ref="W347:W348" si="952">I347</f>
        <v>0</v>
      </c>
      <c r="X347" s="100" t="b">
        <f>IF(G347&gt;0,IF(AD347="me","",G347))</f>
        <v>0</v>
      </c>
      <c r="Y347" s="201"/>
      <c r="Z347" s="829" t="str">
        <f t="shared" si="807"/>
        <v/>
      </c>
      <c r="AA347" s="829"/>
      <c r="AB347" s="830" t="str">
        <f>IF(G347=0,"",IF(AD347="free","re-planting",IF(AD347="me","not NVP, by",IF($AD$8="yes",(VLOOKUP(A347,'Discount Lookup'!J:K,2)*G347*(1-$AC$1786)*(1+$AC$1788)),IF(AD347="NVP",(VLOOKUP(A347,'Discount Lookup'!J:K,2)*G347*(1-$AC$1786)*(1+$AC$1788)),IF(AD347="free","re-planting",IF(G347=0,"",IF($AD$8="",IF(AD347="me","not NVP, by",IF(AD347="",IF(G347&gt;0,(VLOOKUP(A347,'Discount Lookup'!J:K,2)*G347*(1-$AC$1786)*(1+$AC$1788)),""),"")),"not NVP, by"))))))))</f>
        <v/>
      </c>
      <c r="AC347" s="830"/>
      <c r="AD347" s="375" t="str">
        <f t="shared" si="861"/>
        <v/>
      </c>
      <c r="AE347" s="833" t="str">
        <f t="shared" si="837"/>
        <v/>
      </c>
      <c r="AF347" s="833"/>
      <c r="AG347" s="833"/>
      <c r="AH347" s="91">
        <f>IF(AD347="free",0,IF(AD347="me",0,IF(G347&gt;0,(VLOOKUP(A347,'Discount Lookup'!J:K,2)*G347),0)))</f>
        <v>0</v>
      </c>
      <c r="AI347" s="92" t="str">
        <f t="shared" si="892"/>
        <v/>
      </c>
      <c r="AJ347" s="828" t="str">
        <f t="shared" si="809"/>
        <v/>
      </c>
      <c r="AK347" s="828"/>
      <c r="AL347" s="313" t="str">
        <f t="shared" si="928"/>
        <v/>
      </c>
      <c r="AM347" s="312"/>
      <c r="AN347" s="101"/>
      <c r="AO347" s="101"/>
      <c r="AP347" s="101"/>
      <c r="AQ347" s="101"/>
      <c r="AR347" s="101"/>
      <c r="AS347" s="101"/>
      <c r="AT347" s="101"/>
    </row>
    <row r="348" spans="1:46" ht="12.95" customHeight="1">
      <c r="A348" s="383">
        <v>10</v>
      </c>
      <c r="B348" s="158" t="s">
        <v>50</v>
      </c>
      <c r="C348" s="160" t="s">
        <v>53</v>
      </c>
      <c r="D348" s="161" t="s">
        <v>54</v>
      </c>
      <c r="E348" s="162">
        <v>183.95</v>
      </c>
      <c r="F348" s="713" t="s">
        <v>1306</v>
      </c>
      <c r="G348" s="357">
        <v>0</v>
      </c>
      <c r="H348" s="748" t="str">
        <f t="shared" si="948"/>
        <v/>
      </c>
      <c r="I348" s="592">
        <f t="shared" si="949"/>
        <v>0</v>
      </c>
      <c r="J348" s="592">
        <f>IF(H348="warranty",0,(I348*($J$1782)))</f>
        <v>0</v>
      </c>
      <c r="K348" s="834">
        <f t="shared" si="950"/>
        <v>0</v>
      </c>
      <c r="L348" s="834"/>
      <c r="M348" s="832" t="str">
        <f>IF($H$1784=0,"",IF(G348=0,"",IF(F348="Qty=",CONCATENATE("$",ROUND(K348*(1-$H$1784),2)," with ",($H$1784*100),"% discount"),CONCATENATE("$",ROUND(K348*(1-$H$1784),2)," with ",(($H$1784*100+F348*100)-($H$1784*100*F348)),IF(F348&gt;0,"% discounts",IF($H$1781&gt;0,"% discounts","% discount"))))))</f>
        <v/>
      </c>
      <c r="N348" s="832"/>
      <c r="O348" s="832"/>
      <c r="P348" s="832"/>
      <c r="Q348" s="832"/>
      <c r="R348" s="832"/>
      <c r="S348" s="303">
        <f t="shared" si="951"/>
        <v>0</v>
      </c>
      <c r="T348" s="541">
        <f>VLOOKUP(A348,'Discount Lookup'!D:E,2,FALSE)*G348</f>
        <v>0</v>
      </c>
      <c r="U348" s="83">
        <f>VLOOKUP(A348,'Discount Lookup'!G:H,2,FALSE)*G348</f>
        <v>0</v>
      </c>
      <c r="V348" s="100">
        <f>E348*($J$1782)*G348</f>
        <v>0</v>
      </c>
      <c r="W348" s="100">
        <f t="shared" si="952"/>
        <v>0</v>
      </c>
      <c r="X348" s="100" t="b">
        <f>IF(G348&gt;0,IF(AD348="me","",G348))</f>
        <v>0</v>
      </c>
      <c r="Y348" s="201"/>
      <c r="Z348" s="829" t="str">
        <f t="shared" si="807"/>
        <v/>
      </c>
      <c r="AA348" s="829"/>
      <c r="AB348" s="830" t="str">
        <f>IF(G348=0,"",IF(AD348="free","re-planting",IF(AD348="me","not NVP, by",IF($AD$8="yes",(VLOOKUP(A348,'Discount Lookup'!J:K,2)*G348*(1-$AC$1786)*(1+$AC$1788)),IF(AD348="NVP",(VLOOKUP(A348,'Discount Lookup'!J:K,2)*G348*(1-$AC$1786)*(1+$AC$1788)),IF(AD348="free","re-planting",IF(G348=0,"",IF($AD$8="",IF(AD348="me","not NVP, by",IF(AD348="",IF(G348&gt;0,(VLOOKUP(A348,'Discount Lookup'!J:K,2)*G348*(1-$AC$1786)*(1+$AC$1788)),""),"")),"not NVP, by"))))))))</f>
        <v/>
      </c>
      <c r="AC348" s="830"/>
      <c r="AD348" s="375" t="str">
        <f t="shared" si="861"/>
        <v/>
      </c>
      <c r="AE348" s="833" t="str">
        <f t="shared" si="837"/>
        <v/>
      </c>
      <c r="AF348" s="833"/>
      <c r="AG348" s="833"/>
      <c r="AH348" s="91">
        <f>IF(AD348="free",0,IF(AD348="me",0,IF(G348&gt;0,(VLOOKUP(A348,'Discount Lookup'!J:K,2)*G348),0)))</f>
        <v>0</v>
      </c>
      <c r="AI348" s="92" t="str">
        <f t="shared" si="892"/>
        <v/>
      </c>
      <c r="AJ348" s="828" t="str">
        <f t="shared" si="809"/>
        <v/>
      </c>
      <c r="AK348" s="828"/>
      <c r="AL348" s="313" t="str">
        <f t="shared" si="928"/>
        <v/>
      </c>
      <c r="AM348" s="312"/>
      <c r="AN348" s="101"/>
      <c r="AO348" s="101"/>
      <c r="AP348" s="101"/>
      <c r="AQ348" s="101"/>
      <c r="AR348" s="101"/>
      <c r="AS348" s="101"/>
      <c r="AT348" s="101"/>
    </row>
    <row r="349" spans="1:46" ht="12.95" customHeight="1">
      <c r="A349" s="472"/>
      <c r="B349" s="149" t="s">
        <v>286</v>
      </c>
      <c r="C349" s="117"/>
      <c r="D349" s="118"/>
      <c r="E349" s="119"/>
      <c r="F349" s="711"/>
      <c r="G349" s="356"/>
      <c r="H349" s="745"/>
      <c r="I349" s="119"/>
      <c r="J349" s="119"/>
      <c r="K349" s="609"/>
      <c r="L349" s="609"/>
      <c r="M349" s="121"/>
      <c r="N349" s="121"/>
      <c r="O349" s="123"/>
      <c r="P349" s="124"/>
      <c r="Q349" s="124"/>
      <c r="R349" s="83"/>
      <c r="S349" s="82">
        <f>E349*G349</f>
        <v>0</v>
      </c>
      <c r="T349" s="540"/>
      <c r="U349" s="83"/>
      <c r="V349" s="100" t="b">
        <f>IF(G349&gt;0,IF(AD349="me","",G349))</f>
        <v>0</v>
      </c>
      <c r="W349" s="100"/>
      <c r="X349" s="100"/>
      <c r="Y349" s="201"/>
      <c r="Z349" s="829" t="str">
        <f t="shared" ref="Z349:Z404" si="953">IF(G349=0,"",IF(AD349="me","",IF($AD$8="me","",IF(AD349="free","warranty",IF($AD$8="yes","NVP planting:","to NVP install:")))))</f>
        <v/>
      </c>
      <c r="AA349" s="829"/>
      <c r="AB349" s="830" t="str">
        <f>IF(G349=0,"",IF(AD349="free","re-planting",IF(AD349="me","not NVP, by",IF($AD$8="yes",(VLOOKUP(A349,'Discount Lookup'!J:K,2)*G349*(1-$AC$1786)*(1+$AC$1788)),IF(AD349="NVP",(VLOOKUP(A349,'Discount Lookup'!J:K,2)*G349*(1-$AC$1786)*(1+$AC$1788)),IF(AD349="free","re-planting",IF(G349=0,"",IF($AD$8="",IF(AD349="me","not NVP, by",IF(AD349="",IF(G349&gt;0,(VLOOKUP(A349,'Discount Lookup'!J:K,2)*G349*(1-$AC$1786)*(1+$AC$1788)),""),"")),"not NVP, by"))))))))</f>
        <v/>
      </c>
      <c r="AC349" s="830"/>
      <c r="AD349" s="375" t="str">
        <f t="shared" si="861"/>
        <v/>
      </c>
      <c r="AE349" s="833" t="str">
        <f t="shared" si="837"/>
        <v/>
      </c>
      <c r="AF349" s="833"/>
      <c r="AG349" s="833"/>
      <c r="AH349" s="91">
        <f>IF(AD349="free",0,IF(AD349="me",0,IF(G349&gt;0,(VLOOKUP(A349,'Discount Lookup'!J:K,2)*G349),0)))</f>
        <v>0</v>
      </c>
      <c r="AI349" s="92" t="str">
        <f t="shared" si="892"/>
        <v/>
      </c>
      <c r="AJ349" s="828" t="str">
        <f t="shared" ref="AJ349:AJ404" si="954">IF(G349=0,"",IF(AD349="me","  delivery-only",IF($AD$8="me","  delivery-only",CONCATENATE(" $",ROUND(AI349/G349,2)," each"))))</f>
        <v/>
      </c>
      <c r="AK349" s="828"/>
      <c r="AL349" s="313" t="str">
        <f t="shared" si="928"/>
        <v/>
      </c>
      <c r="AM349" s="312"/>
      <c r="AN349" s="101"/>
      <c r="AO349" s="101"/>
      <c r="AP349" s="101"/>
      <c r="AQ349" s="101"/>
      <c r="AR349" s="101"/>
      <c r="AS349" s="101"/>
      <c r="AT349" s="101"/>
    </row>
    <row r="350" spans="1:46" ht="12.95" customHeight="1">
      <c r="A350" s="889" t="s">
        <v>1206</v>
      </c>
      <c r="B350" s="890"/>
      <c r="C350" s="890"/>
      <c r="D350" s="890"/>
      <c r="E350" s="890"/>
      <c r="F350" s="890"/>
      <c r="G350" s="890"/>
      <c r="H350" s="774" t="s">
        <v>285</v>
      </c>
      <c r="I350" s="349" t="s">
        <v>280</v>
      </c>
      <c r="J350" s="157"/>
      <c r="K350" s="611" t="s">
        <v>45</v>
      </c>
      <c r="L350" s="630" t="s">
        <v>46</v>
      </c>
      <c r="M350" s="157"/>
      <c r="N350" s="158" t="s">
        <v>262</v>
      </c>
      <c r="O350" s="158"/>
      <c r="P350" s="158"/>
      <c r="Q350" s="159"/>
      <c r="R350" s="835" t="s">
        <v>49</v>
      </c>
      <c r="S350" s="835"/>
      <c r="T350" s="835"/>
      <c r="U350" s="835"/>
      <c r="V350" s="100" t="b">
        <f>IF(G350&gt;0,IF(AD350="me","",G350))</f>
        <v>0</v>
      </c>
      <c r="W350" s="100"/>
      <c r="X350" s="100"/>
      <c r="Y350" s="201"/>
      <c r="Z350" s="829" t="str">
        <f t="shared" si="953"/>
        <v/>
      </c>
      <c r="AA350" s="829"/>
      <c r="AB350" s="830" t="str">
        <f>IF(G350=0,"",IF(AD350="free","re-planting",IF(AD350="me","not NVP, by",IF($AD$8="yes",(VLOOKUP(A350,'Discount Lookup'!J:K,2)*G350*(1-$AC$1786)*(1+$AC$1788)),IF(AD350="NVP",(VLOOKUP(A350,'Discount Lookup'!J:K,2)*G350*(1-$AC$1786)*(1+$AC$1788)),IF(AD350="free","re-planting",IF(G350=0,"",IF($AD$8="",IF(AD350="me","not NVP, by",IF(AD350="",IF(G350&gt;0,(VLOOKUP(A350,'Discount Lookup'!J:K,2)*G350*(1-$AC$1786)*(1+$AC$1788)),""),"")),"not NVP, by"))))))))</f>
        <v/>
      </c>
      <c r="AC350" s="830"/>
      <c r="AD350" s="375" t="str">
        <f t="shared" si="861"/>
        <v/>
      </c>
      <c r="AE350" s="833" t="str">
        <f t="shared" ref="AE350:AE353" si="955">IF(G350&gt;0,(CONCATENATE((G350)," quantity, ",(A350)," ",B350)),"")</f>
        <v/>
      </c>
      <c r="AF350" s="833"/>
      <c r="AG350" s="833"/>
      <c r="AH350" s="91">
        <f>IF(AD350="free",0,IF(AD350="me",0,IF(G350&gt;0,(VLOOKUP(A350,'Discount Lookup'!J:K,2)*G350),0)))</f>
        <v>0</v>
      </c>
      <c r="AI350" s="92" t="str">
        <f t="shared" si="892"/>
        <v/>
      </c>
      <c r="AJ350" s="828" t="str">
        <f t="shared" si="954"/>
        <v/>
      </c>
      <c r="AK350" s="828"/>
      <c r="AL350" s="313" t="str">
        <f t="shared" si="928"/>
        <v/>
      </c>
      <c r="AM350" s="312"/>
      <c r="AN350" s="101"/>
      <c r="AO350" s="101"/>
      <c r="AP350" s="101"/>
      <c r="AQ350" s="101"/>
      <c r="AR350" s="101"/>
      <c r="AS350" s="101"/>
      <c r="AT350" s="101"/>
    </row>
    <row r="351" spans="1:46" ht="12.95" customHeight="1">
      <c r="A351" s="383">
        <v>7</v>
      </c>
      <c r="B351" s="158" t="s">
        <v>50</v>
      </c>
      <c r="C351" s="160" t="s">
        <v>264</v>
      </c>
      <c r="D351" s="161" t="s">
        <v>54</v>
      </c>
      <c r="E351" s="162">
        <v>91.95</v>
      </c>
      <c r="F351" s="713" t="s">
        <v>1306</v>
      </c>
      <c r="G351" s="357">
        <v>0</v>
      </c>
      <c r="H351" s="748" t="str">
        <f t="shared" ref="H351:H352" si="956">IF(G351=0,"",IF(F351="Qty=",IF(G351=1,"plant","plants"),IF(F351&gt;0.0001,"warranty","Error")))</f>
        <v/>
      </c>
      <c r="I351" s="592">
        <f t="shared" ref="I351:I352" si="957">IF(F351="Qty=",(E351*G351),((E351*(1-F351))*G351))</f>
        <v>0</v>
      </c>
      <c r="J351" s="592">
        <f>IF(H351="warranty",0,(I351*($J$1782)))</f>
        <v>0</v>
      </c>
      <c r="K351" s="834">
        <f t="shared" ref="K351:K352" si="958">I351+J351</f>
        <v>0</v>
      </c>
      <c r="L351" s="834"/>
      <c r="M351" s="832" t="str">
        <f>IF($H$1784=0,"",IF(G351=0,"",IF(F351="Qty=",CONCATENATE("$",ROUND(K351*(1-$H$1784),2)," with ",($H$1784*100),"% discount"),CONCATENATE("$",ROUND(K351*(1-$H$1784),2)," with ",(($H$1784*100+F351*100)-($H$1784*100*F351)),IF(F351&gt;0,"% discounts",IF($H$1781&gt;0,"% discounts","% discount"))))))</f>
        <v/>
      </c>
      <c r="N351" s="832"/>
      <c r="O351" s="832"/>
      <c r="P351" s="832"/>
      <c r="Q351" s="832"/>
      <c r="R351" s="832"/>
      <c r="S351" s="303">
        <f t="shared" ref="S351" si="959">E351*G351</f>
        <v>0</v>
      </c>
      <c r="T351" s="541">
        <f>VLOOKUP(A351,'Discount Lookup'!D:E,2,FALSE)*G351</f>
        <v>0</v>
      </c>
      <c r="U351" s="83">
        <f>VLOOKUP(A351,'Discount Lookup'!G:H,2,FALSE)*G351</f>
        <v>0</v>
      </c>
      <c r="V351" s="100">
        <f>E351*($J$1782)*G351</f>
        <v>0</v>
      </c>
      <c r="W351" s="100">
        <f t="shared" ref="W351" si="960">I351</f>
        <v>0</v>
      </c>
      <c r="X351" s="100" t="b">
        <f>IF(G351&gt;0,IF(AD351="me","",G351))</f>
        <v>0</v>
      </c>
      <c r="Y351" s="201"/>
      <c r="Z351" s="829" t="str">
        <f t="shared" si="953"/>
        <v/>
      </c>
      <c r="AA351" s="829"/>
      <c r="AB351" s="830" t="str">
        <f>IF(G351=0,"",IF(AD351="free","re-planting",IF(AD351="me","not NVP, by",IF($AD$8="yes",(VLOOKUP(A351,'Discount Lookup'!J:K,2)*G351*(1-$AC$1786)*(1+$AC$1788)),IF(AD351="NVP",(VLOOKUP(A351,'Discount Lookup'!J:K,2)*G351*(1-$AC$1786)*(1+$AC$1788)),IF(AD351="free","re-planting",IF(G351=0,"",IF($AD$8="",IF(AD351="me","not NVP, by",IF(AD351="",IF(G351&gt;0,(VLOOKUP(A351,'Discount Lookup'!J:K,2)*G351*(1-$AC$1786)*(1+$AC$1788)),""),"")),"not NVP, by"))))))))</f>
        <v/>
      </c>
      <c r="AC351" s="830"/>
      <c r="AD351" s="375" t="str">
        <f t="shared" si="861"/>
        <v/>
      </c>
      <c r="AE351" s="833" t="str">
        <f t="shared" si="955"/>
        <v/>
      </c>
      <c r="AF351" s="833"/>
      <c r="AG351" s="833"/>
      <c r="AH351" s="91">
        <f>IF(AD351="free",0,IF(AD351="me",0,IF(G351&gt;0,(VLOOKUP(A351,'Discount Lookup'!J:K,2)*G351),0)))</f>
        <v>0</v>
      </c>
      <c r="AI351" s="92" t="str">
        <f t="shared" si="892"/>
        <v/>
      </c>
      <c r="AJ351" s="828" t="str">
        <f t="shared" si="954"/>
        <v/>
      </c>
      <c r="AK351" s="828"/>
      <c r="AL351" s="313" t="str">
        <f t="shared" si="928"/>
        <v/>
      </c>
      <c r="AM351" s="312"/>
      <c r="AN351" s="101"/>
      <c r="AO351" s="101"/>
      <c r="AP351" s="101"/>
      <c r="AQ351" s="101"/>
      <c r="AR351" s="101"/>
      <c r="AS351" s="101"/>
      <c r="AT351" s="101"/>
    </row>
    <row r="352" spans="1:46" ht="12.95" customHeight="1">
      <c r="A352" s="383">
        <v>15</v>
      </c>
      <c r="B352" s="158" t="s">
        <v>50</v>
      </c>
      <c r="C352" s="160" t="s">
        <v>1227</v>
      </c>
      <c r="D352" s="161" t="s">
        <v>54</v>
      </c>
      <c r="E352" s="162">
        <v>164.95</v>
      </c>
      <c r="F352" s="713" t="s">
        <v>1306</v>
      </c>
      <c r="G352" s="357">
        <v>0</v>
      </c>
      <c r="H352" s="748" t="str">
        <f t="shared" si="956"/>
        <v/>
      </c>
      <c r="I352" s="592">
        <f t="shared" si="957"/>
        <v>0</v>
      </c>
      <c r="J352" s="592">
        <f>IF(H352="warranty",0,(I352*($J$1782)))</f>
        <v>0</v>
      </c>
      <c r="K352" s="834">
        <f t="shared" si="958"/>
        <v>0</v>
      </c>
      <c r="L352" s="834"/>
      <c r="M352" s="832" t="str">
        <f>IF($H$1784=0,"",IF(G352=0,"",IF(F352="Qty=",CONCATENATE("$",ROUND(K352*(1-$H$1784),2)," with ",($H$1784*100),"% discount"),CONCATENATE("$",ROUND(K352*(1-$H$1784),2)," with ",(($H$1784*100+F352*100)-($H$1784*100*F352)),IF(F352&gt;0,"% discounts",IF($H$1781&gt;0,"% discounts","% discount"))))))</f>
        <v/>
      </c>
      <c r="N352" s="832"/>
      <c r="O352" s="832"/>
      <c r="P352" s="832"/>
      <c r="Q352" s="832"/>
      <c r="R352" s="832"/>
      <c r="S352" s="303">
        <f t="shared" ref="S352" si="961">E352*G352</f>
        <v>0</v>
      </c>
      <c r="T352" s="541">
        <f>VLOOKUP(A352,'Discount Lookup'!D:E,2,FALSE)*G352</f>
        <v>0</v>
      </c>
      <c r="U352" s="83">
        <f>VLOOKUP(A352,'Discount Lookup'!G:H,2,FALSE)*G352</f>
        <v>0</v>
      </c>
      <c r="V352" s="100">
        <f>E352*($J$1782)*G352</f>
        <v>0</v>
      </c>
      <c r="W352" s="100">
        <f t="shared" ref="W352" si="962">I352</f>
        <v>0</v>
      </c>
      <c r="X352" s="100" t="b">
        <f>IF(G352&gt;0,IF(AD352="me","",G352))</f>
        <v>0</v>
      </c>
      <c r="Y352" s="201"/>
      <c r="Z352" s="829" t="str">
        <f t="shared" si="953"/>
        <v/>
      </c>
      <c r="AA352" s="829"/>
      <c r="AB352" s="830" t="str">
        <f>IF(G352=0,"",IF(AD352="free","re-planting",IF(AD352="me","not NVP, by",IF($AD$8="yes",(VLOOKUP(A352,'Discount Lookup'!J:K,2)*G352*(1-$AC$1786)*(1+$AC$1788)),IF(AD352="NVP",(VLOOKUP(A352,'Discount Lookup'!J:K,2)*G352*(1-$AC$1786)*(1+$AC$1788)),IF(AD352="free","re-planting",IF(G352=0,"",IF($AD$8="",IF(AD352="me","not NVP, by",IF(AD352="",IF(G352&gt;0,(VLOOKUP(A352,'Discount Lookup'!J:K,2)*G352*(1-$AC$1786)*(1+$AC$1788)),""),"")),"not NVP, by"))))))))</f>
        <v/>
      </c>
      <c r="AC352" s="830"/>
      <c r="AD352" s="375" t="str">
        <f t="shared" si="861"/>
        <v/>
      </c>
      <c r="AE352" s="833" t="str">
        <f t="shared" ref="AE352" si="963">IF(G352&gt;0,(CONCATENATE((G352)," quantity, ",(A352)," ",B352)),"")</f>
        <v/>
      </c>
      <c r="AF352" s="833"/>
      <c r="AG352" s="833"/>
      <c r="AH352" s="91">
        <f>IF(AD352="free",0,IF(AD352="me",0,IF(G352&gt;0,(VLOOKUP(A352,'Discount Lookup'!J:K,2)*G352),0)))</f>
        <v>0</v>
      </c>
      <c r="AI352" s="92" t="str">
        <f t="shared" si="892"/>
        <v/>
      </c>
      <c r="AJ352" s="828" t="str">
        <f t="shared" si="954"/>
        <v/>
      </c>
      <c r="AK352" s="828"/>
      <c r="AL352" s="313" t="str">
        <f t="shared" si="928"/>
        <v/>
      </c>
      <c r="AM352" s="312"/>
      <c r="AN352" s="101"/>
      <c r="AO352" s="101"/>
      <c r="AP352" s="101"/>
      <c r="AQ352" s="101"/>
      <c r="AR352" s="101"/>
      <c r="AS352" s="101"/>
      <c r="AT352" s="101"/>
    </row>
    <row r="353" spans="1:46" ht="12.95" customHeight="1">
      <c r="A353" s="475"/>
      <c r="B353" s="149" t="s">
        <v>1207</v>
      </c>
      <c r="G353" s="361"/>
      <c r="H353" s="749"/>
      <c r="J353" s="119"/>
      <c r="K353" s="609"/>
      <c r="L353" s="609"/>
      <c r="M353" s="48"/>
      <c r="N353" s="163" t="s">
        <v>268</v>
      </c>
      <c r="O353" s="111"/>
      <c r="P353" s="111"/>
      <c r="Q353" s="841"/>
      <c r="R353" s="841"/>
      <c r="S353" s="841"/>
      <c r="T353" s="841"/>
      <c r="U353" s="841"/>
      <c r="V353" s="841"/>
      <c r="Y353" s="132"/>
      <c r="Z353" s="829" t="str">
        <f t="shared" si="953"/>
        <v/>
      </c>
      <c r="AA353" s="829"/>
      <c r="AB353" s="830" t="str">
        <f>IF(G353=0,"",IF(AD353="free","re-planting",IF(AD353="me","not NVP, by",IF($AD$8="yes",(VLOOKUP(A353,'Discount Lookup'!J:K,2)*G353*(1-$AC$1786)*(1+$AC$1788)),IF(AD353="NVP",(VLOOKUP(A353,'Discount Lookup'!J:K,2)*G353*(1-$AC$1786)*(1+$AC$1788)),IF(AD353="free","re-planting",IF(G353=0,"",IF($AD$8="",IF(AD353="me","not NVP, by",IF(AD353="",IF(G353&gt;0,(VLOOKUP(A353,'Discount Lookup'!J:K,2)*G353*(1-$AC$1786)*(1+$AC$1788)),""),"")),"not NVP, by"))))))))</f>
        <v/>
      </c>
      <c r="AC353" s="830"/>
      <c r="AD353" s="375" t="str">
        <f t="shared" si="861"/>
        <v/>
      </c>
      <c r="AE353" s="833" t="str">
        <f t="shared" si="955"/>
        <v/>
      </c>
      <c r="AF353" s="833"/>
      <c r="AG353" s="833"/>
      <c r="AH353" s="91">
        <f>IF(AD353="free",0,IF(AD353="me",0,IF(G353&gt;0,(VLOOKUP(A353,'Discount Lookup'!J:K,2)*G353),0)))</f>
        <v>0</v>
      </c>
      <c r="AI353" s="92" t="str">
        <f t="shared" si="892"/>
        <v/>
      </c>
      <c r="AJ353" s="828" t="str">
        <f t="shared" si="954"/>
        <v/>
      </c>
      <c r="AK353" s="828"/>
      <c r="AL353" s="313" t="str">
        <f t="shared" si="928"/>
        <v/>
      </c>
      <c r="AM353" s="312"/>
      <c r="AN353" s="101"/>
      <c r="AO353" s="101"/>
      <c r="AP353" s="101"/>
      <c r="AQ353" s="101"/>
      <c r="AR353" s="101"/>
      <c r="AS353" s="101"/>
      <c r="AT353" s="101"/>
    </row>
    <row r="354" spans="1:46" ht="12.95" customHeight="1">
      <c r="A354" s="889" t="s">
        <v>1540</v>
      </c>
      <c r="B354" s="890"/>
      <c r="C354" s="890"/>
      <c r="D354" s="890"/>
      <c r="E354" s="890"/>
      <c r="F354" s="890"/>
      <c r="G354" s="890"/>
      <c r="H354" s="774" t="s">
        <v>287</v>
      </c>
      <c r="I354" s="349" t="s">
        <v>280</v>
      </c>
      <c r="J354" s="157"/>
      <c r="K354" s="611" t="s">
        <v>45</v>
      </c>
      <c r="L354" s="630" t="s">
        <v>46</v>
      </c>
      <c r="M354" s="167"/>
      <c r="N354" s="158" t="s">
        <v>98</v>
      </c>
      <c r="O354" s="158"/>
      <c r="P354" s="158"/>
      <c r="Q354" s="158"/>
      <c r="R354" s="157"/>
      <c r="S354" s="170"/>
      <c r="T354" s="547"/>
      <c r="U354" s="171"/>
      <c r="V354" s="100" t="b">
        <f>IF(G354&gt;0,IF(AD354="me","",G354))</f>
        <v>0</v>
      </c>
      <c r="W354" s="100"/>
      <c r="X354" s="100"/>
      <c r="Y354" s="201"/>
      <c r="Z354" s="829" t="str">
        <f t="shared" si="953"/>
        <v/>
      </c>
      <c r="AA354" s="829"/>
      <c r="AB354" s="830" t="str">
        <f>IF(G354=0,"",IF(AD354="free","re-planting",IF(AD354="me","not NVP, by",IF($AD$8="yes",(VLOOKUP(A354,'Discount Lookup'!J:K,2)*G354*(1-$AC$1786)*(1+$AC$1788)),IF(AD354="NVP",(VLOOKUP(A354,'Discount Lookup'!J:K,2)*G354*(1-$AC$1786)*(1+$AC$1788)),IF(AD354="free","re-planting",IF(G354=0,"",IF($AD$8="",IF(AD354="me","not NVP, by",IF(AD354="",IF(G354&gt;0,(VLOOKUP(A354,'Discount Lookup'!J:K,2)*G354*(1-$AC$1786)*(1+$AC$1788)),""),"")),"not NVP, by"))))))))</f>
        <v/>
      </c>
      <c r="AC354" s="830"/>
      <c r="AD354" s="375" t="str">
        <f t="shared" si="861"/>
        <v/>
      </c>
      <c r="AE354" s="833" t="str">
        <f t="shared" si="837"/>
        <v/>
      </c>
      <c r="AF354" s="833"/>
      <c r="AG354" s="833"/>
      <c r="AH354" s="91">
        <f>IF(AD354="free",0,IF(AD354="me",0,IF(G354&gt;0,(VLOOKUP(A354,'Discount Lookup'!J:K,2)*G354),0)))</f>
        <v>0</v>
      </c>
      <c r="AI354" s="92" t="str">
        <f t="shared" si="892"/>
        <v/>
      </c>
      <c r="AJ354" s="828" t="str">
        <f t="shared" si="954"/>
        <v/>
      </c>
      <c r="AK354" s="828"/>
      <c r="AL354" s="313" t="str">
        <f t="shared" si="928"/>
        <v/>
      </c>
      <c r="AM354" s="312"/>
      <c r="AN354" s="101"/>
      <c r="AO354" s="101"/>
      <c r="AP354" s="101"/>
      <c r="AQ354" s="101"/>
      <c r="AR354" s="101"/>
      <c r="AS354" s="101"/>
      <c r="AT354" s="101"/>
    </row>
    <row r="355" spans="1:46" ht="12.95" customHeight="1">
      <c r="A355" s="383">
        <v>7</v>
      </c>
      <c r="B355" s="158" t="s">
        <v>50</v>
      </c>
      <c r="C355" s="160" t="s">
        <v>288</v>
      </c>
      <c r="D355" s="161" t="s">
        <v>54</v>
      </c>
      <c r="E355" s="162">
        <v>86.95</v>
      </c>
      <c r="F355" s="713" t="s">
        <v>1306</v>
      </c>
      <c r="G355" s="357">
        <v>0</v>
      </c>
      <c r="H355" s="748" t="str">
        <f t="shared" ref="H355:H357" si="964">IF(G355=0,"",IF(F355="Qty=",IF(G355=1,"plant","plants"),IF(F355&gt;0.0001,"warranty","Error")))</f>
        <v/>
      </c>
      <c r="I355" s="592">
        <f t="shared" ref="I355:I357" si="965">IF(F355="Qty=",(E355*G355),((E355*(1-F355))*G355))</f>
        <v>0</v>
      </c>
      <c r="J355" s="592">
        <f>IF(H355="warranty",0,(I355*($J$1782)))</f>
        <v>0</v>
      </c>
      <c r="K355" s="834">
        <f t="shared" ref="K355:K357" si="966">I355+J355</f>
        <v>0</v>
      </c>
      <c r="L355" s="834"/>
      <c r="M355" s="832" t="str">
        <f>IF($H$1784=0,"",IF(G355=0,"",IF(F355="Qty=",CONCATENATE("$",ROUND(K355*(1-$H$1784),2)," with ",($H$1784*100),"% discount"),CONCATENATE("$",ROUND(K355*(1-$H$1784),2)," with ",(($H$1784*100+F355*100)-($H$1784*100*F355)),IF(F355&gt;0,"% discounts",IF($H$1781&gt;0,"% discounts","% discount"))))))</f>
        <v/>
      </c>
      <c r="N355" s="832"/>
      <c r="O355" s="832"/>
      <c r="P355" s="832"/>
      <c r="Q355" s="832"/>
      <c r="R355" s="832"/>
      <c r="S355" s="303">
        <f t="shared" ref="S355" si="967">E355*G355</f>
        <v>0</v>
      </c>
      <c r="T355" s="541">
        <f>VLOOKUP(A355,'Discount Lookup'!D:E,2,FALSE)*G355</f>
        <v>0</v>
      </c>
      <c r="U355" s="83">
        <f>VLOOKUP(A355,'Discount Lookup'!G:H,2,FALSE)*G355</f>
        <v>0</v>
      </c>
      <c r="V355" s="100">
        <f>E355*($J$1782)*G355</f>
        <v>0</v>
      </c>
      <c r="W355" s="100">
        <f t="shared" ref="W355" si="968">I355</f>
        <v>0</v>
      </c>
      <c r="X355" s="100" t="b">
        <f>IF(G355&gt;0,IF(AD355="me","",G355))</f>
        <v>0</v>
      </c>
      <c r="Y355" s="201"/>
      <c r="Z355" s="829" t="str">
        <f t="shared" si="953"/>
        <v/>
      </c>
      <c r="AA355" s="829"/>
      <c r="AB355" s="830" t="str">
        <f>IF(G355=0,"",IF(AD355="free","re-planting",IF(AD355="me","not NVP, by",IF($AD$8="yes",(VLOOKUP(A355,'Discount Lookup'!J:K,2)*G355*(1-$AC$1786)*(1+$AC$1788)),IF(AD355="NVP",(VLOOKUP(A355,'Discount Lookup'!J:K,2)*G355*(1-$AC$1786)*(1+$AC$1788)),IF(AD355="free","re-planting",IF(G355=0,"",IF($AD$8="",IF(AD355="me","not NVP, by",IF(AD355="",IF(G355&gt;0,(VLOOKUP(A355,'Discount Lookup'!J:K,2)*G355*(1-$AC$1786)*(1+$AC$1788)),""),"")),"not NVP, by"))))))))</f>
        <v/>
      </c>
      <c r="AC355" s="830"/>
      <c r="AD355" s="375" t="str">
        <f t="shared" si="861"/>
        <v/>
      </c>
      <c r="AE355" s="833" t="str">
        <f t="shared" ref="AE355" si="969">IF(G355&gt;0,(CONCATENATE((G355)," quantity, ",(A355)," ",B355)),"")</f>
        <v/>
      </c>
      <c r="AF355" s="833"/>
      <c r="AG355" s="833"/>
      <c r="AH355" s="91">
        <f>IF(AD355="free",0,IF(AD355="me",0,IF(G355&gt;0,(VLOOKUP(A355,'Discount Lookup'!J:K,2)*G355),0)))</f>
        <v>0</v>
      </c>
      <c r="AI355" s="92" t="str">
        <f t="shared" si="892"/>
        <v/>
      </c>
      <c r="AJ355" s="828" t="str">
        <f t="shared" si="954"/>
        <v/>
      </c>
      <c r="AK355" s="828"/>
      <c r="AL355" s="313" t="str">
        <f t="shared" si="928"/>
        <v/>
      </c>
      <c r="AM355" s="312"/>
      <c r="AN355" s="101"/>
      <c r="AO355" s="101"/>
      <c r="AP355" s="101"/>
      <c r="AQ355" s="101"/>
      <c r="AR355" s="101"/>
      <c r="AS355" s="101"/>
      <c r="AT355" s="101"/>
    </row>
    <row r="356" spans="1:46" ht="12.95" customHeight="1">
      <c r="A356" s="383">
        <v>15</v>
      </c>
      <c r="B356" s="158" t="s">
        <v>50</v>
      </c>
      <c r="C356" s="160" t="s">
        <v>293</v>
      </c>
      <c r="D356" s="161" t="s">
        <v>54</v>
      </c>
      <c r="E356" s="162">
        <v>169.95</v>
      </c>
      <c r="F356" s="713" t="s">
        <v>1306</v>
      </c>
      <c r="G356" s="357">
        <v>0</v>
      </c>
      <c r="H356" s="748" t="str">
        <f t="shared" ref="H356" si="970">IF(G356=0,"",IF(F356="Qty=",IF(G356=1,"plant","plants"),IF(F356&gt;0.0001,"warranty","Error")))</f>
        <v/>
      </c>
      <c r="I356" s="592">
        <f t="shared" ref="I356" si="971">IF(F356="Qty=",(E356*G356),((E356*(1-F356))*G356))</f>
        <v>0</v>
      </c>
      <c r="J356" s="592">
        <f>IF(H356="warranty",0,(I356*($J$1782)))</f>
        <v>0</v>
      </c>
      <c r="K356" s="834">
        <f t="shared" si="966"/>
        <v>0</v>
      </c>
      <c r="L356" s="834"/>
      <c r="M356" s="832" t="str">
        <f>IF($H$1784=0,"",IF(G356=0,"",IF(F356="Qty=",CONCATENATE("$",ROUND(K356*(1-$H$1784),2)," with ",($H$1784*100),"% discount"),CONCATENATE("$",ROUND(K356*(1-$H$1784),2)," with ",(($H$1784*100+F356*100)-($H$1784*100*F356)),IF(F356&gt;0,"% discounts",IF($H$1781&gt;0,"% discounts","% discount"))))))</f>
        <v/>
      </c>
      <c r="N356" s="832"/>
      <c r="O356" s="832"/>
      <c r="P356" s="832"/>
      <c r="Q356" s="832"/>
      <c r="R356" s="832"/>
      <c r="S356" s="303">
        <f t="shared" ref="S356" si="972">E356*G356</f>
        <v>0</v>
      </c>
      <c r="T356" s="541">
        <f>VLOOKUP(A356,'Discount Lookup'!D:E,2,FALSE)*G356</f>
        <v>0</v>
      </c>
      <c r="U356" s="83">
        <f>VLOOKUP(A356,'Discount Lookup'!G:H,2,FALSE)*G356</f>
        <v>0</v>
      </c>
      <c r="V356" s="100">
        <f>E356*($J$1782)*G356</f>
        <v>0</v>
      </c>
      <c r="W356" s="100">
        <f t="shared" ref="W356" si="973">I356</f>
        <v>0</v>
      </c>
      <c r="X356" s="100" t="b">
        <f>IF(G356&gt;0,IF(AD356="me","",G356))</f>
        <v>0</v>
      </c>
      <c r="Y356" s="201"/>
      <c r="Z356" s="829" t="str">
        <f t="shared" ref="Z356" si="974">IF(G356=0,"",IF(AD356="me","",IF($AD$8="me","",IF(AD356="free","warranty",IF($AD$8="yes","NVP planting:","to NVP install:")))))</f>
        <v/>
      </c>
      <c r="AA356" s="829"/>
      <c r="AB356" s="830" t="str">
        <f>IF(G356=0,"",IF(AD356="free","re-planting",IF(AD356="me","not NVP, by",IF($AD$8="yes",(VLOOKUP(A356,'Discount Lookup'!J:K,2)*G356*(1-$AC$1786)*(1+$AC$1788)),IF(AD356="NVP",(VLOOKUP(A356,'Discount Lookup'!J:K,2)*G356*(1-$AC$1786)*(1+$AC$1788)),IF(AD356="free","re-planting",IF(G356=0,"",IF($AD$8="",IF(AD356="me","not NVP, by",IF(AD356="",IF(G356&gt;0,(VLOOKUP(A356,'Discount Lookup'!J:K,2)*G356*(1-$AC$1786)*(1+$AC$1788)),""),"")),"not NVP, by"))))))))</f>
        <v/>
      </c>
      <c r="AC356" s="830"/>
      <c r="AD356" s="375" t="str">
        <f t="shared" si="861"/>
        <v/>
      </c>
      <c r="AE356" s="833" t="str">
        <f t="shared" ref="AE356" si="975">IF(G356&gt;0,(CONCATENATE((G356)," quantity, ",(A356)," ",B356)),"")</f>
        <v/>
      </c>
      <c r="AF356" s="833"/>
      <c r="AG356" s="833"/>
      <c r="AH356" s="91">
        <f>IF(AD356="free",0,IF(AD356="me",0,IF(G356&gt;0,(VLOOKUP(A356,'Discount Lookup'!J:K,2)*G356),0)))</f>
        <v>0</v>
      </c>
      <c r="AI356" s="92" t="str">
        <f t="shared" si="892"/>
        <v/>
      </c>
      <c r="AJ356" s="828" t="str">
        <f t="shared" ref="AJ356" si="976">IF(G356=0,"",IF(AD356="me","  delivery-only",IF($AD$8="me","  delivery-only",CONCATENATE(" $",ROUND(AI356/G356,2)," each"))))</f>
        <v/>
      </c>
      <c r="AK356" s="828"/>
      <c r="AL356" s="313" t="str">
        <f t="shared" si="928"/>
        <v/>
      </c>
      <c r="AM356" s="312"/>
      <c r="AN356" s="101"/>
      <c r="AO356" s="101"/>
      <c r="AP356" s="101"/>
      <c r="AQ356" s="101"/>
      <c r="AR356" s="101"/>
      <c r="AS356" s="101"/>
      <c r="AT356" s="101"/>
    </row>
    <row r="357" spans="1:46" ht="12.95" customHeight="1">
      <c r="A357" s="383">
        <v>25</v>
      </c>
      <c r="B357" s="158" t="s">
        <v>50</v>
      </c>
      <c r="C357" s="160" t="s">
        <v>1520</v>
      </c>
      <c r="D357" s="161" t="s">
        <v>90</v>
      </c>
      <c r="E357" s="162">
        <v>366.95</v>
      </c>
      <c r="F357" s="713" t="s">
        <v>1306</v>
      </c>
      <c r="G357" s="357">
        <v>0</v>
      </c>
      <c r="H357" s="748" t="str">
        <f t="shared" si="964"/>
        <v/>
      </c>
      <c r="I357" s="592">
        <f t="shared" si="965"/>
        <v>0</v>
      </c>
      <c r="J357" s="592">
        <f>IF(H357="warranty",0,(I357*($J$1782)))</f>
        <v>0</v>
      </c>
      <c r="K357" s="834">
        <f t="shared" si="966"/>
        <v>0</v>
      </c>
      <c r="L357" s="834"/>
      <c r="M357" s="832" t="str">
        <f>IF($H$1784=0,"",IF(G357=0,"",IF(F357="Qty=",CONCATENATE("$",ROUND(K357*(1-$H$1784),2)," with ",($H$1784*100),"% discount"),CONCATENATE("$",ROUND(K357*(1-$H$1784),2)," with ",(($H$1784*100+F357*100)-($H$1784*100*F357)),IF(F357&gt;0,"% discounts",IF($H$1781&gt;0,"% discounts","% discount"))))))</f>
        <v/>
      </c>
      <c r="N357" s="832"/>
      <c r="O357" s="832"/>
      <c r="P357" s="832"/>
      <c r="Q357" s="832"/>
      <c r="R357" s="832"/>
      <c r="S357" s="303">
        <f t="shared" ref="S357" si="977">E357*G357</f>
        <v>0</v>
      </c>
      <c r="T357" s="541">
        <f>VLOOKUP(A357,'Discount Lookup'!D:E,2,FALSE)*G357</f>
        <v>0</v>
      </c>
      <c r="U357" s="83">
        <f>VLOOKUP(A357,'Discount Lookup'!G:H,2,FALSE)*G357</f>
        <v>0</v>
      </c>
      <c r="V357" s="100">
        <f>E357*($J$1782)*G357</f>
        <v>0</v>
      </c>
      <c r="W357" s="100">
        <f t="shared" ref="W357" si="978">I357</f>
        <v>0</v>
      </c>
      <c r="X357" s="100" t="b">
        <f>IF(G357&gt;0,IF(AD357="me","",G357))</f>
        <v>0</v>
      </c>
      <c r="Y357" s="201"/>
      <c r="Z357" s="829" t="str">
        <f t="shared" si="953"/>
        <v/>
      </c>
      <c r="AA357" s="829"/>
      <c r="AB357" s="830" t="str">
        <f>IF(G357=0,"",IF(AD357="free","re-planting",IF(AD357="me","not NVP, by",IF($AD$8="yes",(VLOOKUP(A357,'Discount Lookup'!J:K,2)*G357*(1-$AC$1786)*(1+$AC$1788)),IF(AD357="NVP",(VLOOKUP(A357,'Discount Lookup'!J:K,2)*G357*(1-$AC$1786)*(1+$AC$1788)),IF(AD357="free","re-planting",IF(G357=0,"",IF($AD$8="",IF(AD357="me","not NVP, by",IF(AD357="",IF(G357&gt;0,(VLOOKUP(A357,'Discount Lookup'!J:K,2)*G357*(1-$AC$1786)*(1+$AC$1788)),""),"")),"not NVP, by"))))))))</f>
        <v/>
      </c>
      <c r="AC357" s="830"/>
      <c r="AD357" s="375" t="str">
        <f t="shared" si="861"/>
        <v/>
      </c>
      <c r="AE357" s="833" t="str">
        <f t="shared" si="837"/>
        <v/>
      </c>
      <c r="AF357" s="833"/>
      <c r="AG357" s="833"/>
      <c r="AH357" s="91">
        <f>IF(AD357="free",0,IF(AD357="me",0,IF(G357&gt;0,(VLOOKUP(A357,'Discount Lookup'!J:K,2)*G357),0)))</f>
        <v>0</v>
      </c>
      <c r="AI357" s="92" t="str">
        <f t="shared" si="892"/>
        <v/>
      </c>
      <c r="AJ357" s="828" t="str">
        <f t="shared" si="954"/>
        <v/>
      </c>
      <c r="AK357" s="828"/>
      <c r="AL357" s="313" t="str">
        <f t="shared" si="928"/>
        <v/>
      </c>
      <c r="AM357" s="312"/>
      <c r="AN357" s="101"/>
      <c r="AO357" s="101"/>
      <c r="AP357" s="101"/>
      <c r="AQ357" s="101"/>
      <c r="AR357" s="101"/>
      <c r="AS357" s="101"/>
      <c r="AT357" s="101"/>
    </row>
    <row r="358" spans="1:46" ht="12.95" customHeight="1">
      <c r="A358" s="472"/>
      <c r="B358" s="149" t="s">
        <v>289</v>
      </c>
      <c r="C358" s="118"/>
      <c r="D358" s="118"/>
      <c r="E358" s="119"/>
      <c r="F358" s="711"/>
      <c r="G358" s="358"/>
      <c r="H358" s="745"/>
      <c r="I358" s="119"/>
      <c r="J358" s="119"/>
      <c r="K358" s="609"/>
      <c r="L358" s="609"/>
      <c r="M358" s="121"/>
      <c r="N358" s="121"/>
      <c r="O358" s="123"/>
      <c r="P358" s="124"/>
      <c r="Q358" s="124"/>
      <c r="R358" s="83"/>
      <c r="S358" s="82">
        <f>E358*G358</f>
        <v>0</v>
      </c>
      <c r="T358" s="540"/>
      <c r="U358" s="83"/>
      <c r="V358" s="100" t="b">
        <f>IF(G358&gt;0,IF(AD358="me","",G358))</f>
        <v>0</v>
      </c>
      <c r="W358" s="100"/>
      <c r="X358" s="100"/>
      <c r="Y358" s="201"/>
      <c r="Z358" s="829" t="str">
        <f t="shared" si="953"/>
        <v/>
      </c>
      <c r="AA358" s="829"/>
      <c r="AB358" s="830" t="str">
        <f>IF(G358=0,"",IF(AD358="free","re-planting",IF(AD358="me","not NVP, by",IF($AD$8="yes",(VLOOKUP(A358,'Discount Lookup'!J:K,2)*G358*(1-$AC$1786)*(1+$AC$1788)),IF(AD358="NVP",(VLOOKUP(A358,'Discount Lookup'!J:K,2)*G358*(1-$AC$1786)*(1+$AC$1788)),IF(AD358="free","re-planting",IF(G358=0,"",IF($AD$8="",IF(AD358="me","not NVP, by",IF(AD358="",IF(G358&gt;0,(VLOOKUP(A358,'Discount Lookup'!J:K,2)*G358*(1-$AC$1786)*(1+$AC$1788)),""),"")),"not NVP, by"))))))))</f>
        <v/>
      </c>
      <c r="AC358" s="830"/>
      <c r="AD358" s="375" t="str">
        <f t="shared" si="861"/>
        <v/>
      </c>
      <c r="AE358" s="833" t="str">
        <f t="shared" ref="AE358:AE410" si="979">IF(G358&gt;0,(CONCATENATE((G358)," quantity, ",(A358)," ",B358)),"")</f>
        <v/>
      </c>
      <c r="AF358" s="833"/>
      <c r="AG358" s="833"/>
      <c r="AH358" s="91">
        <f>IF(AD358="free",0,IF(AD358="me",0,IF(G358&gt;0,(VLOOKUP(A358,'Discount Lookup'!J:K,2)*G358),0)))</f>
        <v>0</v>
      </c>
      <c r="AI358" s="92" t="str">
        <f t="shared" si="892"/>
        <v/>
      </c>
      <c r="AJ358" s="828" t="str">
        <f t="shared" si="954"/>
        <v/>
      </c>
      <c r="AK358" s="828"/>
      <c r="AL358" s="313" t="str">
        <f t="shared" si="928"/>
        <v/>
      </c>
      <c r="AM358" s="312"/>
      <c r="AN358" s="101"/>
      <c r="AO358" s="101"/>
      <c r="AP358" s="101"/>
      <c r="AQ358" s="101"/>
      <c r="AR358" s="101"/>
      <c r="AS358" s="101"/>
      <c r="AT358" s="101"/>
    </row>
    <row r="359" spans="1:46" ht="12.95" customHeight="1">
      <c r="A359" s="889" t="s">
        <v>1544</v>
      </c>
      <c r="B359" s="890"/>
      <c r="C359" s="890"/>
      <c r="D359" s="890"/>
      <c r="E359" s="890"/>
      <c r="F359" s="890"/>
      <c r="G359" s="890"/>
      <c r="H359" s="774" t="s">
        <v>287</v>
      </c>
      <c r="I359" s="349" t="s">
        <v>280</v>
      </c>
      <c r="J359" s="157"/>
      <c r="K359" s="611" t="s">
        <v>45</v>
      </c>
      <c r="L359" s="630" t="s">
        <v>46</v>
      </c>
      <c r="M359" s="157"/>
      <c r="N359" s="158" t="s">
        <v>262</v>
      </c>
      <c r="O359" s="158"/>
      <c r="P359" s="158"/>
      <c r="Q359" s="804" t="s">
        <v>1626</v>
      </c>
      <c r="R359" s="835" t="s">
        <v>49</v>
      </c>
      <c r="S359" s="835"/>
      <c r="T359" s="835"/>
      <c r="U359" s="835"/>
      <c r="V359" s="100" t="b">
        <f>IF(G359&gt;0,IF(AD359="me","",G359))</f>
        <v>0</v>
      </c>
      <c r="W359" s="100"/>
      <c r="X359" s="100"/>
      <c r="Y359" s="201"/>
      <c r="Z359" s="829" t="str">
        <f t="shared" si="953"/>
        <v/>
      </c>
      <c r="AA359" s="829"/>
      <c r="AB359" s="830" t="str">
        <f>IF(G359=0,"",IF(AD359="free","re-planting",IF(AD359="me","not NVP, by",IF($AD$8="yes",(VLOOKUP(A359,'Discount Lookup'!J:K,2)*G359*(1-$AC$1786)*(1+$AC$1788)),IF(AD359="NVP",(VLOOKUP(A359,'Discount Lookup'!J:K,2)*G359*(1-$AC$1786)*(1+$AC$1788)),IF(AD359="free","re-planting",IF(G359=0,"",IF($AD$8="",IF(AD359="me","not NVP, by",IF(AD359="",IF(G359&gt;0,(VLOOKUP(A359,'Discount Lookup'!J:K,2)*G359*(1-$AC$1786)*(1+$AC$1788)),""),"")),"not NVP, by"))))))))</f>
        <v/>
      </c>
      <c r="AC359" s="830"/>
      <c r="AD359" s="375" t="str">
        <f t="shared" si="861"/>
        <v/>
      </c>
      <c r="AE359" s="833" t="str">
        <f t="shared" si="979"/>
        <v/>
      </c>
      <c r="AF359" s="833"/>
      <c r="AG359" s="833"/>
      <c r="AH359" s="91">
        <f>IF(AD359="free",0,IF(AD359="me",0,IF(G359&gt;0,(VLOOKUP(A359,'Discount Lookup'!J:K,2)*G359),0)))</f>
        <v>0</v>
      </c>
      <c r="AI359" s="92" t="str">
        <f t="shared" si="892"/>
        <v/>
      </c>
      <c r="AJ359" s="828" t="str">
        <f t="shared" si="954"/>
        <v/>
      </c>
      <c r="AK359" s="828"/>
      <c r="AL359" s="313" t="str">
        <f t="shared" si="928"/>
        <v/>
      </c>
      <c r="AM359" s="312"/>
      <c r="AN359" s="101"/>
      <c r="AO359" s="101"/>
      <c r="AP359" s="101"/>
      <c r="AQ359" s="101"/>
      <c r="AR359" s="101"/>
      <c r="AS359" s="101"/>
      <c r="AT359" s="101"/>
    </row>
    <row r="360" spans="1:46" ht="12.95" customHeight="1">
      <c r="A360" s="383">
        <v>25</v>
      </c>
      <c r="B360" s="158" t="s">
        <v>50</v>
      </c>
      <c r="C360" s="160" t="s">
        <v>265</v>
      </c>
      <c r="D360" s="161" t="s">
        <v>90</v>
      </c>
      <c r="E360" s="162">
        <v>289.95</v>
      </c>
      <c r="F360" s="713" t="s">
        <v>1306</v>
      </c>
      <c r="G360" s="357">
        <v>0</v>
      </c>
      <c r="H360" s="748" t="str">
        <f t="shared" ref="H360" si="980">IF(G360=0,"",IF(F360="Qty=",IF(G360=1,"plant","plants"),IF(F360&gt;0.0001,"warranty","Error")))</f>
        <v/>
      </c>
      <c r="I360" s="592">
        <f t="shared" ref="I360" si="981">IF(F360="Qty=",(E360*G360),((E360*(1-F360))*G360))</f>
        <v>0</v>
      </c>
      <c r="J360" s="592">
        <f>IF(H360="warranty",0,(I360*($J$1782)))</f>
        <v>0</v>
      </c>
      <c r="K360" s="834">
        <f t="shared" ref="K360" si="982">I360+J360</f>
        <v>0</v>
      </c>
      <c r="L360" s="834"/>
      <c r="M360" s="832" t="str">
        <f>IF($H$1784=0,"",IF(G360=0,"",IF(F360="Qty=",CONCATENATE("$",ROUND(K360*(1-$H$1784),2)," with ",($H$1784*100),"% discount"),CONCATENATE("$",ROUND(K360*(1-$H$1784),2)," with ",(($H$1784*100+F360*100)-($H$1784*100*F360)),IF(F360&gt;0,"% discounts",IF($H$1781&gt;0,"% discounts","% discount"))))))</f>
        <v/>
      </c>
      <c r="N360" s="832"/>
      <c r="O360" s="832"/>
      <c r="P360" s="832"/>
      <c r="Q360" s="832"/>
      <c r="R360" s="832"/>
      <c r="S360" s="303">
        <f t="shared" ref="S360" si="983">E360*G360</f>
        <v>0</v>
      </c>
      <c r="T360" s="541">
        <f>VLOOKUP(A360,'Discount Lookup'!D:E,2,FALSE)*G360</f>
        <v>0</v>
      </c>
      <c r="U360" s="83">
        <f>VLOOKUP(A360,'Discount Lookup'!G:H,2,FALSE)*G360</f>
        <v>0</v>
      </c>
      <c r="V360" s="100">
        <f>E360*($J$1782)*G360</f>
        <v>0</v>
      </c>
      <c r="W360" s="100">
        <f t="shared" ref="W360" si="984">I360</f>
        <v>0</v>
      </c>
      <c r="X360" s="100" t="b">
        <f>IF(G360&gt;0,IF(AD360="me","",G360))</f>
        <v>0</v>
      </c>
      <c r="Y360" s="201"/>
      <c r="Z360" s="829" t="str">
        <f t="shared" si="953"/>
        <v/>
      </c>
      <c r="AA360" s="829"/>
      <c r="AB360" s="830" t="str">
        <f>IF(G360=0,"",IF(AD360="free","re-planting",IF(AD360="me","not NVP, by",IF($AD$8="yes",(VLOOKUP(A360,'Discount Lookup'!J:K,2)*G360*(1-$AC$1786)*(1+$AC$1788)),IF(AD360="NVP",(VLOOKUP(A360,'Discount Lookup'!J:K,2)*G360*(1-$AC$1786)*(1+$AC$1788)),IF(AD360="free","re-planting",IF(G360=0,"",IF($AD$8="",IF(AD360="me","not NVP, by",IF(AD360="",IF(G360&gt;0,(VLOOKUP(A360,'Discount Lookup'!J:K,2)*G360*(1-$AC$1786)*(1+$AC$1788)),""),"")),"not NVP, by"))))))))</f>
        <v/>
      </c>
      <c r="AC360" s="830"/>
      <c r="AD360" s="375" t="str">
        <f t="shared" si="861"/>
        <v/>
      </c>
      <c r="AE360" s="833" t="str">
        <f t="shared" si="979"/>
        <v/>
      </c>
      <c r="AF360" s="833"/>
      <c r="AG360" s="833"/>
      <c r="AH360" s="91">
        <f>IF(AD360="free",0,IF(AD360="me",0,IF(G360&gt;0,(VLOOKUP(A360,'Discount Lookup'!J:K,2)*G360),0)))</f>
        <v>0</v>
      </c>
      <c r="AI360" s="92" t="str">
        <f t="shared" si="892"/>
        <v/>
      </c>
      <c r="AJ360" s="828" t="str">
        <f t="shared" si="954"/>
        <v/>
      </c>
      <c r="AK360" s="828"/>
      <c r="AL360" s="313" t="str">
        <f t="shared" si="928"/>
        <v/>
      </c>
      <c r="AM360" s="312"/>
      <c r="AN360" s="101"/>
      <c r="AO360" s="101"/>
      <c r="AP360" s="101"/>
      <c r="AQ360" s="101"/>
      <c r="AR360" s="101"/>
      <c r="AS360" s="101"/>
      <c r="AT360" s="101"/>
    </row>
    <row r="361" spans="1:46" ht="12.95" customHeight="1">
      <c r="A361" s="472"/>
      <c r="B361" s="149" t="s">
        <v>290</v>
      </c>
      <c r="C361" s="118"/>
      <c r="D361" s="118"/>
      <c r="E361" s="119"/>
      <c r="F361" s="711"/>
      <c r="G361" s="358"/>
      <c r="H361" s="745"/>
      <c r="I361" s="119"/>
      <c r="J361" s="119"/>
      <c r="K361" s="609"/>
      <c r="L361" s="609"/>
      <c r="M361" s="48"/>
      <c r="N361" s="163" t="s">
        <v>268</v>
      </c>
      <c r="O361" s="123"/>
      <c r="P361" s="124"/>
      <c r="Q361" s="841" t="s">
        <v>125</v>
      </c>
      <c r="R361" s="841"/>
      <c r="S361" s="841"/>
      <c r="T361" s="841"/>
      <c r="U361" s="841"/>
      <c r="V361" s="841"/>
      <c r="Y361" s="132"/>
      <c r="Z361" s="829" t="str">
        <f t="shared" si="953"/>
        <v/>
      </c>
      <c r="AA361" s="829"/>
      <c r="AB361" s="830" t="str">
        <f>IF(G361=0,"",IF(AD361="free","re-planting",IF(AD361="me","not NVP, by",IF($AD$8="yes",(VLOOKUP(A361,'Discount Lookup'!J:K,2)*G361*(1-$AC$1786)*(1+$AC$1788)),IF(AD361="NVP",(VLOOKUP(A361,'Discount Lookup'!J:K,2)*G361*(1-$AC$1786)*(1+$AC$1788)),IF(AD361="free","re-planting",IF(G361=0,"",IF($AD$8="",IF(AD361="me","not NVP, by",IF(AD361="",IF(G361&gt;0,(VLOOKUP(A361,'Discount Lookup'!J:K,2)*G361*(1-$AC$1786)*(1+$AC$1788)),""),"")),"not NVP, by"))))))))</f>
        <v/>
      </c>
      <c r="AC361" s="830"/>
      <c r="AD361" s="375" t="str">
        <f t="shared" ref="AD361:AD417" si="985">IF(G361=0,"",IF($AD$8="me","me",IF(H361="warranty","free",IF($AD$8="yes","NVP",""))))</f>
        <v/>
      </c>
      <c r="AE361" s="833" t="str">
        <f t="shared" si="979"/>
        <v/>
      </c>
      <c r="AF361" s="833"/>
      <c r="AG361" s="833"/>
      <c r="AH361" s="91">
        <f>IF(AD361="free",0,IF(AD361="me",0,IF(G361&gt;0,(VLOOKUP(A361,'Discount Lookup'!J:K,2)*G361),0)))</f>
        <v>0</v>
      </c>
      <c r="AI361" s="92" t="str">
        <f t="shared" si="892"/>
        <v/>
      </c>
      <c r="AJ361" s="828" t="str">
        <f t="shared" si="954"/>
        <v/>
      </c>
      <c r="AK361" s="828"/>
      <c r="AL361" s="313" t="str">
        <f t="shared" si="928"/>
        <v/>
      </c>
      <c r="AM361" s="312"/>
      <c r="AN361" s="101"/>
      <c r="AO361" s="101"/>
      <c r="AP361" s="101"/>
      <c r="AQ361" s="101"/>
      <c r="AR361" s="101"/>
      <c r="AS361" s="101"/>
      <c r="AT361" s="101"/>
    </row>
    <row r="362" spans="1:46" ht="12.95" customHeight="1">
      <c r="A362" s="889" t="s">
        <v>1545</v>
      </c>
      <c r="B362" s="890"/>
      <c r="C362" s="890"/>
      <c r="D362" s="890"/>
      <c r="E362" s="890"/>
      <c r="F362" s="890"/>
      <c r="G362" s="890"/>
      <c r="H362" s="774" t="s">
        <v>291</v>
      </c>
      <c r="I362" s="349" t="s">
        <v>280</v>
      </c>
      <c r="J362" s="157"/>
      <c r="K362" s="611" t="s">
        <v>45</v>
      </c>
      <c r="L362" s="630" t="s">
        <v>46</v>
      </c>
      <c r="M362" s="157"/>
      <c r="N362" s="158" t="s">
        <v>262</v>
      </c>
      <c r="O362" s="158"/>
      <c r="P362" s="158"/>
      <c r="Q362" s="159"/>
      <c r="R362" s="835" t="s">
        <v>49</v>
      </c>
      <c r="S362" s="835"/>
      <c r="T362" s="835"/>
      <c r="U362" s="835"/>
      <c r="V362" s="100" t="b">
        <f>IF(G362&gt;0,IF(AD362="me","",G362))</f>
        <v>0</v>
      </c>
      <c r="W362" s="100"/>
      <c r="X362" s="100"/>
      <c r="Y362" s="201"/>
      <c r="Z362" s="829" t="str">
        <f t="shared" si="953"/>
        <v/>
      </c>
      <c r="AA362" s="829"/>
      <c r="AB362" s="830" t="str">
        <f>IF(G362=0,"",IF(AD362="free","re-planting",IF(AD362="me","not NVP, by",IF($AD$8="yes",(VLOOKUP(A362,'Discount Lookup'!J:K,2)*G362*(1-$AC$1786)*(1+$AC$1788)),IF(AD362="NVP",(VLOOKUP(A362,'Discount Lookup'!J:K,2)*G362*(1-$AC$1786)*(1+$AC$1788)),IF(AD362="free","re-planting",IF(G362=0,"",IF($AD$8="",IF(AD362="me","not NVP, by",IF(AD362="",IF(G362&gt;0,(VLOOKUP(A362,'Discount Lookup'!J:K,2)*G362*(1-$AC$1786)*(1+$AC$1788)),""),"")),"not NVP, by"))))))))</f>
        <v/>
      </c>
      <c r="AC362" s="830"/>
      <c r="AD362" s="375" t="str">
        <f t="shared" si="985"/>
        <v/>
      </c>
      <c r="AE362" s="833" t="str">
        <f t="shared" si="979"/>
        <v/>
      </c>
      <c r="AF362" s="833"/>
      <c r="AG362" s="833"/>
      <c r="AH362" s="91">
        <f>IF(AD362="free",0,IF(AD362="me",0,IF(G362&gt;0,(VLOOKUP(A362,'Discount Lookup'!J:K,2)*G362),0)))</f>
        <v>0</v>
      </c>
      <c r="AI362" s="92" t="str">
        <f t="shared" si="892"/>
        <v/>
      </c>
      <c r="AJ362" s="828" t="str">
        <f t="shared" si="954"/>
        <v/>
      </c>
      <c r="AK362" s="828"/>
      <c r="AL362" s="313" t="str">
        <f t="shared" si="928"/>
        <v/>
      </c>
      <c r="AM362" s="312"/>
      <c r="AN362" s="101"/>
      <c r="AO362" s="101"/>
      <c r="AP362" s="101"/>
      <c r="AQ362" s="101"/>
      <c r="AR362" s="101"/>
      <c r="AS362" s="101"/>
      <c r="AT362" s="101"/>
    </row>
    <row r="363" spans="1:46" ht="12.95" customHeight="1">
      <c r="A363" s="383">
        <v>7</v>
      </c>
      <c r="B363" s="158" t="s">
        <v>50</v>
      </c>
      <c r="C363" s="160" t="s">
        <v>292</v>
      </c>
      <c r="D363" s="161" t="s">
        <v>54</v>
      </c>
      <c r="E363" s="162">
        <v>91.95</v>
      </c>
      <c r="F363" s="713" t="s">
        <v>1306</v>
      </c>
      <c r="G363" s="357">
        <v>0</v>
      </c>
      <c r="H363" s="748" t="str">
        <f t="shared" ref="H363:H364" si="986">IF(G363=0,"",IF(F363="Qty=",IF(G363=1,"plant","plants"),IF(F363&gt;0.0001,"warranty","Error")))</f>
        <v/>
      </c>
      <c r="I363" s="592">
        <f t="shared" ref="I363:I364" si="987">IF(F363="Qty=",(E363*G363),((E363*(1-F363))*G363))</f>
        <v>0</v>
      </c>
      <c r="J363" s="592">
        <f>IF(H363="warranty",0,(I363*($J$1782)))</f>
        <v>0</v>
      </c>
      <c r="K363" s="834">
        <f t="shared" ref="K363:K364" si="988">I363+J363</f>
        <v>0</v>
      </c>
      <c r="L363" s="834"/>
      <c r="M363" s="832" t="str">
        <f>IF($H$1784=0,"",IF(G363=0,"",IF(F363="Qty=",CONCATENATE("$",ROUND(K363*(1-$H$1784),2)," with ",($H$1784*100),"% discount"),CONCATENATE("$",ROUND(K363*(1-$H$1784),2)," with ",(($H$1784*100+F363*100)-($H$1784*100*F363)),IF(F363&gt;0,"% discounts",IF($H$1781&gt;0,"% discounts","% discount"))))))</f>
        <v/>
      </c>
      <c r="N363" s="832"/>
      <c r="O363" s="832"/>
      <c r="P363" s="832"/>
      <c r="Q363" s="832"/>
      <c r="R363" s="832"/>
      <c r="S363" s="303">
        <f t="shared" ref="S363:S364" si="989">E363*G363</f>
        <v>0</v>
      </c>
      <c r="T363" s="541">
        <f>VLOOKUP(A363,'Discount Lookup'!D:E,2,FALSE)*G363</f>
        <v>0</v>
      </c>
      <c r="U363" s="83">
        <f>VLOOKUP(A363,'Discount Lookup'!G:H,2,FALSE)*G363</f>
        <v>0</v>
      </c>
      <c r="V363" s="100">
        <f>E363*($J$1782)*G363</f>
        <v>0</v>
      </c>
      <c r="W363" s="100">
        <f t="shared" ref="W363:W364" si="990">I363</f>
        <v>0</v>
      </c>
      <c r="X363" s="100" t="b">
        <f>IF(G363&gt;0,IF(AD363="me","",G363))</f>
        <v>0</v>
      </c>
      <c r="Y363" s="201"/>
      <c r="Z363" s="829" t="str">
        <f t="shared" si="953"/>
        <v/>
      </c>
      <c r="AA363" s="829"/>
      <c r="AB363" s="830" t="str">
        <f>IF(G363=0,"",IF(AD363="free","re-planting",IF(AD363="me","not NVP, by",IF($AD$8="yes",(VLOOKUP(A363,'Discount Lookup'!J:K,2)*G363*(1-$AC$1786)*(1+$AC$1788)),IF(AD363="NVP",(VLOOKUP(A363,'Discount Lookup'!J:K,2)*G363*(1-$AC$1786)*(1+$AC$1788)),IF(AD363="free","re-planting",IF(G363=0,"",IF($AD$8="",IF(AD363="me","not NVP, by",IF(AD363="",IF(G363&gt;0,(VLOOKUP(A363,'Discount Lookup'!J:K,2)*G363*(1-$AC$1786)*(1+$AC$1788)),""),"")),"not NVP, by"))))))))</f>
        <v/>
      </c>
      <c r="AC363" s="830"/>
      <c r="AD363" s="375" t="str">
        <f t="shared" si="985"/>
        <v/>
      </c>
      <c r="AE363" s="833" t="str">
        <f t="shared" si="979"/>
        <v/>
      </c>
      <c r="AF363" s="833"/>
      <c r="AG363" s="833"/>
      <c r="AH363" s="91">
        <f>IF(AD363="free",0,IF(AD363="me",0,IF(G363&gt;0,(VLOOKUP(A363,'Discount Lookup'!J:K,2)*G363),0)))</f>
        <v>0</v>
      </c>
      <c r="AI363" s="92" t="str">
        <f t="shared" si="892"/>
        <v/>
      </c>
      <c r="AJ363" s="828" t="str">
        <f t="shared" si="954"/>
        <v/>
      </c>
      <c r="AK363" s="828"/>
      <c r="AL363" s="313" t="str">
        <f t="shared" si="928"/>
        <v/>
      </c>
      <c r="AM363" s="312"/>
      <c r="AN363" s="101"/>
      <c r="AO363" s="101"/>
      <c r="AP363" s="101"/>
      <c r="AQ363" s="101"/>
      <c r="AR363" s="101"/>
      <c r="AS363" s="101"/>
      <c r="AT363" s="101"/>
    </row>
    <row r="364" spans="1:46" ht="12.95" customHeight="1">
      <c r="A364" s="383">
        <v>15</v>
      </c>
      <c r="B364" s="158" t="s">
        <v>50</v>
      </c>
      <c r="C364" s="160" t="s">
        <v>293</v>
      </c>
      <c r="D364" s="161" t="s">
        <v>54</v>
      </c>
      <c r="E364" s="162">
        <v>164.95</v>
      </c>
      <c r="F364" s="713" t="s">
        <v>1306</v>
      </c>
      <c r="G364" s="357">
        <v>0</v>
      </c>
      <c r="H364" s="748" t="str">
        <f t="shared" si="986"/>
        <v/>
      </c>
      <c r="I364" s="592">
        <f t="shared" si="987"/>
        <v>0</v>
      </c>
      <c r="J364" s="592">
        <f>IF(H364="warranty",0,(I364*($J$1782)))</f>
        <v>0</v>
      </c>
      <c r="K364" s="834">
        <f t="shared" si="988"/>
        <v>0</v>
      </c>
      <c r="L364" s="834"/>
      <c r="M364" s="832" t="str">
        <f>IF($H$1784=0,"",IF(G364=0,"",IF(F364="Qty=",CONCATENATE("$",ROUND(K364*(1-$H$1784),2)," with ",($H$1784*100),"% discount"),CONCATENATE("$",ROUND(K364*(1-$H$1784),2)," with ",(($H$1784*100+F364*100)-($H$1784*100*F364)),IF(F364&gt;0,"% discounts",IF($H$1781&gt;0,"% discounts","% discount"))))))</f>
        <v/>
      </c>
      <c r="N364" s="832"/>
      <c r="O364" s="832"/>
      <c r="P364" s="832"/>
      <c r="Q364" s="832"/>
      <c r="R364" s="832"/>
      <c r="S364" s="303">
        <f t="shared" si="989"/>
        <v>0</v>
      </c>
      <c r="T364" s="541">
        <f>VLOOKUP(A364,'Discount Lookup'!D:E,2,FALSE)*G364</f>
        <v>0</v>
      </c>
      <c r="U364" s="83">
        <f>VLOOKUP(A364,'Discount Lookup'!G:H,2,FALSE)*G364</f>
        <v>0</v>
      </c>
      <c r="V364" s="100">
        <f>E364*($J$1782)*G364</f>
        <v>0</v>
      </c>
      <c r="W364" s="100">
        <f t="shared" si="990"/>
        <v>0</v>
      </c>
      <c r="X364" s="100" t="b">
        <f>IF(G364&gt;0,IF(AD364="me","",G364))</f>
        <v>0</v>
      </c>
      <c r="Y364" s="201"/>
      <c r="Z364" s="829" t="str">
        <f t="shared" si="953"/>
        <v/>
      </c>
      <c r="AA364" s="829"/>
      <c r="AB364" s="830" t="str">
        <f>IF(G364=0,"",IF(AD364="free","re-planting",IF(AD364="me","not NVP, by",IF($AD$8="yes",(VLOOKUP(A364,'Discount Lookup'!J:K,2)*G364*(1-$AC$1786)*(1+$AC$1788)),IF(AD364="NVP",(VLOOKUP(A364,'Discount Lookup'!J:K,2)*G364*(1-$AC$1786)*(1+$AC$1788)),IF(AD364="free","re-planting",IF(G364=0,"",IF($AD$8="",IF(AD364="me","not NVP, by",IF(AD364="",IF(G364&gt;0,(VLOOKUP(A364,'Discount Lookup'!J:K,2)*G364*(1-$AC$1786)*(1+$AC$1788)),""),"")),"not NVP, by"))))))))</f>
        <v/>
      </c>
      <c r="AC364" s="830"/>
      <c r="AD364" s="375" t="str">
        <f t="shared" si="985"/>
        <v/>
      </c>
      <c r="AE364" s="833" t="str">
        <f t="shared" si="979"/>
        <v/>
      </c>
      <c r="AF364" s="833"/>
      <c r="AG364" s="833"/>
      <c r="AH364" s="91">
        <f>IF(AD364="free",0,IF(AD364="me",0,IF(G364&gt;0,(VLOOKUP(A364,'Discount Lookup'!J:K,2)*G364),0)))</f>
        <v>0</v>
      </c>
      <c r="AI364" s="92" t="str">
        <f t="shared" si="892"/>
        <v/>
      </c>
      <c r="AJ364" s="828" t="str">
        <f t="shared" si="954"/>
        <v/>
      </c>
      <c r="AK364" s="828"/>
      <c r="AL364" s="313" t="str">
        <f t="shared" si="928"/>
        <v/>
      </c>
      <c r="AM364" s="312"/>
      <c r="AN364" s="101"/>
      <c r="AO364" s="101"/>
      <c r="AP364" s="101"/>
      <c r="AQ364" s="101"/>
      <c r="AR364" s="101"/>
      <c r="AS364" s="101"/>
      <c r="AT364" s="101"/>
    </row>
    <row r="365" spans="1:46" ht="12.95" customHeight="1">
      <c r="A365" s="472"/>
      <c r="B365" s="149" t="s">
        <v>294</v>
      </c>
      <c r="C365" s="117"/>
      <c r="D365" s="118"/>
      <c r="E365" s="119"/>
      <c r="F365" s="711"/>
      <c r="G365" s="356"/>
      <c r="H365" s="745"/>
      <c r="I365" s="119"/>
      <c r="J365" s="119"/>
      <c r="K365" s="609"/>
      <c r="L365" s="609"/>
      <c r="M365" s="121"/>
      <c r="N365" s="163" t="s">
        <v>268</v>
      </c>
      <c r="O365" s="123"/>
      <c r="P365" s="124"/>
      <c r="Q365" s="124"/>
      <c r="R365" s="83"/>
      <c r="S365" s="82">
        <f>E365*G365</f>
        <v>0</v>
      </c>
      <c r="T365" s="540"/>
      <c r="U365" s="83"/>
      <c r="V365" s="100" t="b">
        <f>IF(G365&gt;0,IF(AD365="me","",G365))</f>
        <v>0</v>
      </c>
      <c r="W365" s="100"/>
      <c r="X365" s="100"/>
      <c r="Y365" s="201"/>
      <c r="Z365" s="829" t="str">
        <f t="shared" si="953"/>
        <v/>
      </c>
      <c r="AA365" s="829"/>
      <c r="AB365" s="830" t="str">
        <f>IF(G365=0,"",IF(AD365="free","re-planting",IF(AD365="me","not NVP, by",IF($AD$8="yes",(VLOOKUP(A365,'Discount Lookup'!J:K,2)*G365*(1-$AC$1786)*(1+$AC$1788)),IF(AD365="NVP",(VLOOKUP(A365,'Discount Lookup'!J:K,2)*G365*(1-$AC$1786)*(1+$AC$1788)),IF(AD365="free","re-planting",IF(G365=0,"",IF($AD$8="",IF(AD365="me","not NVP, by",IF(AD365="",IF(G365&gt;0,(VLOOKUP(A365,'Discount Lookup'!J:K,2)*G365*(1-$AC$1786)*(1+$AC$1788)),""),"")),"not NVP, by"))))))))</f>
        <v/>
      </c>
      <c r="AC365" s="830"/>
      <c r="AD365" s="375" t="str">
        <f t="shared" si="985"/>
        <v/>
      </c>
      <c r="AE365" s="833" t="str">
        <f t="shared" si="979"/>
        <v/>
      </c>
      <c r="AF365" s="833"/>
      <c r="AG365" s="833"/>
      <c r="AH365" s="91">
        <f>IF(AD365="free",0,IF(AD365="me",0,IF(G365&gt;0,(VLOOKUP(A365,'Discount Lookup'!J:K,2)*G365),0)))</f>
        <v>0</v>
      </c>
      <c r="AI365" s="92" t="str">
        <f t="shared" si="892"/>
        <v/>
      </c>
      <c r="AJ365" s="828" t="str">
        <f t="shared" si="954"/>
        <v/>
      </c>
      <c r="AK365" s="828"/>
      <c r="AL365" s="313" t="str">
        <f t="shared" si="928"/>
        <v/>
      </c>
      <c r="AM365" s="312"/>
      <c r="AN365" s="101"/>
      <c r="AO365" s="101"/>
      <c r="AP365" s="101"/>
      <c r="AQ365" s="101"/>
      <c r="AR365" s="101"/>
      <c r="AS365" s="101"/>
      <c r="AT365" s="101"/>
    </row>
    <row r="366" spans="1:46" ht="12.95" customHeight="1">
      <c r="A366" s="889" t="s">
        <v>1546</v>
      </c>
      <c r="B366" s="890"/>
      <c r="C366" s="890"/>
      <c r="D366" s="890"/>
      <c r="E366" s="890"/>
      <c r="F366" s="890"/>
      <c r="G366" s="890"/>
      <c r="H366" s="774" t="s">
        <v>291</v>
      </c>
      <c r="I366" s="349" t="s">
        <v>280</v>
      </c>
      <c r="J366" s="157"/>
      <c r="K366" s="611" t="s">
        <v>45</v>
      </c>
      <c r="L366" s="630" t="s">
        <v>46</v>
      </c>
      <c r="M366" s="157"/>
      <c r="N366" s="158" t="s">
        <v>262</v>
      </c>
      <c r="O366" s="158"/>
      <c r="P366" s="158"/>
      <c r="Q366" s="159"/>
      <c r="R366" s="835" t="s">
        <v>49</v>
      </c>
      <c r="S366" s="835"/>
      <c r="T366" s="835"/>
      <c r="U366" s="835"/>
      <c r="V366" s="100" t="b">
        <f>IF(G366&gt;0,IF(AD366="me","",G366))</f>
        <v>0</v>
      </c>
      <c r="W366" s="100"/>
      <c r="X366" s="100"/>
      <c r="Y366" s="201"/>
      <c r="Z366" s="829" t="str">
        <f t="shared" si="953"/>
        <v/>
      </c>
      <c r="AA366" s="829"/>
      <c r="AB366" s="830" t="str">
        <f>IF(G366=0,"",IF(AD366="free","re-planting",IF(AD366="me","not NVP, by",IF($AD$8="yes",(VLOOKUP(A366,'Discount Lookup'!J:K,2)*G366*(1-$AC$1786)*(1+$AC$1788)),IF(AD366="NVP",(VLOOKUP(A366,'Discount Lookup'!J:K,2)*G366*(1-$AC$1786)*(1+$AC$1788)),IF(AD366="free","re-planting",IF(G366=0,"",IF($AD$8="",IF(AD366="me","not NVP, by",IF(AD366="",IF(G366&gt;0,(VLOOKUP(A366,'Discount Lookup'!J:K,2)*G366*(1-$AC$1786)*(1+$AC$1788)),""),"")),"not NVP, by"))))))))</f>
        <v/>
      </c>
      <c r="AC366" s="830"/>
      <c r="AD366" s="375" t="str">
        <f t="shared" si="985"/>
        <v/>
      </c>
      <c r="AE366" s="833" t="str">
        <f>IF(G366&gt;0,(CONCATENATE((G366)," quantity, ",(A366)," ",B366)),"")</f>
        <v/>
      </c>
      <c r="AF366" s="833"/>
      <c r="AG366" s="833"/>
      <c r="AH366" s="91">
        <f>IF(AD366="free",0,IF(AD366="me",0,IF(G366&gt;0,(VLOOKUP(A366,'Discount Lookup'!J:K,2)*G366),0)))</f>
        <v>0</v>
      </c>
      <c r="AI366" s="92" t="str">
        <f t="shared" si="892"/>
        <v/>
      </c>
      <c r="AJ366" s="828" t="str">
        <f t="shared" si="954"/>
        <v/>
      </c>
      <c r="AK366" s="828"/>
      <c r="AL366" s="313" t="str">
        <f t="shared" si="928"/>
        <v/>
      </c>
      <c r="AM366" s="312"/>
      <c r="AN366" s="101"/>
      <c r="AO366" s="101"/>
      <c r="AP366" s="101"/>
      <c r="AQ366" s="101"/>
      <c r="AR366" s="101"/>
      <c r="AS366" s="101"/>
      <c r="AT366" s="101"/>
    </row>
    <row r="367" spans="1:46" ht="12.95" customHeight="1">
      <c r="A367" s="383">
        <v>15</v>
      </c>
      <c r="B367" s="158" t="s">
        <v>50</v>
      </c>
      <c r="C367" s="160" t="s">
        <v>1434</v>
      </c>
      <c r="D367" s="161" t="s">
        <v>54</v>
      </c>
      <c r="E367" s="162">
        <v>169.95</v>
      </c>
      <c r="F367" s="713" t="s">
        <v>1306</v>
      </c>
      <c r="G367" s="357">
        <v>0</v>
      </c>
      <c r="H367" s="748" t="str">
        <f t="shared" ref="H367" si="991">IF(G367=0,"",IF(F367="Qty=",IF(G367=1,"plant","plants"),IF(F367&gt;0.0001,"warranty","Error")))</f>
        <v/>
      </c>
      <c r="I367" s="592">
        <f t="shared" ref="I367" si="992">IF(F367="Qty=",(E367*G367),((E367*(1-F367))*G367))</f>
        <v>0</v>
      </c>
      <c r="J367" s="592">
        <f>IF(H367="warranty",0,(I367*($J$1782)))</f>
        <v>0</v>
      </c>
      <c r="K367" s="834">
        <f t="shared" ref="K367" si="993">I367+J367</f>
        <v>0</v>
      </c>
      <c r="L367" s="834"/>
      <c r="M367" s="832" t="str">
        <f>IF($H$1784=0,"",IF(G367=0,"",IF(F367="Qty=",CONCATENATE("$",ROUND(K367*(1-$H$1784),2)," with ",($H$1784*100),"% discount"),CONCATENATE("$",ROUND(K367*(1-$H$1784),2)," with ",(($H$1784*100+F367*100)-($H$1784*100*F367)),IF(F367&gt;0,"% discounts",IF($H$1781&gt;0,"% discounts","% discount"))))))</f>
        <v/>
      </c>
      <c r="N367" s="832"/>
      <c r="O367" s="832"/>
      <c r="P367" s="832"/>
      <c r="Q367" s="832"/>
      <c r="R367" s="832"/>
      <c r="S367" s="303">
        <f t="shared" ref="S367" si="994">E367*G367</f>
        <v>0</v>
      </c>
      <c r="T367" s="541">
        <f>VLOOKUP(A367,'Discount Lookup'!D:E,2,FALSE)*G367</f>
        <v>0</v>
      </c>
      <c r="U367" s="83">
        <f>VLOOKUP(A367,'Discount Lookup'!G:H,2,FALSE)*G367</f>
        <v>0</v>
      </c>
      <c r="V367" s="100">
        <f>E367*($J$1782)*G367</f>
        <v>0</v>
      </c>
      <c r="W367" s="100">
        <f t="shared" ref="W367" si="995">I367</f>
        <v>0</v>
      </c>
      <c r="X367" s="100" t="b">
        <f>IF(G367&gt;0,IF(AD367="me","",G367))</f>
        <v>0</v>
      </c>
      <c r="Y367" s="201"/>
      <c r="Z367" s="829" t="str">
        <f t="shared" ref="Z367" si="996">IF(G367=0,"",IF(AD367="me","",IF($AD$8="me","",IF(AD367="free","warranty",IF($AD$8="yes","NVP planting:","to NVP install:")))))</f>
        <v/>
      </c>
      <c r="AA367" s="829"/>
      <c r="AB367" s="830" t="str">
        <f>IF(G367=0,"",IF(AD367="free","re-planting",IF(AD367="me","not NVP, by",IF($AD$8="yes",(VLOOKUP(A367,'Discount Lookup'!J:K,2)*G367*(1-$AC$1786)*(1+$AC$1788)),IF(AD367="NVP",(VLOOKUP(A367,'Discount Lookup'!J:K,2)*G367*(1-$AC$1786)*(1+$AC$1788)),IF(AD367="free","re-planting",IF(G367=0,"",IF($AD$8="",IF(AD367="me","not NVP, by",IF(AD367="",IF(G367&gt;0,(VLOOKUP(A367,'Discount Lookup'!J:K,2)*G367*(1-$AC$1786)*(1+$AC$1788)),""),"")),"not NVP, by"))))))))</f>
        <v/>
      </c>
      <c r="AC367" s="830"/>
      <c r="AD367" s="375" t="str">
        <f t="shared" si="985"/>
        <v/>
      </c>
      <c r="AE367" s="833" t="str">
        <f>IF(G367&gt;0,(CONCATENATE((G367)," quantity, ",(A367)," ",B367)),"")</f>
        <v/>
      </c>
      <c r="AF367" s="833"/>
      <c r="AG367" s="833"/>
      <c r="AH367" s="91">
        <f>IF(AD367="free",0,IF(AD367="me",0,IF(G367&gt;0,(VLOOKUP(A367,'Discount Lookup'!J:K,2)*G367),0)))</f>
        <v>0</v>
      </c>
      <c r="AI367" s="92" t="str">
        <f t="shared" si="892"/>
        <v/>
      </c>
      <c r="AJ367" s="828" t="str">
        <f t="shared" ref="AJ367" si="997">IF(G367=0,"",IF(AD367="me","  delivery-only",IF($AD$8="me","  delivery-only",CONCATENATE(" $",ROUND(AI367/G367,2)," each"))))</f>
        <v/>
      </c>
      <c r="AK367" s="828"/>
      <c r="AL367" s="313" t="str">
        <f t="shared" si="928"/>
        <v/>
      </c>
      <c r="AM367" s="312"/>
      <c r="AN367" s="101"/>
      <c r="AO367" s="101"/>
      <c r="AP367" s="101"/>
      <c r="AQ367" s="101"/>
      <c r="AR367" s="101"/>
      <c r="AS367" s="101"/>
      <c r="AT367" s="101"/>
    </row>
    <row r="368" spans="1:46" ht="12.95" customHeight="1">
      <c r="A368" s="472"/>
      <c r="B368" s="149" t="s">
        <v>296</v>
      </c>
      <c r="C368" s="118"/>
      <c r="D368" s="118"/>
      <c r="E368" s="119"/>
      <c r="F368" s="711"/>
      <c r="G368" s="358"/>
      <c r="H368" s="745"/>
      <c r="I368" s="119"/>
      <c r="J368" s="119"/>
      <c r="K368" s="609"/>
      <c r="L368" s="609"/>
      <c r="M368" s="121"/>
      <c r="N368" s="163" t="s">
        <v>268</v>
      </c>
      <c r="O368" s="123"/>
      <c r="P368" s="124"/>
      <c r="Q368" s="124"/>
      <c r="R368" s="83"/>
      <c r="S368" s="82">
        <f>E368*G368</f>
        <v>0</v>
      </c>
      <c r="T368" s="540"/>
      <c r="U368" s="83"/>
      <c r="V368" s="100" t="b">
        <f>IF(G368&gt;0,IF(AD368="me","",G368))</f>
        <v>0</v>
      </c>
      <c r="W368" s="100"/>
      <c r="X368" s="100"/>
      <c r="Y368" s="201"/>
      <c r="Z368" s="829" t="str">
        <f t="shared" si="953"/>
        <v/>
      </c>
      <c r="AA368" s="829"/>
      <c r="AB368" s="830" t="str">
        <f>IF(G368=0,"",IF(AD368="free","re-planting",IF(AD368="me","not NVP, by",IF($AD$8="yes",(VLOOKUP(A368,'Discount Lookup'!J:K,2)*G368*(1-$AC$1786)*(1+$AC$1788)),IF(AD368="NVP",(VLOOKUP(A368,'Discount Lookup'!J:K,2)*G368*(1-$AC$1786)*(1+$AC$1788)),IF(AD368="free","re-planting",IF(G368=0,"",IF($AD$8="",IF(AD368="me","not NVP, by",IF(AD368="",IF(G368&gt;0,(VLOOKUP(A368,'Discount Lookup'!J:K,2)*G368*(1-$AC$1786)*(1+$AC$1788)),""),"")),"not NVP, by"))))))))</f>
        <v/>
      </c>
      <c r="AC368" s="830"/>
      <c r="AD368" s="375" t="str">
        <f t="shared" si="985"/>
        <v/>
      </c>
      <c r="AE368" s="833" t="str">
        <f>IF(G368&gt;0,(CONCATENATE((G368)," quantity, ",(A368)," ",B368)),"")</f>
        <v/>
      </c>
      <c r="AF368" s="833"/>
      <c r="AG368" s="833"/>
      <c r="AH368" s="91">
        <f>IF(AD368="free",0,IF(AD368="me",0,IF(G368&gt;0,(VLOOKUP(A368,'Discount Lookup'!J:K,2)*G368),0)))</f>
        <v>0</v>
      </c>
      <c r="AI368" s="92" t="str">
        <f t="shared" si="892"/>
        <v/>
      </c>
      <c r="AJ368" s="828" t="str">
        <f t="shared" si="954"/>
        <v/>
      </c>
      <c r="AK368" s="828"/>
      <c r="AL368" s="313" t="str">
        <f t="shared" si="928"/>
        <v/>
      </c>
      <c r="AM368" s="312"/>
      <c r="AN368" s="101"/>
      <c r="AO368" s="101"/>
      <c r="AP368" s="101"/>
      <c r="AQ368" s="101"/>
      <c r="AR368" s="101"/>
      <c r="AS368" s="101"/>
      <c r="AT368" s="101"/>
    </row>
    <row r="369" spans="1:46" ht="12.95" customHeight="1">
      <c r="A369" s="889" t="s">
        <v>1564</v>
      </c>
      <c r="B369" s="890"/>
      <c r="C369" s="890"/>
      <c r="D369" s="890"/>
      <c r="E369" s="890"/>
      <c r="F369" s="890"/>
      <c r="G369" s="890"/>
      <c r="H369" s="774" t="s">
        <v>297</v>
      </c>
      <c r="I369" s="349" t="s">
        <v>280</v>
      </c>
      <c r="J369" s="157"/>
      <c r="K369" s="611" t="s">
        <v>45</v>
      </c>
      <c r="L369" s="630" t="s">
        <v>46</v>
      </c>
      <c r="M369" s="157"/>
      <c r="N369" s="158" t="s">
        <v>1615</v>
      </c>
      <c r="O369" s="158"/>
      <c r="P369" s="158"/>
      <c r="Q369" s="804"/>
      <c r="R369" s="835" t="s">
        <v>49</v>
      </c>
      <c r="S369" s="835"/>
      <c r="T369" s="835"/>
      <c r="U369" s="835"/>
      <c r="V369" s="100" t="b">
        <f>IF(G369&gt;0,IF(AD369="me","",G369))</f>
        <v>0</v>
      </c>
      <c r="W369" s="100"/>
      <c r="X369" s="100"/>
      <c r="Y369" s="201"/>
      <c r="Z369" s="829" t="str">
        <f t="shared" si="953"/>
        <v/>
      </c>
      <c r="AA369" s="829"/>
      <c r="AB369" s="830" t="str">
        <f>IF(G369=0,"",IF(AD369="free","re-planting",IF(AD369="me","not NVP, by",IF($AD$8="yes",(VLOOKUP(A369,'Discount Lookup'!J:K,2)*G369*(1-$AC$1786)*(1+$AC$1788)),IF(AD369="NVP",(VLOOKUP(A369,'Discount Lookup'!J:K,2)*G369*(1-$AC$1786)*(1+$AC$1788)),IF(AD369="free","re-planting",IF(G369=0,"",IF($AD$8="",IF(AD369="me","not NVP, by",IF(AD369="",IF(G369&gt;0,(VLOOKUP(A369,'Discount Lookup'!J:K,2)*G369*(1-$AC$1786)*(1+$AC$1788)),""),"")),"not NVP, by"))))))))</f>
        <v/>
      </c>
      <c r="AC369" s="830"/>
      <c r="AD369" s="375" t="str">
        <f t="shared" si="985"/>
        <v/>
      </c>
      <c r="AE369" s="833" t="str">
        <f t="shared" si="979"/>
        <v/>
      </c>
      <c r="AF369" s="833"/>
      <c r="AG369" s="833"/>
      <c r="AH369" s="91">
        <f>IF(AD369="free",0,IF(AD369="me",0,IF(G369&gt;0,(VLOOKUP(A369,'Discount Lookup'!J:K,2)*G369),0)))</f>
        <v>0</v>
      </c>
      <c r="AI369" s="92" t="str">
        <f t="shared" si="892"/>
        <v/>
      </c>
      <c r="AJ369" s="828" t="str">
        <f t="shared" si="954"/>
        <v/>
      </c>
      <c r="AK369" s="828"/>
      <c r="AL369" s="313" t="str">
        <f t="shared" si="928"/>
        <v/>
      </c>
      <c r="AM369" s="312"/>
      <c r="AN369" s="101"/>
      <c r="AO369" s="101"/>
      <c r="AP369" s="101"/>
      <c r="AQ369" s="101"/>
      <c r="AR369" s="101"/>
      <c r="AS369" s="101"/>
      <c r="AT369" s="101"/>
    </row>
    <row r="370" spans="1:46" ht="12.95" customHeight="1">
      <c r="A370" s="383">
        <v>7</v>
      </c>
      <c r="B370" s="158" t="s">
        <v>50</v>
      </c>
      <c r="C370" s="168" t="s">
        <v>211</v>
      </c>
      <c r="D370" s="161" t="s">
        <v>54</v>
      </c>
      <c r="E370" s="162">
        <v>109.95</v>
      </c>
      <c r="F370" s="713" t="s">
        <v>1306</v>
      </c>
      <c r="G370" s="357">
        <v>0</v>
      </c>
      <c r="H370" s="748" t="str">
        <f t="shared" ref="H370:H372" si="998">IF(G370=0,"",IF(F370="Qty=",IF(G370=1,"plant","plants"),IF(F370&gt;0.0001,"warranty","Error")))</f>
        <v/>
      </c>
      <c r="I370" s="592">
        <f t="shared" ref="I370:I372" si="999">IF(F370="Qty=",(E370*G370),((E370*(1-F370))*G370))</f>
        <v>0</v>
      </c>
      <c r="J370" s="592">
        <f>IF(H370="warranty",0,(I370*($J$1782)))</f>
        <v>0</v>
      </c>
      <c r="K370" s="834">
        <f t="shared" ref="K370:K372" si="1000">I370+J370</f>
        <v>0</v>
      </c>
      <c r="L370" s="834"/>
      <c r="M370" s="832" t="str">
        <f>IF($H$1784=0,"",IF(G370=0,"",IF(F370="Qty=",CONCATENATE("$",ROUND(K370*(1-$H$1784),2)," with ",($H$1784*100),"% discount"),CONCATENATE("$",ROUND(K370*(1-$H$1784),2)," with ",(($H$1784*100+F370*100)-($H$1784*100*F370)),IF(F370&gt;0,"% discounts",IF($H$1781&gt;0,"% discounts","% discount"))))))</f>
        <v/>
      </c>
      <c r="N370" s="832"/>
      <c r="O370" s="832"/>
      <c r="P370" s="832"/>
      <c r="Q370" s="832"/>
      <c r="R370" s="832"/>
      <c r="S370" s="303">
        <f t="shared" ref="S370" si="1001">E370*G370</f>
        <v>0</v>
      </c>
      <c r="T370" s="541">
        <f>VLOOKUP(A370,'Discount Lookup'!D:E,2,FALSE)*G370</f>
        <v>0</v>
      </c>
      <c r="U370" s="83">
        <f>VLOOKUP(A370,'Discount Lookup'!G:H,2,FALSE)*G370</f>
        <v>0</v>
      </c>
      <c r="V370" s="100">
        <f>E370*($J$1782)*G370</f>
        <v>0</v>
      </c>
      <c r="W370" s="100">
        <f t="shared" ref="W370" si="1002">I370</f>
        <v>0</v>
      </c>
      <c r="X370" s="100" t="b">
        <f>IF(G370&gt;0,IF(AD370="me","",G370))</f>
        <v>0</v>
      </c>
      <c r="Y370" s="201"/>
      <c r="Z370" s="829" t="str">
        <f t="shared" si="953"/>
        <v/>
      </c>
      <c r="AA370" s="829"/>
      <c r="AB370" s="830" t="str">
        <f>IF(G370=0,"",IF(AD370="free","re-planting",IF(AD370="me","not NVP, by",IF($AD$8="yes",(VLOOKUP(A370,'Discount Lookup'!J:K,2)*G370*(1-$AC$1786)*(1+$AC$1788)),IF(AD370="NVP",(VLOOKUP(A370,'Discount Lookup'!J:K,2)*G370*(1-$AC$1786)*(1+$AC$1788)),IF(AD370="free","re-planting",IF(G370=0,"",IF($AD$8="",IF(AD370="me","not NVP, by",IF(AD370="",IF(G370&gt;0,(VLOOKUP(A370,'Discount Lookup'!J:K,2)*G370*(1-$AC$1786)*(1+$AC$1788)),""),"")),"not NVP, by"))))))))</f>
        <v/>
      </c>
      <c r="AC370" s="830"/>
      <c r="AD370" s="375" t="str">
        <f t="shared" si="985"/>
        <v/>
      </c>
      <c r="AE370" s="833" t="str">
        <f t="shared" si="979"/>
        <v/>
      </c>
      <c r="AF370" s="833"/>
      <c r="AG370" s="833"/>
      <c r="AH370" s="91">
        <f>IF(AD370="free",0,IF(AD370="me",0,IF(G370&gt;0,(VLOOKUP(A370,'Discount Lookup'!J:K,2)*G370),0)))</f>
        <v>0</v>
      </c>
      <c r="AI370" s="92" t="str">
        <f t="shared" si="892"/>
        <v/>
      </c>
      <c r="AJ370" s="828" t="str">
        <f t="shared" si="954"/>
        <v/>
      </c>
      <c r="AK370" s="828"/>
      <c r="AL370" s="313" t="str">
        <f t="shared" si="928"/>
        <v/>
      </c>
      <c r="AM370" s="312"/>
      <c r="AN370" s="101"/>
      <c r="AO370" s="101"/>
      <c r="AP370" s="101"/>
      <c r="AQ370" s="101"/>
      <c r="AR370" s="101"/>
      <c r="AS370" s="101"/>
      <c r="AT370" s="101"/>
    </row>
    <row r="371" spans="1:46" ht="12.95" customHeight="1">
      <c r="A371" s="383">
        <v>15</v>
      </c>
      <c r="B371" s="158" t="s">
        <v>50</v>
      </c>
      <c r="C371" s="168" t="s">
        <v>292</v>
      </c>
      <c r="D371" s="161" t="s">
        <v>54</v>
      </c>
      <c r="E371" s="162">
        <v>183.95</v>
      </c>
      <c r="F371" s="713" t="s">
        <v>1306</v>
      </c>
      <c r="G371" s="357">
        <v>0</v>
      </c>
      <c r="H371" s="748" t="str">
        <f t="shared" si="998"/>
        <v/>
      </c>
      <c r="I371" s="592">
        <f t="shared" si="999"/>
        <v>0</v>
      </c>
      <c r="J371" s="592">
        <f>IF(H371="warranty",0,(I371*($J$1782)))</f>
        <v>0</v>
      </c>
      <c r="K371" s="834">
        <f t="shared" si="1000"/>
        <v>0</v>
      </c>
      <c r="L371" s="834"/>
      <c r="M371" s="832" t="str">
        <f>IF($H$1784=0,"",IF(G371=0,"",IF(F371="Qty=",CONCATENATE("$",ROUND(K371*(1-$H$1784),2)," with ",($H$1784*100),"% discount"),CONCATENATE("$",ROUND(K371*(1-$H$1784),2)," with ",(($H$1784*100+F371*100)-($H$1784*100*F371)),IF(F371&gt;0,"% discounts",IF($H$1781&gt;0,"% discounts","% discount"))))))</f>
        <v/>
      </c>
      <c r="N371" s="832"/>
      <c r="O371" s="832"/>
      <c r="P371" s="832"/>
      <c r="Q371" s="832"/>
      <c r="R371" s="832"/>
      <c r="S371" s="303">
        <f t="shared" ref="S371:S372" si="1003">E371*G371</f>
        <v>0</v>
      </c>
      <c r="T371" s="541">
        <f>VLOOKUP(A371,'Discount Lookup'!D:E,2,FALSE)*G371</f>
        <v>0</v>
      </c>
      <c r="U371" s="83">
        <f>VLOOKUP(A371,'Discount Lookup'!G:H,2,FALSE)*G371</f>
        <v>0</v>
      </c>
      <c r="V371" s="100">
        <f>E371*($J$1782)*G371</f>
        <v>0</v>
      </c>
      <c r="W371" s="100">
        <f t="shared" ref="W371:W372" si="1004">I371</f>
        <v>0</v>
      </c>
      <c r="X371" s="100" t="b">
        <f>IF(G371&gt;0,IF(AD371="me","",G371))</f>
        <v>0</v>
      </c>
      <c r="Y371" s="201"/>
      <c r="Z371" s="829" t="str">
        <f t="shared" si="953"/>
        <v/>
      </c>
      <c r="AA371" s="829"/>
      <c r="AB371" s="830" t="str">
        <f>IF(G371=0,"",IF(AD371="free","re-planting",IF(AD371="me","not NVP, by",IF($AD$8="yes",(VLOOKUP(A371,'Discount Lookup'!J:K,2)*G371*(1-$AC$1786)*(1+$AC$1788)),IF(AD371="NVP",(VLOOKUP(A371,'Discount Lookup'!J:K,2)*G371*(1-$AC$1786)*(1+$AC$1788)),IF(AD371="free","re-planting",IF(G371=0,"",IF($AD$8="",IF(AD371="me","not NVP, by",IF(AD371="",IF(G371&gt;0,(VLOOKUP(A371,'Discount Lookup'!J:K,2)*G371*(1-$AC$1786)*(1+$AC$1788)),""),"")),"not NVP, by"))))))))</f>
        <v/>
      </c>
      <c r="AC371" s="830"/>
      <c r="AD371" s="375" t="str">
        <f t="shared" si="985"/>
        <v/>
      </c>
      <c r="AE371" s="833" t="str">
        <f t="shared" si="979"/>
        <v/>
      </c>
      <c r="AF371" s="833"/>
      <c r="AG371" s="833"/>
      <c r="AH371" s="91">
        <f>IF(AD371="free",0,IF(AD371="me",0,IF(G371&gt;0,(VLOOKUP(A371,'Discount Lookup'!J:K,2)*G371),0)))</f>
        <v>0</v>
      </c>
      <c r="AI371" s="92" t="str">
        <f t="shared" si="892"/>
        <v/>
      </c>
      <c r="AJ371" s="828" t="str">
        <f t="shared" si="954"/>
        <v/>
      </c>
      <c r="AK371" s="828"/>
      <c r="AL371" s="313" t="str">
        <f t="shared" si="928"/>
        <v/>
      </c>
      <c r="AM371" s="312"/>
      <c r="AN371" s="101"/>
      <c r="AO371" s="101"/>
      <c r="AP371" s="101"/>
      <c r="AQ371" s="101"/>
      <c r="AR371" s="101"/>
      <c r="AS371" s="101"/>
      <c r="AT371" s="101"/>
    </row>
    <row r="372" spans="1:46" ht="12.95" customHeight="1">
      <c r="A372" s="383">
        <v>25</v>
      </c>
      <c r="B372" s="158" t="s">
        <v>50</v>
      </c>
      <c r="C372" s="160" t="s">
        <v>293</v>
      </c>
      <c r="D372" s="161" t="s">
        <v>54</v>
      </c>
      <c r="E372" s="162">
        <v>339.95</v>
      </c>
      <c r="F372" s="713" t="s">
        <v>1306</v>
      </c>
      <c r="G372" s="357">
        <v>0</v>
      </c>
      <c r="H372" s="748" t="str">
        <f t="shared" si="998"/>
        <v/>
      </c>
      <c r="I372" s="592">
        <f t="shared" si="999"/>
        <v>0</v>
      </c>
      <c r="J372" s="592">
        <f>IF(H372="warranty",0,(I372*($J$1782)))</f>
        <v>0</v>
      </c>
      <c r="K372" s="834">
        <f t="shared" si="1000"/>
        <v>0</v>
      </c>
      <c r="L372" s="834"/>
      <c r="M372" s="832" t="str">
        <f>IF($H$1784=0,"",IF(G372=0,"",IF(F372="Qty=",CONCATENATE("$",ROUND(K372*(1-$H$1784),2)," with ",($H$1784*100),"% discount"),CONCATENATE("$",ROUND(K372*(1-$H$1784),2)," with ",(($H$1784*100+F372*100)-($H$1784*100*F372)),IF(F372&gt;0,"% discounts",IF($H$1781&gt;0,"% discounts","% discount"))))))</f>
        <v/>
      </c>
      <c r="N372" s="832"/>
      <c r="O372" s="832"/>
      <c r="P372" s="832"/>
      <c r="Q372" s="832"/>
      <c r="R372" s="832"/>
      <c r="S372" s="303">
        <f t="shared" si="1003"/>
        <v>0</v>
      </c>
      <c r="T372" s="541">
        <f>VLOOKUP(A372,'Discount Lookup'!D:E,2,FALSE)*G372</f>
        <v>0</v>
      </c>
      <c r="U372" s="83">
        <f>VLOOKUP(A372,'Discount Lookup'!G:H,2,FALSE)*G372</f>
        <v>0</v>
      </c>
      <c r="V372" s="100">
        <f>E372*($J$1782)*G372</f>
        <v>0</v>
      </c>
      <c r="W372" s="100">
        <f t="shared" si="1004"/>
        <v>0</v>
      </c>
      <c r="X372" s="100" t="b">
        <f>IF(G372&gt;0,IF(AD372="me","",G372))</f>
        <v>0</v>
      </c>
      <c r="Y372" s="201"/>
      <c r="Z372" s="829" t="str">
        <f t="shared" si="953"/>
        <v/>
      </c>
      <c r="AA372" s="829"/>
      <c r="AB372" s="830" t="str">
        <f>IF(G372=0,"",IF(AD372="free","re-planting",IF(AD372="me","not NVP, by",IF($AD$8="yes",(VLOOKUP(A372,'Discount Lookup'!J:K,2)*G372*(1-$AC$1786)*(1+$AC$1788)),IF(AD372="NVP",(VLOOKUP(A372,'Discount Lookup'!J:K,2)*G372*(1-$AC$1786)*(1+$AC$1788)),IF(AD372="free","re-planting",IF(G372=0,"",IF($AD$8="",IF(AD372="me","not NVP, by",IF(AD372="",IF(G372&gt;0,(VLOOKUP(A372,'Discount Lookup'!J:K,2)*G372*(1-$AC$1786)*(1+$AC$1788)),""),"")),"not NVP, by"))))))))</f>
        <v/>
      </c>
      <c r="AC372" s="830"/>
      <c r="AD372" s="375" t="str">
        <f t="shared" si="985"/>
        <v/>
      </c>
      <c r="AE372" s="833" t="str">
        <f t="shared" si="979"/>
        <v/>
      </c>
      <c r="AF372" s="833"/>
      <c r="AG372" s="833"/>
      <c r="AH372" s="91">
        <f>IF(AD372="free",0,IF(AD372="me",0,IF(G372&gt;0,(VLOOKUP(A372,'Discount Lookup'!J:K,2)*G372),0)))</f>
        <v>0</v>
      </c>
      <c r="AI372" s="92" t="str">
        <f t="shared" si="892"/>
        <v/>
      </c>
      <c r="AJ372" s="828" t="str">
        <f t="shared" si="954"/>
        <v/>
      </c>
      <c r="AK372" s="828"/>
      <c r="AL372" s="313" t="str">
        <f t="shared" si="928"/>
        <v/>
      </c>
      <c r="AM372" s="312"/>
      <c r="AN372" s="101"/>
      <c r="AO372" s="101"/>
      <c r="AP372" s="101"/>
      <c r="AQ372" s="101"/>
      <c r="AR372" s="101"/>
      <c r="AS372" s="101"/>
      <c r="AT372" s="101"/>
    </row>
    <row r="373" spans="1:46" ht="12.95" customHeight="1">
      <c r="A373" s="472"/>
      <c r="B373" s="149" t="s">
        <v>298</v>
      </c>
      <c r="C373" s="118"/>
      <c r="D373" s="118"/>
      <c r="E373" s="119"/>
      <c r="F373" s="711"/>
      <c r="G373" s="358"/>
      <c r="H373" s="745"/>
      <c r="I373" s="119"/>
      <c r="J373" s="119"/>
      <c r="K373" s="609"/>
      <c r="L373" s="609"/>
      <c r="M373" s="121"/>
      <c r="N373" s="163" t="s">
        <v>268</v>
      </c>
      <c r="O373" s="123"/>
      <c r="P373" s="124"/>
      <c r="Q373" s="124"/>
      <c r="R373" s="83"/>
      <c r="S373" s="82"/>
      <c r="T373" s="540"/>
      <c r="U373" s="83"/>
      <c r="V373" s="100" t="b">
        <f>IF(G373&gt;0,IF(AD373="me","",G373))</f>
        <v>0</v>
      </c>
      <c r="W373" s="100"/>
      <c r="X373" s="100"/>
      <c r="Y373" s="201"/>
      <c r="Z373" s="829" t="str">
        <f t="shared" si="953"/>
        <v/>
      </c>
      <c r="AA373" s="829"/>
      <c r="AB373" s="830" t="str">
        <f>IF(G373=0,"",IF(AD373="free","re-planting",IF(AD373="me","not NVP, by",IF($AD$8="yes",(VLOOKUP(A373,'Discount Lookup'!J:K,2)*G373*(1-$AC$1786)*(1+$AC$1788)),IF(AD373="NVP",(VLOOKUP(A373,'Discount Lookup'!J:K,2)*G373*(1-$AC$1786)*(1+$AC$1788)),IF(AD373="free","re-planting",IF(G373=0,"",IF($AD$8="",IF(AD373="me","not NVP, by",IF(AD373="",IF(G373&gt;0,(VLOOKUP(A373,'Discount Lookup'!J:K,2)*G373*(1-$AC$1786)*(1+$AC$1788)),""),"")),"not NVP, by"))))))))</f>
        <v/>
      </c>
      <c r="AC373" s="830"/>
      <c r="AD373" s="375" t="str">
        <f t="shared" si="985"/>
        <v/>
      </c>
      <c r="AE373" s="833" t="str">
        <f t="shared" si="979"/>
        <v/>
      </c>
      <c r="AF373" s="833"/>
      <c r="AG373" s="833"/>
      <c r="AH373" s="91">
        <f>IF(AD373="free",0,IF(AD373="me",0,IF(G373&gt;0,(VLOOKUP(A373,'Discount Lookup'!J:K,2)*G373),0)))</f>
        <v>0</v>
      </c>
      <c r="AI373" s="92" t="str">
        <f t="shared" si="892"/>
        <v/>
      </c>
      <c r="AJ373" s="828" t="str">
        <f t="shared" si="954"/>
        <v/>
      </c>
      <c r="AK373" s="828"/>
      <c r="AL373" s="313" t="str">
        <f t="shared" si="928"/>
        <v/>
      </c>
      <c r="AM373" s="312"/>
      <c r="AN373" s="101"/>
      <c r="AO373" s="101"/>
      <c r="AP373" s="101"/>
      <c r="AQ373" s="101"/>
      <c r="AR373" s="101"/>
      <c r="AS373" s="101"/>
      <c r="AT373" s="101"/>
    </row>
    <row r="374" spans="1:46" ht="12.95" customHeight="1">
      <c r="A374" s="889" t="s">
        <v>1547</v>
      </c>
      <c r="B374" s="890"/>
      <c r="C374" s="890"/>
      <c r="D374" s="890"/>
      <c r="E374" s="890"/>
      <c r="F374" s="890"/>
      <c r="G374" s="890"/>
      <c r="H374" s="774" t="s">
        <v>74</v>
      </c>
      <c r="I374" s="349" t="s">
        <v>280</v>
      </c>
      <c r="J374" s="157"/>
      <c r="K374" s="611" t="s">
        <v>45</v>
      </c>
      <c r="L374" s="630" t="s">
        <v>46</v>
      </c>
      <c r="M374" s="157"/>
      <c r="N374" s="158" t="s">
        <v>69</v>
      </c>
      <c r="O374" s="158"/>
      <c r="P374" s="158"/>
      <c r="Q374" s="158"/>
      <c r="R374" s="157"/>
      <c r="S374" s="170"/>
      <c r="T374" s="547"/>
      <c r="U374" s="171"/>
      <c r="V374" s="100" t="b">
        <f>IF(G374&gt;0,IF(AD374="me","",G374))</f>
        <v>0</v>
      </c>
      <c r="W374" s="100"/>
      <c r="X374" s="100"/>
      <c r="Y374" s="201"/>
      <c r="Z374" s="829" t="str">
        <f t="shared" si="953"/>
        <v/>
      </c>
      <c r="AA374" s="829"/>
      <c r="AB374" s="830" t="str">
        <f>IF(G374=0,"",IF(AD374="free","re-planting",IF(AD374="me","not NVP, by",IF($AD$8="yes",(VLOOKUP(A374,'Discount Lookup'!J:K,2)*G374*(1-$AC$1786)*(1+$AC$1788)),IF(AD374="NVP",(VLOOKUP(A374,'Discount Lookup'!J:K,2)*G374*(1-$AC$1786)*(1+$AC$1788)),IF(AD374="free","re-planting",IF(G374=0,"",IF($AD$8="",IF(AD374="me","not NVP, by",IF(AD374="",IF(G374&gt;0,(VLOOKUP(A374,'Discount Lookup'!J:K,2)*G374*(1-$AC$1786)*(1+$AC$1788)),""),"")),"not NVP, by"))))))))</f>
        <v/>
      </c>
      <c r="AC374" s="830"/>
      <c r="AD374" s="375" t="str">
        <f t="shared" si="985"/>
        <v/>
      </c>
      <c r="AE374" s="833" t="str">
        <f t="shared" si="979"/>
        <v/>
      </c>
      <c r="AF374" s="833"/>
      <c r="AG374" s="833"/>
      <c r="AH374" s="91">
        <f>IF(AD374="free",0,IF(AD374="me",0,IF(G374&gt;0,(VLOOKUP(A374,'Discount Lookup'!J:K,2)*G374),0)))</f>
        <v>0</v>
      </c>
      <c r="AI374" s="92" t="str">
        <f t="shared" si="892"/>
        <v/>
      </c>
      <c r="AJ374" s="828" t="str">
        <f t="shared" si="954"/>
        <v/>
      </c>
      <c r="AK374" s="828"/>
      <c r="AL374" s="313" t="str">
        <f t="shared" si="928"/>
        <v/>
      </c>
      <c r="AM374" s="312"/>
      <c r="AN374" s="101"/>
      <c r="AO374" s="101"/>
      <c r="AP374" s="101"/>
      <c r="AQ374" s="101"/>
      <c r="AR374" s="101"/>
      <c r="AS374" s="101"/>
      <c r="AT374" s="101"/>
    </row>
    <row r="375" spans="1:46" ht="12.95" customHeight="1">
      <c r="A375" s="383">
        <v>15</v>
      </c>
      <c r="B375" s="158" t="s">
        <v>50</v>
      </c>
      <c r="C375" s="160" t="s">
        <v>1434</v>
      </c>
      <c r="D375" s="161" t="s">
        <v>54</v>
      </c>
      <c r="E375" s="162">
        <v>192.95</v>
      </c>
      <c r="F375" s="713" t="s">
        <v>1306</v>
      </c>
      <c r="G375" s="357">
        <v>0</v>
      </c>
      <c r="H375" s="748" t="str">
        <f t="shared" ref="H375" si="1005">IF(G375=0,"",IF(F375="Qty=",IF(G375=1,"plant","plants"),IF(F375&gt;0.0001,"warranty","Error")))</f>
        <v/>
      </c>
      <c r="I375" s="592">
        <f t="shared" ref="I375" si="1006">IF(F375="Qty=",(E375*G375),((E375*(1-F375))*G375))</f>
        <v>0</v>
      </c>
      <c r="J375" s="592">
        <f>IF(H375="warranty",0,(I375*($J$1782)))</f>
        <v>0</v>
      </c>
      <c r="K375" s="834">
        <f t="shared" ref="K375" si="1007">I375+J375</f>
        <v>0</v>
      </c>
      <c r="L375" s="834"/>
      <c r="M375" s="832" t="str">
        <f>IF($H$1784=0,"",IF(G375=0,"",IF(F375="Qty=",CONCATENATE("$",ROUND(K375*(1-$H$1784),2)," with ",($H$1784*100),"% discount"),CONCATENATE("$",ROUND(K375*(1-$H$1784),2)," with ",(($H$1784*100+F375*100)-($H$1784*100*F375)),IF(F375&gt;0,"% discounts",IF($H$1781&gt;0,"% discounts","% discount"))))))</f>
        <v/>
      </c>
      <c r="N375" s="832"/>
      <c r="O375" s="832"/>
      <c r="P375" s="832"/>
      <c r="Q375" s="832"/>
      <c r="R375" s="832"/>
      <c r="S375" s="303">
        <f t="shared" ref="S375" si="1008">E375*G375</f>
        <v>0</v>
      </c>
      <c r="T375" s="541">
        <f>VLOOKUP(A375,'Discount Lookup'!D:E,2,FALSE)*G375</f>
        <v>0</v>
      </c>
      <c r="U375" s="83">
        <f>VLOOKUP(A375,'Discount Lookup'!G:H,2,FALSE)*G375</f>
        <v>0</v>
      </c>
      <c r="V375" s="100">
        <f>E375*($J$1782)*G375</f>
        <v>0</v>
      </c>
      <c r="W375" s="100">
        <f t="shared" ref="W375" si="1009">I375</f>
        <v>0</v>
      </c>
      <c r="X375" s="100" t="b">
        <f>IF(G375&gt;0,IF(AD375="me","",G375))</f>
        <v>0</v>
      </c>
      <c r="Y375" s="201"/>
      <c r="Z375" s="829" t="str">
        <f t="shared" si="953"/>
        <v/>
      </c>
      <c r="AA375" s="829"/>
      <c r="AB375" s="830" t="str">
        <f>IF(G375=0,"",IF(AD375="free","re-planting",IF(AD375="me","not NVP, by",IF($AD$8="yes",(VLOOKUP(A375,'Discount Lookup'!J:K,2)*G375*(1-$AC$1786)*(1+$AC$1788)),IF(AD375="NVP",(VLOOKUP(A375,'Discount Lookup'!J:K,2)*G375*(1-$AC$1786)*(1+$AC$1788)),IF(AD375="free","re-planting",IF(G375=0,"",IF($AD$8="",IF(AD375="me","not NVP, by",IF(AD375="",IF(G375&gt;0,(VLOOKUP(A375,'Discount Lookup'!J:K,2)*G375*(1-$AC$1786)*(1+$AC$1788)),""),"")),"not NVP, by"))))))))</f>
        <v/>
      </c>
      <c r="AC375" s="830"/>
      <c r="AD375" s="375" t="str">
        <f t="shared" si="985"/>
        <v/>
      </c>
      <c r="AE375" s="833" t="str">
        <f t="shared" si="979"/>
        <v/>
      </c>
      <c r="AF375" s="833"/>
      <c r="AG375" s="833"/>
      <c r="AH375" s="91">
        <f>IF(AD375="free",0,IF(AD375="me",0,IF(G375&gt;0,(VLOOKUP(A375,'Discount Lookup'!J:K,2)*G375),0)))</f>
        <v>0</v>
      </c>
      <c r="AI375" s="92" t="str">
        <f t="shared" si="892"/>
        <v/>
      </c>
      <c r="AJ375" s="828" t="str">
        <f t="shared" si="954"/>
        <v/>
      </c>
      <c r="AK375" s="828"/>
      <c r="AL375" s="313" t="str">
        <f t="shared" si="928"/>
        <v/>
      </c>
      <c r="AM375" s="312"/>
      <c r="AN375" s="101"/>
      <c r="AO375" s="101"/>
      <c r="AP375" s="101"/>
      <c r="AQ375" s="101"/>
      <c r="AR375" s="101"/>
      <c r="AS375" s="101"/>
      <c r="AT375" s="101"/>
    </row>
    <row r="376" spans="1:46" ht="12.95" customHeight="1">
      <c r="A376" s="472"/>
      <c r="B376" s="149" t="s">
        <v>299</v>
      </c>
      <c r="C376" s="118"/>
      <c r="D376" s="118"/>
      <c r="E376" s="119"/>
      <c r="F376" s="711"/>
      <c r="G376" s="358"/>
      <c r="H376" s="745"/>
      <c r="I376" s="119"/>
      <c r="J376" s="119"/>
      <c r="K376" s="609"/>
      <c r="L376" s="609"/>
      <c r="M376" s="121"/>
      <c r="N376" s="163" t="s">
        <v>268</v>
      </c>
      <c r="O376" s="123"/>
      <c r="P376" s="124"/>
      <c r="Q376" s="124"/>
      <c r="R376" s="83"/>
      <c r="S376" s="82">
        <f>E376*G376</f>
        <v>0</v>
      </c>
      <c r="T376" s="540"/>
      <c r="U376" s="83"/>
      <c r="V376" s="100" t="b">
        <f>IF(G376&gt;0,IF(AD376="me","",G376))</f>
        <v>0</v>
      </c>
      <c r="W376" s="100"/>
      <c r="X376" s="100"/>
      <c r="Y376" s="201"/>
      <c r="Z376" s="829" t="str">
        <f t="shared" si="953"/>
        <v/>
      </c>
      <c r="AA376" s="829"/>
      <c r="AB376" s="830" t="str">
        <f>IF(G376=0,"",IF(AD376="free","re-planting",IF(AD376="me","not NVP, by",IF($AD$8="yes",(VLOOKUP(A376,'Discount Lookup'!J:K,2)*G376*(1-$AC$1786)*(1+$AC$1788)),IF(AD376="NVP",(VLOOKUP(A376,'Discount Lookup'!J:K,2)*G376*(1-$AC$1786)*(1+$AC$1788)),IF(AD376="free","re-planting",IF(G376=0,"",IF($AD$8="",IF(AD376="me","not NVP, by",IF(AD376="",IF(G376&gt;0,(VLOOKUP(A376,'Discount Lookup'!J:K,2)*G376*(1-$AC$1786)*(1+$AC$1788)),""),"")),"not NVP, by"))))))))</f>
        <v/>
      </c>
      <c r="AC376" s="830"/>
      <c r="AD376" s="375" t="str">
        <f t="shared" si="985"/>
        <v/>
      </c>
      <c r="AE376" s="833" t="str">
        <f t="shared" si="979"/>
        <v/>
      </c>
      <c r="AF376" s="833"/>
      <c r="AG376" s="833"/>
      <c r="AH376" s="91">
        <f>IF(AD376="free",0,IF(AD376="me",0,IF(G376&gt;0,(VLOOKUP(A376,'Discount Lookup'!J:K,2)*G376),0)))</f>
        <v>0</v>
      </c>
      <c r="AI376" s="92" t="str">
        <f t="shared" si="892"/>
        <v/>
      </c>
      <c r="AJ376" s="828" t="str">
        <f t="shared" si="954"/>
        <v/>
      </c>
      <c r="AK376" s="828"/>
      <c r="AL376" s="313" t="str">
        <f t="shared" si="928"/>
        <v/>
      </c>
      <c r="AM376" s="312"/>
      <c r="AN376" s="101"/>
      <c r="AO376" s="101"/>
      <c r="AP376" s="101"/>
      <c r="AQ376" s="101"/>
      <c r="AR376" s="101"/>
      <c r="AS376" s="101"/>
      <c r="AT376" s="101"/>
    </row>
    <row r="377" spans="1:46" ht="12.95" customHeight="1">
      <c r="A377" s="889" t="s">
        <v>300</v>
      </c>
      <c r="B377" s="890"/>
      <c r="C377" s="890"/>
      <c r="D377" s="890"/>
      <c r="E377" s="890"/>
      <c r="F377" s="890"/>
      <c r="G377" s="890"/>
      <c r="H377" s="774" t="s">
        <v>74</v>
      </c>
      <c r="I377" s="349" t="s">
        <v>280</v>
      </c>
      <c r="J377" s="157"/>
      <c r="K377" s="611" t="s">
        <v>45</v>
      </c>
      <c r="L377" s="630" t="s">
        <v>46</v>
      </c>
      <c r="M377" s="157"/>
      <c r="N377" s="158" t="s">
        <v>262</v>
      </c>
      <c r="O377" s="158"/>
      <c r="P377" s="158"/>
      <c r="Q377" s="159"/>
      <c r="R377" s="835" t="s">
        <v>49</v>
      </c>
      <c r="S377" s="835"/>
      <c r="T377" s="835"/>
      <c r="U377" s="835"/>
      <c r="V377" s="100" t="b">
        <f>IF(G377&gt;0,IF(AD377="me","",G377))</f>
        <v>0</v>
      </c>
      <c r="W377" s="100"/>
      <c r="X377" s="100"/>
      <c r="Y377" s="201"/>
      <c r="Z377" s="829" t="str">
        <f t="shared" si="953"/>
        <v/>
      </c>
      <c r="AA377" s="829"/>
      <c r="AB377" s="830" t="str">
        <f>IF(G377=0,"",IF(AD377="free","re-planting",IF(AD377="me","not NVP, by",IF($AD$8="yes",(VLOOKUP(A377,'Discount Lookup'!J:K,2)*G377*(1-$AC$1786)*(1+$AC$1788)),IF(AD377="NVP",(VLOOKUP(A377,'Discount Lookup'!J:K,2)*G377*(1-$AC$1786)*(1+$AC$1788)),IF(AD377="free","re-planting",IF(G377=0,"",IF($AD$8="",IF(AD377="me","not NVP, by",IF(AD377="",IF(G377&gt;0,(VLOOKUP(A377,'Discount Lookup'!J:K,2)*G377*(1-$AC$1786)*(1+$AC$1788)),""),"")),"not NVP, by"))))))))</f>
        <v/>
      </c>
      <c r="AC377" s="830"/>
      <c r="AD377" s="375" t="str">
        <f t="shared" si="985"/>
        <v/>
      </c>
      <c r="AE377" s="833" t="str">
        <f t="shared" si="979"/>
        <v/>
      </c>
      <c r="AF377" s="833"/>
      <c r="AG377" s="833"/>
      <c r="AH377" s="91">
        <f>IF(AD377="free",0,IF(AD377="me",0,IF(G377&gt;0,(VLOOKUP(A377,'Discount Lookup'!J:K,2)*G377),0)))</f>
        <v>0</v>
      </c>
      <c r="AI377" s="92" t="str">
        <f t="shared" si="892"/>
        <v/>
      </c>
      <c r="AJ377" s="828" t="str">
        <f t="shared" si="954"/>
        <v/>
      </c>
      <c r="AK377" s="828"/>
      <c r="AL377" s="313" t="str">
        <f t="shared" si="928"/>
        <v/>
      </c>
      <c r="AM377" s="312"/>
      <c r="AN377" s="101"/>
      <c r="AO377" s="101"/>
      <c r="AP377" s="101"/>
      <c r="AQ377" s="101"/>
      <c r="AR377" s="101"/>
      <c r="AS377" s="101"/>
      <c r="AT377" s="101"/>
    </row>
    <row r="378" spans="1:46" ht="12.95" customHeight="1">
      <c r="A378" s="383">
        <v>7</v>
      </c>
      <c r="B378" s="158" t="s">
        <v>50</v>
      </c>
      <c r="C378" s="160" t="s">
        <v>264</v>
      </c>
      <c r="D378" s="161" t="s">
        <v>54</v>
      </c>
      <c r="E378" s="162">
        <v>91.95</v>
      </c>
      <c r="F378" s="713" t="s">
        <v>1306</v>
      </c>
      <c r="G378" s="357">
        <v>0</v>
      </c>
      <c r="H378" s="748" t="str">
        <f t="shared" ref="H378:H379" si="1010">IF(G378=0,"",IF(F378="Qty=",IF(G378=1,"plant","plants"),IF(F378&gt;0.0001,"warranty","Error")))</f>
        <v/>
      </c>
      <c r="I378" s="592">
        <f t="shared" ref="I378:I379" si="1011">IF(F378="Qty=",(E378*G378),((E378*(1-F378))*G378))</f>
        <v>0</v>
      </c>
      <c r="J378" s="592">
        <f>IF(H378="warranty",0,(I378*($J$1782)))</f>
        <v>0</v>
      </c>
      <c r="K378" s="834">
        <f t="shared" ref="K378:K380" si="1012">I378+J378</f>
        <v>0</v>
      </c>
      <c r="L378" s="834"/>
      <c r="M378" s="832" t="str">
        <f>IF($H$1784=0,"",IF(G378=0,"",IF(F378="Qty=",CONCATENATE("$",ROUND(K378*(1-$H$1784),2)," with ",($H$1784*100),"% discount"),CONCATENATE("$",ROUND(K378*(1-$H$1784),2)," with ",(($H$1784*100+F378*100)-($H$1784*100*F378)),IF(F378&gt;0,"% discounts",IF($H$1781&gt;0,"% discounts","% discount"))))))</f>
        <v/>
      </c>
      <c r="N378" s="832"/>
      <c r="O378" s="832"/>
      <c r="P378" s="832"/>
      <c r="Q378" s="832"/>
      <c r="R378" s="832"/>
      <c r="S378" s="303">
        <f t="shared" ref="S378:S379" si="1013">E378*G378</f>
        <v>0</v>
      </c>
      <c r="T378" s="541">
        <f>VLOOKUP(A378,'Discount Lookup'!D:E,2,FALSE)*G378</f>
        <v>0</v>
      </c>
      <c r="U378" s="83">
        <f>VLOOKUP(A378,'Discount Lookup'!G:H,2,FALSE)*G378</f>
        <v>0</v>
      </c>
      <c r="V378" s="100">
        <f>E378*($J$1782)*G378</f>
        <v>0</v>
      </c>
      <c r="W378" s="100">
        <f t="shared" ref="W378:W379" si="1014">I378</f>
        <v>0</v>
      </c>
      <c r="X378" s="100" t="b">
        <f>IF(G378&gt;0,IF(AD378="me","",G378))</f>
        <v>0</v>
      </c>
      <c r="Y378" s="201"/>
      <c r="Z378" s="829" t="str">
        <f t="shared" si="953"/>
        <v/>
      </c>
      <c r="AA378" s="829"/>
      <c r="AB378" s="830" t="str">
        <f>IF(G378=0,"",IF(AD378="free","re-planting",IF(AD378="me","not NVP, by",IF($AD$8="yes",(VLOOKUP(A378,'Discount Lookup'!J:K,2)*G378*(1-$AC$1786)*(1+$AC$1788)),IF(AD378="NVP",(VLOOKUP(A378,'Discount Lookup'!J:K,2)*G378*(1-$AC$1786)*(1+$AC$1788)),IF(AD378="free","re-planting",IF(G378=0,"",IF($AD$8="",IF(AD378="me","not NVP, by",IF(AD378="",IF(G378&gt;0,(VLOOKUP(A378,'Discount Lookup'!J:K,2)*G378*(1-$AC$1786)*(1+$AC$1788)),""),"")),"not NVP, by"))))))))</f>
        <v/>
      </c>
      <c r="AC378" s="830"/>
      <c r="AD378" s="375" t="str">
        <f t="shared" si="985"/>
        <v/>
      </c>
      <c r="AE378" s="833" t="str">
        <f t="shared" si="979"/>
        <v/>
      </c>
      <c r="AF378" s="833"/>
      <c r="AG378" s="833"/>
      <c r="AH378" s="91">
        <f>IF(AD378="free",0,IF(AD378="me",0,IF(G378&gt;0,(VLOOKUP(A378,'Discount Lookup'!J:K,2)*G378),0)))</f>
        <v>0</v>
      </c>
      <c r="AI378" s="92" t="str">
        <f t="shared" si="892"/>
        <v/>
      </c>
      <c r="AJ378" s="828" t="str">
        <f t="shared" si="954"/>
        <v/>
      </c>
      <c r="AK378" s="828"/>
      <c r="AL378" s="313" t="str">
        <f t="shared" si="928"/>
        <v/>
      </c>
      <c r="AM378" s="312"/>
      <c r="AN378" s="101"/>
      <c r="AO378" s="101"/>
      <c r="AP378" s="101"/>
      <c r="AQ378" s="101"/>
      <c r="AR378" s="101"/>
      <c r="AS378" s="101"/>
      <c r="AT378" s="101"/>
    </row>
    <row r="379" spans="1:46" ht="12.95" customHeight="1">
      <c r="A379" s="383">
        <v>15</v>
      </c>
      <c r="B379" s="158" t="s">
        <v>50</v>
      </c>
      <c r="C379" s="160" t="s">
        <v>295</v>
      </c>
      <c r="D379" s="161" t="s">
        <v>54</v>
      </c>
      <c r="E379" s="162">
        <v>164.95</v>
      </c>
      <c r="F379" s="713" t="s">
        <v>1306</v>
      </c>
      <c r="G379" s="357">
        <v>0</v>
      </c>
      <c r="H379" s="748" t="str">
        <f t="shared" si="1010"/>
        <v/>
      </c>
      <c r="I379" s="592">
        <f t="shared" si="1011"/>
        <v>0</v>
      </c>
      <c r="J379" s="592">
        <f>IF(H379="warranty",0,(I379*($J$1782)))</f>
        <v>0</v>
      </c>
      <c r="K379" s="834">
        <f t="shared" si="1012"/>
        <v>0</v>
      </c>
      <c r="L379" s="834"/>
      <c r="M379" s="832" t="str">
        <f>IF($H$1784=0,"",IF(G379=0,"",IF(F379="Qty=",CONCATENATE("$",ROUND(K379*(1-$H$1784),2)," with ",($H$1784*100),"% discount"),CONCATENATE("$",ROUND(K379*(1-$H$1784),2)," with ",(($H$1784*100+F379*100)-($H$1784*100*F379)),IF(F379&gt;0,"% discounts",IF($H$1781&gt;0,"% discounts","% discount"))))))</f>
        <v/>
      </c>
      <c r="N379" s="832"/>
      <c r="O379" s="832"/>
      <c r="P379" s="832"/>
      <c r="Q379" s="832"/>
      <c r="R379" s="832"/>
      <c r="S379" s="303">
        <f t="shared" si="1013"/>
        <v>0</v>
      </c>
      <c r="T379" s="541">
        <f>VLOOKUP(A379,'Discount Lookup'!D:E,2,FALSE)*G379</f>
        <v>0</v>
      </c>
      <c r="U379" s="83">
        <f>VLOOKUP(A379,'Discount Lookup'!G:H,2,FALSE)*G379</f>
        <v>0</v>
      </c>
      <c r="V379" s="100">
        <f>E379*($J$1782)*G379</f>
        <v>0</v>
      </c>
      <c r="W379" s="100">
        <f t="shared" si="1014"/>
        <v>0</v>
      </c>
      <c r="X379" s="100" t="b">
        <f>IF(G379&gt;0,IF(AD379="me","",G379))</f>
        <v>0</v>
      </c>
      <c r="Y379" s="201"/>
      <c r="Z379" s="829" t="str">
        <f t="shared" si="953"/>
        <v/>
      </c>
      <c r="AA379" s="829"/>
      <c r="AB379" s="830" t="str">
        <f>IF(G379=0,"",IF(AD379="free","re-planting",IF(AD379="me","not NVP, by",IF($AD$8="yes",(VLOOKUP(A379,'Discount Lookup'!J:K,2)*G379*(1-$AC$1786)*(1+$AC$1788)),IF(AD379="NVP",(VLOOKUP(A379,'Discount Lookup'!J:K,2)*G379*(1-$AC$1786)*(1+$AC$1788)),IF(AD379="free","re-planting",IF(G379=0,"",IF($AD$8="",IF(AD379="me","not NVP, by",IF(AD379="",IF(G379&gt;0,(VLOOKUP(A379,'Discount Lookup'!J:K,2)*G379*(1-$AC$1786)*(1+$AC$1788)),""),"")),"not NVP, by"))))))))</f>
        <v/>
      </c>
      <c r="AC379" s="830"/>
      <c r="AD379" s="375" t="str">
        <f t="shared" si="985"/>
        <v/>
      </c>
      <c r="AE379" s="833" t="str">
        <f t="shared" si="979"/>
        <v/>
      </c>
      <c r="AF379" s="833"/>
      <c r="AG379" s="833"/>
      <c r="AH379" s="91">
        <f>IF(AD379="free",0,IF(AD379="me",0,IF(G379&gt;0,(VLOOKUP(A379,'Discount Lookup'!J:K,2)*G379),0)))</f>
        <v>0</v>
      </c>
      <c r="AI379" s="92" t="str">
        <f t="shared" ref="AI379:AI442" si="1015">IF(G379=0,"",IF(AD379="free",(K379*(1-$H$1784)),IF($AD$8="me",(K379*(1-$H$1784)),IF(AD379="me",(K379*(1-$H$1784)),(K379*(1-$H$1784))+AB379))))</f>
        <v/>
      </c>
      <c r="AJ379" s="828" t="str">
        <f t="shared" si="954"/>
        <v/>
      </c>
      <c r="AK379" s="828"/>
      <c r="AL379" s="313" t="str">
        <f t="shared" si="928"/>
        <v/>
      </c>
      <c r="AM379" s="312"/>
      <c r="AN379" s="101"/>
      <c r="AO379" s="101"/>
      <c r="AP379" s="101"/>
      <c r="AQ379" s="101"/>
      <c r="AR379" s="101"/>
      <c r="AS379" s="101"/>
      <c r="AT379" s="101"/>
    </row>
    <row r="380" spans="1:46" ht="12.95" customHeight="1">
      <c r="A380" s="383">
        <v>25</v>
      </c>
      <c r="B380" s="158" t="s">
        <v>50</v>
      </c>
      <c r="C380" s="160" t="s">
        <v>283</v>
      </c>
      <c r="D380" s="161" t="s">
        <v>54</v>
      </c>
      <c r="E380" s="162">
        <v>302.95</v>
      </c>
      <c r="F380" s="713" t="s">
        <v>1306</v>
      </c>
      <c r="G380" s="357">
        <v>0</v>
      </c>
      <c r="H380" s="748" t="str">
        <f t="shared" ref="H380" si="1016">IF(G380=0,"",IF(F380="Qty=",IF(G380=1,"plant","plants"),IF(F380&gt;0.0001,"warranty","Error")))</f>
        <v/>
      </c>
      <c r="I380" s="592">
        <f t="shared" ref="I380" si="1017">IF(F380="Qty=",(E380*G380),((E380*(1-F380))*G380))</f>
        <v>0</v>
      </c>
      <c r="J380" s="592">
        <f>IF(H380="warranty",0,(I380*($J$1782)))</f>
        <v>0</v>
      </c>
      <c r="K380" s="834">
        <f t="shared" si="1012"/>
        <v>0</v>
      </c>
      <c r="L380" s="834"/>
      <c r="M380" s="832" t="str">
        <f>IF($H$1784=0,"",IF(G380=0,"",IF(F380="Qty=",CONCATENATE("$",ROUND(K380*(1-$H$1784),2)," with ",($H$1784*100),"% discount"),CONCATENATE("$",ROUND(K380*(1-$H$1784),2)," with ",(($H$1784*100+F380*100)-($H$1784*100*F380)),IF(F380&gt;0,"% discounts",IF($H$1781&gt;0,"% discounts","% discount"))))))</f>
        <v/>
      </c>
      <c r="N380" s="832"/>
      <c r="O380" s="832"/>
      <c r="P380" s="832"/>
      <c r="Q380" s="832"/>
      <c r="R380" s="832"/>
      <c r="S380" s="303">
        <f t="shared" ref="S380" si="1018">E380*G380</f>
        <v>0</v>
      </c>
      <c r="T380" s="541">
        <f>VLOOKUP(A380,'Discount Lookup'!D:E,2,FALSE)*G380</f>
        <v>0</v>
      </c>
      <c r="U380" s="83">
        <f>VLOOKUP(A380,'Discount Lookup'!G:H,2,FALSE)*G380</f>
        <v>0</v>
      </c>
      <c r="V380" s="100">
        <f>E380*($J$1782)*G380</f>
        <v>0</v>
      </c>
      <c r="W380" s="100">
        <f t="shared" ref="W380" si="1019">I380</f>
        <v>0</v>
      </c>
      <c r="X380" s="100" t="b">
        <f>IF(G380&gt;0,IF(AD380="me","",G380))</f>
        <v>0</v>
      </c>
      <c r="Y380" s="201"/>
      <c r="Z380" s="829" t="str">
        <f t="shared" ref="Z380" si="1020">IF(G380=0,"",IF(AD380="me","",IF($AD$8="me","",IF(AD380="free","warranty",IF($AD$8="yes","NVP planting:","to NVP install:")))))</f>
        <v/>
      </c>
      <c r="AA380" s="829"/>
      <c r="AB380" s="830" t="str">
        <f>IF(G380=0,"",IF(AD380="free","re-planting",IF(AD380="me","not NVP, by",IF($AD$8="yes",(VLOOKUP(A380,'Discount Lookup'!J:K,2)*G380*(1-$AC$1786)*(1+$AC$1788)),IF(AD380="NVP",(VLOOKUP(A380,'Discount Lookup'!J:K,2)*G380*(1-$AC$1786)*(1+$AC$1788)),IF(AD380="free","re-planting",IF(G380=0,"",IF($AD$8="",IF(AD380="me","not NVP, by",IF(AD380="",IF(G380&gt;0,(VLOOKUP(A380,'Discount Lookup'!J:K,2)*G380*(1-$AC$1786)*(1+$AC$1788)),""),"")),"not NVP, by"))))))))</f>
        <v/>
      </c>
      <c r="AC380" s="830"/>
      <c r="AD380" s="375" t="str">
        <f t="shared" si="985"/>
        <v/>
      </c>
      <c r="AE380" s="833" t="str">
        <f t="shared" ref="AE380" si="1021">IF(G380&gt;0,(CONCATENATE((G380)," quantity, ",(A380)," ",B380)),"")</f>
        <v/>
      </c>
      <c r="AF380" s="833"/>
      <c r="AG380" s="833"/>
      <c r="AH380" s="91">
        <f>IF(AD380="free",0,IF(AD380="me",0,IF(G380&gt;0,(VLOOKUP(A380,'Discount Lookup'!J:K,2)*G380),0)))</f>
        <v>0</v>
      </c>
      <c r="AI380" s="92" t="str">
        <f t="shared" si="1015"/>
        <v/>
      </c>
      <c r="AJ380" s="828" t="str">
        <f t="shared" ref="AJ380" si="1022">IF(G380=0,"",IF(AD380="me","  delivery-only",IF($AD$8="me","  delivery-only",CONCATENATE(" $",ROUND(AI380/G380,2)," each"))))</f>
        <v/>
      </c>
      <c r="AK380" s="828"/>
      <c r="AL380" s="313" t="str">
        <f t="shared" si="928"/>
        <v/>
      </c>
      <c r="AM380" s="312"/>
      <c r="AN380" s="101"/>
      <c r="AO380" s="101"/>
      <c r="AP380" s="101"/>
      <c r="AQ380" s="101"/>
      <c r="AR380" s="101"/>
      <c r="AS380" s="101"/>
      <c r="AT380" s="101"/>
    </row>
    <row r="381" spans="1:46" ht="12.95" customHeight="1">
      <c r="A381" s="383">
        <v>30</v>
      </c>
      <c r="B381" s="158" t="s">
        <v>50</v>
      </c>
      <c r="C381" s="160" t="s">
        <v>266</v>
      </c>
      <c r="D381" s="161" t="s">
        <v>63</v>
      </c>
      <c r="E381" s="162">
        <v>275.95</v>
      </c>
      <c r="F381" s="713" t="s">
        <v>1306</v>
      </c>
      <c r="G381" s="357">
        <v>0</v>
      </c>
      <c r="H381" s="748" t="str">
        <f>IF(G381=0,"",IF(F381="Qty=",IF(G381=1,"plant","plants"),IF(F381&gt;0.0001,"warranty","Error")))</f>
        <v/>
      </c>
      <c r="I381" s="592">
        <f>IF(F381="Qty=",(E381*G381),((E381*(1-F381))*G381))</f>
        <v>0</v>
      </c>
      <c r="J381" s="592">
        <f>IF(H381="warranty",0,(I381*($J$1782)))</f>
        <v>0</v>
      </c>
      <c r="K381" s="834">
        <f>I381+J381</f>
        <v>0</v>
      </c>
      <c r="L381" s="834"/>
      <c r="M381" s="832" t="str">
        <f>IF($H$1784=0,"",IF(G381=0,"",IF(F381="Qty=",CONCATENATE("$",ROUND(K381*(1-$H$1784),2)," with ",($H$1784*100),"% discount"),CONCATENATE("$",ROUND(K381*(1-$H$1784),2)," with ",(($H$1784*100+F381*100)-($H$1784*100*F381)),IF(F381&gt;0,"% discounts",IF($H$1781&gt;0,"% discounts","% discount"))))))</f>
        <v/>
      </c>
      <c r="N381" s="832"/>
      <c r="O381" s="832"/>
      <c r="P381" s="832"/>
      <c r="Q381" s="832"/>
      <c r="R381" s="832"/>
      <c r="S381" s="303">
        <f>E381*G381</f>
        <v>0</v>
      </c>
      <c r="T381" s="541">
        <f>VLOOKUP(A381,'Discount Lookup'!D:E,2,FALSE)*G381</f>
        <v>0</v>
      </c>
      <c r="U381" s="83">
        <f>VLOOKUP(A381,'Discount Lookup'!G:H,2,FALSE)*G381</f>
        <v>0</v>
      </c>
      <c r="V381" s="100">
        <f>E381*($J$1782)*G381</f>
        <v>0</v>
      </c>
      <c r="W381" s="100">
        <f>I381</f>
        <v>0</v>
      </c>
      <c r="X381" s="100" t="b">
        <f>IF(G381&gt;0,IF(AD381="me","",G381))</f>
        <v>0</v>
      </c>
      <c r="Y381" s="201"/>
      <c r="Z381" s="829" t="str">
        <f>IF(G381=0,"",IF(AD381="me","",IF($AD$8="me","",IF(AD381="free","warranty",IF($AD$8="yes","NVP planting:","to NVP install:")))))</f>
        <v/>
      </c>
      <c r="AA381" s="829"/>
      <c r="AB381" s="830" t="str">
        <f>IF(G381=0,"",IF(AD381="free","re-planting",IF(AD381="me","not NVP, by",IF($AD$8="yes",(VLOOKUP(A381,'Discount Lookup'!J:K,2)*G381*(1-$AC$1786)*(1+$AC$1788)),IF(AD381="NVP",(VLOOKUP(A381,'Discount Lookup'!J:K,2)*G381*(1-$AC$1786)*(1+$AC$1788)),IF(AD381="free","re-planting",IF(G381=0,"",IF($AD$8="",IF(AD381="me","not NVP, by",IF(AD381="",IF(G381&gt;0,(VLOOKUP(A381,'Discount Lookup'!J:K,2)*G381*(1-$AC$1786)*(1+$AC$1788)),""),"")),"not NVP, by"))))))))</f>
        <v/>
      </c>
      <c r="AC381" s="830"/>
      <c r="AD381" s="375" t="str">
        <f>IF(G381=0,"",IF($AD$8="me","me",IF(H381="warranty","free",IF($AD$8="yes","NVP",""))))</f>
        <v/>
      </c>
      <c r="AE381" s="833" t="str">
        <f>IF(G381&gt;0,(CONCATENATE((G381)," quantity, ",(A381)," ",B381)),"")</f>
        <v/>
      </c>
      <c r="AF381" s="833"/>
      <c r="AG381" s="833"/>
      <c r="AH381" s="91">
        <f>IF(AD381="free",0,IF(AD381="me",0,IF(G381&gt;0,(VLOOKUP(A381,'Discount Lookup'!J:K,2)*G381),0)))</f>
        <v>0</v>
      </c>
      <c r="AI381" s="92" t="str">
        <f t="shared" si="1015"/>
        <v/>
      </c>
      <c r="AJ381" s="828" t="str">
        <f>IF(G381=0,"",IF(AD381="me","  delivery-only",IF($AD$8="me","  delivery-only",CONCATENATE(" $",ROUND(AI381/G381,2)," each"))))</f>
        <v/>
      </c>
      <c r="AK381" s="828"/>
      <c r="AL381" s="313" t="str">
        <f t="shared" si="928"/>
        <v/>
      </c>
      <c r="AM381" s="312"/>
      <c r="AN381" s="101"/>
      <c r="AO381" s="101"/>
      <c r="AP381" s="101"/>
      <c r="AQ381" s="101"/>
      <c r="AR381" s="101"/>
      <c r="AS381" s="101"/>
      <c r="AT381" s="101"/>
    </row>
    <row r="382" spans="1:46" ht="12.95" customHeight="1">
      <c r="A382" s="472"/>
      <c r="B382" s="149" t="s">
        <v>301</v>
      </c>
      <c r="C382" s="117"/>
      <c r="D382" s="118"/>
      <c r="E382" s="119"/>
      <c r="F382" s="711"/>
      <c r="G382" s="356"/>
      <c r="H382" s="745"/>
      <c r="I382" s="119"/>
      <c r="J382" s="119"/>
      <c r="K382" s="609"/>
      <c r="L382" s="609"/>
      <c r="M382" s="121"/>
      <c r="N382" s="163" t="s">
        <v>268</v>
      </c>
      <c r="O382" s="123"/>
      <c r="P382" s="124"/>
      <c r="Q382" s="841"/>
      <c r="R382" s="841"/>
      <c r="S382" s="841"/>
      <c r="T382" s="841"/>
      <c r="U382" s="841"/>
      <c r="V382" s="841"/>
      <c r="Y382" s="132"/>
      <c r="Z382" s="829" t="str">
        <f t="shared" si="953"/>
        <v/>
      </c>
      <c r="AA382" s="829"/>
      <c r="AB382" s="830" t="str">
        <f>IF(G382=0,"",IF(AD382="free","re-planting",IF(AD382="me","not NVP, by",IF($AD$8="yes",(VLOOKUP(A382,'Discount Lookup'!J:K,2)*G382*(1-$AC$1786)*(1+$AC$1788)),IF(AD382="NVP",(VLOOKUP(A382,'Discount Lookup'!J:K,2)*G382*(1-$AC$1786)*(1+$AC$1788)),IF(AD382="free","re-planting",IF(G382=0,"",IF($AD$8="",IF(AD382="me","not NVP, by",IF(AD382="",IF(G382&gt;0,(VLOOKUP(A382,'Discount Lookup'!J:K,2)*G382*(1-$AC$1786)*(1+$AC$1788)),""),"")),"not NVP, by"))))))))</f>
        <v/>
      </c>
      <c r="AC382" s="830"/>
      <c r="AD382" s="375" t="str">
        <f t="shared" si="985"/>
        <v/>
      </c>
      <c r="AE382" s="833" t="str">
        <f t="shared" si="979"/>
        <v/>
      </c>
      <c r="AF382" s="833"/>
      <c r="AG382" s="833"/>
      <c r="AH382" s="91">
        <f>IF(AD382="free",0,IF(AD382="me",0,IF(G382&gt;0,(VLOOKUP(A382,'Discount Lookup'!J:K,2)*G382),0)))</f>
        <v>0</v>
      </c>
      <c r="AI382" s="92" t="str">
        <f t="shared" si="1015"/>
        <v/>
      </c>
      <c r="AJ382" s="828" t="str">
        <f t="shared" si="954"/>
        <v/>
      </c>
      <c r="AK382" s="828"/>
      <c r="AL382" s="313" t="str">
        <f t="shared" si="928"/>
        <v/>
      </c>
      <c r="AM382" s="312"/>
      <c r="AN382" s="101"/>
      <c r="AO382" s="101"/>
      <c r="AP382" s="101"/>
      <c r="AQ382" s="101"/>
      <c r="AR382" s="101"/>
      <c r="AS382" s="101"/>
      <c r="AT382" s="101"/>
    </row>
    <row r="383" spans="1:46" ht="12.95" customHeight="1">
      <c r="A383" s="889" t="s">
        <v>303</v>
      </c>
      <c r="B383" s="890"/>
      <c r="C383" s="890"/>
      <c r="D383" s="890"/>
      <c r="E383" s="890"/>
      <c r="F383" s="890"/>
      <c r="G383" s="890"/>
      <c r="H383" s="774" t="s">
        <v>302</v>
      </c>
      <c r="I383" s="349" t="s">
        <v>280</v>
      </c>
      <c r="J383" s="157"/>
      <c r="K383" s="611" t="s">
        <v>45</v>
      </c>
      <c r="L383" s="630" t="s">
        <v>46</v>
      </c>
      <c r="M383" s="157"/>
      <c r="N383" s="158" t="s">
        <v>47</v>
      </c>
      <c r="O383" s="158"/>
      <c r="P383" s="158"/>
      <c r="Q383" s="804" t="s">
        <v>1626</v>
      </c>
      <c r="R383" s="835" t="s">
        <v>49</v>
      </c>
      <c r="S383" s="835"/>
      <c r="T383" s="835"/>
      <c r="U383" s="835"/>
      <c r="V383" s="100" t="b">
        <f>IF(G383&gt;0,IF(AD383="me","",G383))</f>
        <v>0</v>
      </c>
      <c r="W383" s="100"/>
      <c r="X383" s="100"/>
      <c r="Y383" s="201"/>
      <c r="Z383" s="829" t="str">
        <f t="shared" si="953"/>
        <v/>
      </c>
      <c r="AA383" s="829"/>
      <c r="AB383" s="830" t="str">
        <f>IF(G383=0,"",IF(AD383="free","re-planting",IF(AD383="me","not NVP, by",IF($AD$8="yes",(VLOOKUP(A383,'Discount Lookup'!J:K,2)*G383*(1-$AC$1786)*(1+$AC$1788)),IF(AD383="NVP",(VLOOKUP(A383,'Discount Lookup'!J:K,2)*G383*(1-$AC$1786)*(1+$AC$1788)),IF(AD383="free","re-planting",IF(G383=0,"",IF($AD$8="",IF(AD383="me","not NVP, by",IF(AD383="",IF(G383&gt;0,(VLOOKUP(A383,'Discount Lookup'!J:K,2)*G383*(1-$AC$1786)*(1+$AC$1788)),""),"")),"not NVP, by"))))))))</f>
        <v/>
      </c>
      <c r="AC383" s="830"/>
      <c r="AD383" s="375" t="str">
        <f t="shared" si="985"/>
        <v/>
      </c>
      <c r="AE383" s="833" t="str">
        <f t="shared" si="979"/>
        <v/>
      </c>
      <c r="AF383" s="833"/>
      <c r="AG383" s="833"/>
      <c r="AH383" s="91">
        <f>IF(AD383="free",0,IF(AD383="me",0,IF(G383&gt;0,(VLOOKUP(A383,'Discount Lookup'!J:K,2)*G383),0)))</f>
        <v>0</v>
      </c>
      <c r="AI383" s="92" t="str">
        <f t="shared" si="1015"/>
        <v/>
      </c>
      <c r="AJ383" s="828" t="str">
        <f t="shared" si="954"/>
        <v/>
      </c>
      <c r="AK383" s="828"/>
      <c r="AL383" s="313" t="str">
        <f t="shared" si="928"/>
        <v/>
      </c>
      <c r="AM383" s="312"/>
      <c r="AN383" s="101"/>
      <c r="AO383" s="101"/>
      <c r="AP383" s="101"/>
      <c r="AQ383" s="101"/>
      <c r="AR383" s="101"/>
      <c r="AS383" s="101"/>
      <c r="AT383" s="101"/>
    </row>
    <row r="384" spans="1:46" ht="12.95" customHeight="1">
      <c r="A384" s="383">
        <v>7</v>
      </c>
      <c r="B384" s="158" t="s">
        <v>50</v>
      </c>
      <c r="C384" s="160" t="s">
        <v>1315</v>
      </c>
      <c r="D384" s="161" t="s">
        <v>54</v>
      </c>
      <c r="E384" s="162">
        <v>91.95</v>
      </c>
      <c r="F384" s="713" t="s">
        <v>1306</v>
      </c>
      <c r="G384" s="357">
        <v>0</v>
      </c>
      <c r="H384" s="748" t="str">
        <f t="shared" ref="H384:H386" si="1023">IF(G384=0,"",IF(F384="Qty=",IF(G384=1,"plant","plants"),IF(F384&gt;0.0001,"warranty","Error")))</f>
        <v/>
      </c>
      <c r="I384" s="592">
        <f t="shared" ref="I384:I386" si="1024">IF(F384="Qty=",(E384*G384),((E384*(1-F384))*G384))</f>
        <v>0</v>
      </c>
      <c r="J384" s="592">
        <f>IF(H384="warranty",0,(I384*($J$1782)))</f>
        <v>0</v>
      </c>
      <c r="K384" s="834">
        <f t="shared" ref="K384:K386" si="1025">I384+J384</f>
        <v>0</v>
      </c>
      <c r="L384" s="834"/>
      <c r="M384" s="832" t="str">
        <f>IF($H$1784=0,"",IF(G384=0,"",IF(F384="Qty=",CONCATENATE("$",ROUND(K384*(1-$H$1784),2)," with ",($H$1784*100),"% discount"),CONCATENATE("$",ROUND(K384*(1-$H$1784),2)," with ",(($H$1784*100+F384*100)-($H$1784*100*F384)),IF(F384&gt;0,"% discounts",IF($H$1781&gt;0,"% discounts","% discount"))))))</f>
        <v/>
      </c>
      <c r="N384" s="832"/>
      <c r="O384" s="832"/>
      <c r="P384" s="832"/>
      <c r="Q384" s="832"/>
      <c r="R384" s="832"/>
      <c r="S384" s="303">
        <f t="shared" ref="S384:S385" si="1026">E384*G384</f>
        <v>0</v>
      </c>
      <c r="T384" s="541">
        <f>VLOOKUP(A384,'Discount Lookup'!D:E,2,FALSE)*G384</f>
        <v>0</v>
      </c>
      <c r="U384" s="83">
        <f>VLOOKUP(A384,'Discount Lookup'!G:H,2,FALSE)*G384</f>
        <v>0</v>
      </c>
      <c r="V384" s="100">
        <f>E384*($J$1782)*G384</f>
        <v>0</v>
      </c>
      <c r="W384" s="100">
        <f t="shared" ref="W384:W385" si="1027">I384</f>
        <v>0</v>
      </c>
      <c r="X384" s="100" t="b">
        <f>IF(G384&gt;0,IF(AD384="me","",G384))</f>
        <v>0</v>
      </c>
      <c r="Y384" s="201"/>
      <c r="Z384" s="829" t="str">
        <f t="shared" si="953"/>
        <v/>
      </c>
      <c r="AA384" s="829"/>
      <c r="AB384" s="830" t="str">
        <f>IF(G384=0,"",IF(AD384="free","re-planting",IF(AD384="me","not NVP, by",IF($AD$8="yes",(VLOOKUP(A384,'Discount Lookup'!J:K,2)*G384*(1-$AC$1786)*(1+$AC$1788)),IF(AD384="NVP",(VLOOKUP(A384,'Discount Lookup'!J:K,2)*G384*(1-$AC$1786)*(1+$AC$1788)),IF(AD384="free","re-planting",IF(G384=0,"",IF($AD$8="",IF(AD384="me","not NVP, by",IF(AD384="",IF(G384&gt;0,(VLOOKUP(A384,'Discount Lookup'!J:K,2)*G384*(1-$AC$1786)*(1+$AC$1788)),""),"")),"not NVP, by"))))))))</f>
        <v/>
      </c>
      <c r="AC384" s="830"/>
      <c r="AD384" s="375" t="str">
        <f t="shared" si="985"/>
        <v/>
      </c>
      <c r="AE384" s="833" t="str">
        <f t="shared" si="979"/>
        <v/>
      </c>
      <c r="AF384" s="833"/>
      <c r="AG384" s="833"/>
      <c r="AH384" s="91">
        <f>IF(AD384="free",0,IF(AD384="me",0,IF(G384&gt;0,(VLOOKUP(A384,'Discount Lookup'!J:K,2)*G384),0)))</f>
        <v>0</v>
      </c>
      <c r="AI384" s="92" t="str">
        <f t="shared" si="1015"/>
        <v/>
      </c>
      <c r="AJ384" s="828" t="str">
        <f t="shared" si="954"/>
        <v/>
      </c>
      <c r="AK384" s="828"/>
      <c r="AL384" s="313" t="str">
        <f t="shared" si="928"/>
        <v/>
      </c>
      <c r="AM384" s="312"/>
      <c r="AN384" s="101"/>
      <c r="AO384" s="101"/>
      <c r="AP384" s="101"/>
      <c r="AQ384" s="101"/>
      <c r="AR384" s="101"/>
      <c r="AS384" s="101"/>
      <c r="AT384" s="101"/>
    </row>
    <row r="385" spans="1:46" ht="12.95" customHeight="1">
      <c r="A385" s="383">
        <v>25</v>
      </c>
      <c r="B385" s="158" t="s">
        <v>50</v>
      </c>
      <c r="C385" s="160" t="s">
        <v>1284</v>
      </c>
      <c r="D385" s="161" t="s">
        <v>54</v>
      </c>
      <c r="E385" s="162">
        <v>299.95</v>
      </c>
      <c r="F385" s="713" t="s">
        <v>1306</v>
      </c>
      <c r="G385" s="357">
        <v>0</v>
      </c>
      <c r="H385" s="748" t="str">
        <f t="shared" ref="H385" si="1028">IF(G385=0,"",IF(F385="Qty=",IF(G385=1,"plant","plants"),IF(F385&gt;0.0001,"warranty","Error")))</f>
        <v/>
      </c>
      <c r="I385" s="592">
        <f t="shared" ref="I385" si="1029">IF(F385="Qty=",(E385*G385),((E385*(1-F385))*G385))</f>
        <v>0</v>
      </c>
      <c r="J385" s="592">
        <f>IF(H385="warranty",0,(I385*($J$1782)))</f>
        <v>0</v>
      </c>
      <c r="K385" s="834">
        <f t="shared" si="1025"/>
        <v>0</v>
      </c>
      <c r="L385" s="834"/>
      <c r="M385" s="832" t="str">
        <f>IF($H$1784=0,"",IF(G385=0,"",IF(F385="Qty=",CONCATENATE("$",ROUND(K385*(1-$H$1784),2)," with ",($H$1784*100),"% discount"),CONCATENATE("$",ROUND(K385*(1-$H$1784),2)," with ",(($H$1784*100+F385*100)-($H$1784*100*F385)),IF(F385&gt;0,"% discounts",IF($H$1781&gt;0,"% discounts","% discount"))))))</f>
        <v/>
      </c>
      <c r="N385" s="832"/>
      <c r="O385" s="832"/>
      <c r="P385" s="832"/>
      <c r="Q385" s="832"/>
      <c r="R385" s="832"/>
      <c r="S385" s="303">
        <f t="shared" si="1026"/>
        <v>0</v>
      </c>
      <c r="T385" s="541">
        <f>VLOOKUP(A385,'Discount Lookup'!D:E,2,FALSE)*G385</f>
        <v>0</v>
      </c>
      <c r="U385" s="83">
        <f>VLOOKUP(A385,'Discount Lookup'!G:H,2,FALSE)*G385</f>
        <v>0</v>
      </c>
      <c r="V385" s="100">
        <f>E385*($J$1782)*G385</f>
        <v>0</v>
      </c>
      <c r="W385" s="100">
        <f t="shared" si="1027"/>
        <v>0</v>
      </c>
      <c r="X385" s="100" t="b">
        <f>IF(G385&gt;0,IF(AD385="me","",G385))</f>
        <v>0</v>
      </c>
      <c r="Y385" s="201"/>
      <c r="Z385" s="829" t="str">
        <f t="shared" ref="Z385" si="1030">IF(G385=0,"",IF(AD385="me","",IF($AD$8="me","",IF(AD385="free","warranty",IF($AD$8="yes","NVP planting:","to NVP install:")))))</f>
        <v/>
      </c>
      <c r="AA385" s="829"/>
      <c r="AB385" s="830" t="str">
        <f>IF(G385=0,"",IF(AD385="free","re-planting",IF(AD385="me","not NVP, by",IF($AD$8="yes",(VLOOKUP(A385,'Discount Lookup'!J:K,2)*G385*(1-$AC$1786)*(1+$AC$1788)),IF(AD385="NVP",(VLOOKUP(A385,'Discount Lookup'!J:K,2)*G385*(1-$AC$1786)*(1+$AC$1788)),IF(AD385="free","re-planting",IF(G385=0,"",IF($AD$8="",IF(AD385="me","not NVP, by",IF(AD385="",IF(G385&gt;0,(VLOOKUP(A385,'Discount Lookup'!J:K,2)*G385*(1-$AC$1786)*(1+$AC$1788)),""),"")),"not NVP, by"))))))))</f>
        <v/>
      </c>
      <c r="AC385" s="830"/>
      <c r="AD385" s="375" t="str">
        <f t="shared" si="985"/>
        <v/>
      </c>
      <c r="AE385" s="833" t="str">
        <f t="shared" ref="AE385" si="1031">IF(G385&gt;0,(CONCATENATE((G385)," quantity, ",(A385)," ",B385)),"")</f>
        <v/>
      </c>
      <c r="AF385" s="833"/>
      <c r="AG385" s="833"/>
      <c r="AH385" s="91">
        <f>IF(AD385="free",0,IF(AD385="me",0,IF(G385&gt;0,(VLOOKUP(A385,'Discount Lookup'!J:K,2)*G385),0)))</f>
        <v>0</v>
      </c>
      <c r="AI385" s="92" t="str">
        <f t="shared" si="1015"/>
        <v/>
      </c>
      <c r="AJ385" s="828" t="str">
        <f t="shared" ref="AJ385" si="1032">IF(G385=0,"",IF(AD385="me","  delivery-only",IF($AD$8="me","  delivery-only",CONCATENATE(" $",ROUND(AI385/G385,2)," each"))))</f>
        <v/>
      </c>
      <c r="AK385" s="828"/>
      <c r="AL385" s="313" t="str">
        <f t="shared" si="928"/>
        <v/>
      </c>
      <c r="AM385" s="312"/>
      <c r="AN385" s="101"/>
      <c r="AO385" s="101"/>
      <c r="AP385" s="101"/>
      <c r="AQ385" s="101"/>
      <c r="AR385" s="101"/>
      <c r="AS385" s="101"/>
      <c r="AT385" s="101"/>
    </row>
    <row r="386" spans="1:46" ht="12.95" customHeight="1">
      <c r="A386" s="383">
        <v>25</v>
      </c>
      <c r="B386" s="158" t="s">
        <v>50</v>
      </c>
      <c r="C386" s="160" t="s">
        <v>265</v>
      </c>
      <c r="D386" s="161" t="s">
        <v>90</v>
      </c>
      <c r="E386" s="162">
        <v>289.95</v>
      </c>
      <c r="F386" s="713" t="s">
        <v>1306</v>
      </c>
      <c r="G386" s="357">
        <v>0</v>
      </c>
      <c r="H386" s="748" t="str">
        <f t="shared" si="1023"/>
        <v/>
      </c>
      <c r="I386" s="592">
        <f t="shared" si="1024"/>
        <v>0</v>
      </c>
      <c r="J386" s="592">
        <f>IF(H386="warranty",0,(I386*($J$1782)))</f>
        <v>0</v>
      </c>
      <c r="K386" s="834">
        <f t="shared" si="1025"/>
        <v>0</v>
      </c>
      <c r="L386" s="834"/>
      <c r="M386" s="832" t="str">
        <f>IF($H$1784=0,"",IF(G386=0,"",IF(F386="Qty=",CONCATENATE("$",ROUND(K386*(1-$H$1784),2)," with ",($H$1784*100),"% discount"),CONCATENATE("$",ROUND(K386*(1-$H$1784),2)," with ",(($H$1784*100+F386*100)-($H$1784*100*F386)),IF(F386&gt;0,"% discounts",IF($H$1781&gt;0,"% discounts","% discount"))))))</f>
        <v/>
      </c>
      <c r="N386" s="832"/>
      <c r="O386" s="832"/>
      <c r="P386" s="832"/>
      <c r="Q386" s="832"/>
      <c r="R386" s="832"/>
      <c r="S386" s="303">
        <f t="shared" ref="S386" si="1033">E386*G386</f>
        <v>0</v>
      </c>
      <c r="T386" s="541">
        <f>VLOOKUP(A386,'Discount Lookup'!D:E,2,FALSE)*G386</f>
        <v>0</v>
      </c>
      <c r="U386" s="83">
        <f>VLOOKUP(A386,'Discount Lookup'!G:H,2,FALSE)*G386</f>
        <v>0</v>
      </c>
      <c r="V386" s="100">
        <f>E386*($J$1782)*G386</f>
        <v>0</v>
      </c>
      <c r="W386" s="100">
        <f t="shared" ref="W386" si="1034">I386</f>
        <v>0</v>
      </c>
      <c r="X386" s="100" t="b">
        <f>IF(G386&gt;0,IF(AD386="me","",G386))</f>
        <v>0</v>
      </c>
      <c r="Y386" s="201"/>
      <c r="Z386" s="829" t="str">
        <f t="shared" si="953"/>
        <v/>
      </c>
      <c r="AA386" s="829"/>
      <c r="AB386" s="830" t="str">
        <f>IF(G386=0,"",IF(AD386="free","re-planting",IF(AD386="me","not NVP, by",IF($AD$8="yes",(VLOOKUP(A386,'Discount Lookup'!J:K,2)*G386*(1-$AC$1786)*(1+$AC$1788)),IF(AD386="NVP",(VLOOKUP(A386,'Discount Lookup'!J:K,2)*G386*(1-$AC$1786)*(1+$AC$1788)),IF(AD386="free","re-planting",IF(G386=0,"",IF($AD$8="",IF(AD386="me","not NVP, by",IF(AD386="",IF(G386&gt;0,(VLOOKUP(A386,'Discount Lookup'!J:K,2)*G386*(1-$AC$1786)*(1+$AC$1788)),""),"")),"not NVP, by"))))))))</f>
        <v/>
      </c>
      <c r="AC386" s="830"/>
      <c r="AD386" s="375" t="str">
        <f t="shared" si="985"/>
        <v/>
      </c>
      <c r="AE386" s="833" t="str">
        <f t="shared" si="979"/>
        <v/>
      </c>
      <c r="AF386" s="833"/>
      <c r="AG386" s="833"/>
      <c r="AH386" s="91">
        <f>IF(AD386="free",0,IF(AD386="me",0,IF(G386&gt;0,(VLOOKUP(A386,'Discount Lookup'!J:K,2)*G386),0)))</f>
        <v>0</v>
      </c>
      <c r="AI386" s="92" t="str">
        <f t="shared" si="1015"/>
        <v/>
      </c>
      <c r="AJ386" s="828" t="str">
        <f t="shared" si="954"/>
        <v/>
      </c>
      <c r="AK386" s="828"/>
      <c r="AL386" s="313" t="str">
        <f t="shared" si="928"/>
        <v/>
      </c>
      <c r="AM386" s="312"/>
      <c r="AN386" s="101"/>
      <c r="AO386" s="101"/>
      <c r="AP386" s="101"/>
      <c r="AQ386" s="101"/>
      <c r="AR386" s="101"/>
      <c r="AS386" s="101"/>
      <c r="AT386" s="101"/>
    </row>
    <row r="387" spans="1:46" ht="12.95" customHeight="1">
      <c r="A387" s="475"/>
      <c r="B387" s="173" t="s">
        <v>304</v>
      </c>
      <c r="G387" s="361"/>
      <c r="H387" s="746"/>
      <c r="M387" s="121"/>
      <c r="N387" s="122" t="s">
        <v>277</v>
      </c>
      <c r="O387" s="123"/>
      <c r="P387" s="124">
        <f>VLOOKUP(A387,'Discount Lookup'!G:H,2,FALSE)*G387</f>
        <v>0</v>
      </c>
      <c r="Q387" s="124"/>
      <c r="R387" s="83">
        <f>IF(F387=0,E387*($J$1782)*G387,0)</f>
        <v>0</v>
      </c>
      <c r="S387" s="82">
        <f>E387*G387</f>
        <v>0</v>
      </c>
      <c r="T387" s="540"/>
      <c r="U387" s="83"/>
      <c r="V387" s="100" t="b">
        <f>IF(G387&gt;0,IF(AD387="me","",G387))</f>
        <v>0</v>
      </c>
      <c r="W387" s="100"/>
      <c r="X387" s="100"/>
      <c r="Y387" s="201"/>
      <c r="Z387" s="829" t="str">
        <f t="shared" si="953"/>
        <v/>
      </c>
      <c r="AA387" s="829"/>
      <c r="AB387" s="830" t="str">
        <f>IF(G387=0,"",IF(AD387="free","re-planting",IF(AD387="me","not NVP, by",IF($AD$8="yes",(VLOOKUP(A387,'Discount Lookup'!J:K,2)*G387*(1-$AC$1786)*(1+$AC$1788)),IF(AD387="NVP",(VLOOKUP(A387,'Discount Lookup'!J:K,2)*G387*(1-$AC$1786)*(1+$AC$1788)),IF(AD387="free","re-planting",IF(G387=0,"",IF($AD$8="",IF(AD387="me","not NVP, by",IF(AD387="",IF(G387&gt;0,(VLOOKUP(A387,'Discount Lookup'!J:K,2)*G387*(1-$AC$1786)*(1+$AC$1788)),""),"")),"not NVP, by"))))))))</f>
        <v/>
      </c>
      <c r="AC387" s="830"/>
      <c r="AD387" s="375" t="str">
        <f t="shared" si="985"/>
        <v/>
      </c>
      <c r="AE387" s="833" t="str">
        <f t="shared" si="979"/>
        <v/>
      </c>
      <c r="AF387" s="833"/>
      <c r="AG387" s="833"/>
      <c r="AH387" s="91">
        <f>IF(AD387="free",0,IF(AD387="me",0,IF(G387&gt;0,(VLOOKUP(A387,'Discount Lookup'!J:K,2)*G387),0)))</f>
        <v>0</v>
      </c>
      <c r="AI387" s="92" t="str">
        <f t="shared" si="1015"/>
        <v/>
      </c>
      <c r="AJ387" s="828" t="str">
        <f t="shared" si="954"/>
        <v/>
      </c>
      <c r="AK387" s="828"/>
      <c r="AL387" s="313" t="str">
        <f t="shared" si="928"/>
        <v/>
      </c>
      <c r="AM387" s="312"/>
      <c r="AN387" s="101"/>
      <c r="AO387" s="101"/>
      <c r="AP387" s="101"/>
      <c r="AQ387" s="101"/>
      <c r="AR387" s="101"/>
      <c r="AS387" s="101"/>
      <c r="AT387" s="101"/>
    </row>
    <row r="388" spans="1:46" ht="12.95" customHeight="1">
      <c r="A388" s="889" t="s">
        <v>305</v>
      </c>
      <c r="B388" s="890"/>
      <c r="C388" s="890"/>
      <c r="D388" s="890"/>
      <c r="E388" s="890"/>
      <c r="F388" s="890"/>
      <c r="G388" s="890"/>
      <c r="H388" s="774" t="s">
        <v>302</v>
      </c>
      <c r="I388" s="349" t="s">
        <v>280</v>
      </c>
      <c r="J388" s="157"/>
      <c r="K388" s="611" t="s">
        <v>45</v>
      </c>
      <c r="L388" s="630" t="s">
        <v>46</v>
      </c>
      <c r="M388" s="157"/>
      <c r="N388" s="175" t="s">
        <v>157</v>
      </c>
      <c r="O388" s="176"/>
      <c r="P388" s="176"/>
      <c r="Q388" s="176"/>
      <c r="R388" s="157"/>
      <c r="S388" s="170"/>
      <c r="T388" s="547"/>
      <c r="U388" s="171"/>
      <c r="V388" s="100" t="b">
        <f>IF(G388&gt;0,IF(AD388="me","",G388))</f>
        <v>0</v>
      </c>
      <c r="W388" s="100"/>
      <c r="X388" s="100"/>
      <c r="Y388" s="201"/>
      <c r="Z388" s="829" t="str">
        <f t="shared" si="953"/>
        <v/>
      </c>
      <c r="AA388" s="829"/>
      <c r="AB388" s="830" t="str">
        <f>IF(G388=0,"",IF(AD388="free","re-planting",IF(AD388="me","not NVP, by",IF($AD$8="yes",(VLOOKUP(A388,'Discount Lookup'!J:K,2)*G388*(1-$AC$1786)*(1+$AC$1788)),IF(AD388="NVP",(VLOOKUP(A388,'Discount Lookup'!J:K,2)*G388*(1-$AC$1786)*(1+$AC$1788)),IF(AD388="free","re-planting",IF(G388=0,"",IF($AD$8="",IF(AD388="me","not NVP, by",IF(AD388="",IF(G388&gt;0,(VLOOKUP(A388,'Discount Lookup'!J:K,2)*G388*(1-$AC$1786)*(1+$AC$1788)),""),"")),"not NVP, by"))))))))</f>
        <v/>
      </c>
      <c r="AC388" s="830"/>
      <c r="AD388" s="375" t="str">
        <f t="shared" si="985"/>
        <v/>
      </c>
      <c r="AE388" s="833" t="str">
        <f t="shared" si="979"/>
        <v/>
      </c>
      <c r="AF388" s="833"/>
      <c r="AG388" s="833"/>
      <c r="AH388" s="91">
        <f>IF(AD388="free",0,IF(AD388="me",0,IF(G388&gt;0,(VLOOKUP(A388,'Discount Lookup'!J:K,2)*G388),0)))</f>
        <v>0</v>
      </c>
      <c r="AI388" s="92" t="str">
        <f t="shared" si="1015"/>
        <v/>
      </c>
      <c r="AJ388" s="828" t="str">
        <f t="shared" si="954"/>
        <v/>
      </c>
      <c r="AK388" s="828"/>
      <c r="AL388" s="313" t="str">
        <f t="shared" si="928"/>
        <v/>
      </c>
      <c r="AM388" s="312"/>
      <c r="AN388" s="101"/>
      <c r="AO388" s="101"/>
      <c r="AP388" s="101"/>
      <c r="AQ388" s="101"/>
      <c r="AR388" s="101"/>
      <c r="AS388" s="101"/>
      <c r="AT388" s="101"/>
    </row>
    <row r="389" spans="1:46" ht="12.95" customHeight="1">
      <c r="A389" s="383">
        <v>7</v>
      </c>
      <c r="B389" s="158" t="s">
        <v>50</v>
      </c>
      <c r="C389" s="160" t="s">
        <v>91</v>
      </c>
      <c r="D389" s="161" t="s">
        <v>54</v>
      </c>
      <c r="E389" s="162">
        <v>91.95</v>
      </c>
      <c r="F389" s="713" t="s">
        <v>1306</v>
      </c>
      <c r="G389" s="357">
        <v>0</v>
      </c>
      <c r="H389" s="748" t="str">
        <f t="shared" ref="H389" si="1035">IF(G389=0,"",IF(F389="Qty=",IF(G389=1,"plant","plants"),IF(F389&gt;0.0001,"warranty","Error")))</f>
        <v/>
      </c>
      <c r="I389" s="592">
        <f t="shared" ref="I389" si="1036">IF(F389="Qty=",(E389*G389),((E389*(1-F389))*G389))</f>
        <v>0</v>
      </c>
      <c r="J389" s="592">
        <f>IF(H389="warranty",0,(I389*($J$1782)))</f>
        <v>0</v>
      </c>
      <c r="K389" s="834">
        <f t="shared" ref="K389:K390" si="1037">I389+J389</f>
        <v>0</v>
      </c>
      <c r="L389" s="834"/>
      <c r="M389" s="832" t="str">
        <f>IF($H$1784=0,"",IF(G389=0,"",IF(F389="Qty=",CONCATENATE("$",ROUND(K389*(1-$H$1784),2)," with ",($H$1784*100),"% discount"),CONCATENATE("$",ROUND(K389*(1-$H$1784),2)," with ",(($H$1784*100+F389*100)-($H$1784*100*F389)),IF(F389&gt;0,"% discounts",IF($H$1781&gt;0,"% discounts","% discount"))))))</f>
        <v/>
      </c>
      <c r="N389" s="832"/>
      <c r="O389" s="832"/>
      <c r="P389" s="832"/>
      <c r="Q389" s="832"/>
      <c r="R389" s="832"/>
      <c r="S389" s="303">
        <f t="shared" ref="S389" si="1038">E389*G389</f>
        <v>0</v>
      </c>
      <c r="T389" s="541">
        <f>VLOOKUP(A389,'Discount Lookup'!D:E,2,FALSE)*G389</f>
        <v>0</v>
      </c>
      <c r="U389" s="83">
        <f>VLOOKUP(A389,'Discount Lookup'!G:H,2,FALSE)*G389</f>
        <v>0</v>
      </c>
      <c r="V389" s="100">
        <f>E389*($J$1782)*G389</f>
        <v>0</v>
      </c>
      <c r="W389" s="100">
        <f t="shared" ref="W389" si="1039">I389</f>
        <v>0</v>
      </c>
      <c r="X389" s="100" t="b">
        <f>IF(G389&gt;0,IF(AD389="me","",G389))</f>
        <v>0</v>
      </c>
      <c r="Y389" s="201"/>
      <c r="Z389" s="829" t="str">
        <f t="shared" ref="Z389" si="1040">IF(G389=0,"",IF(AD389="me","",IF($AD$8="me","",IF(AD389="free","warranty",IF($AD$8="yes","NVP planting:","to NVP install:")))))</f>
        <v/>
      </c>
      <c r="AA389" s="829"/>
      <c r="AB389" s="830" t="str">
        <f>IF(G389=0,"",IF(AD389="free","re-planting",IF(AD389="me","not NVP, by",IF($AD$8="yes",(VLOOKUP(A389,'Discount Lookup'!J:K,2)*G389*(1-$AC$1786)*(1+$AC$1788)),IF(AD389="NVP",(VLOOKUP(A389,'Discount Lookup'!J:K,2)*G389*(1-$AC$1786)*(1+$AC$1788)),IF(AD389="free","re-planting",IF(G389=0,"",IF($AD$8="",IF(AD389="me","not NVP, by",IF(AD389="",IF(G389&gt;0,(VLOOKUP(A389,'Discount Lookup'!J:K,2)*G389*(1-$AC$1786)*(1+$AC$1788)),""),"")),"not NVP, by"))))))))</f>
        <v/>
      </c>
      <c r="AC389" s="830"/>
      <c r="AD389" s="375" t="str">
        <f t="shared" si="985"/>
        <v/>
      </c>
      <c r="AE389" s="833" t="str">
        <f t="shared" ref="AE389" si="1041">IF(G389&gt;0,(CONCATENATE((G389)," quantity, ",(A389)," ",B389)),"")</f>
        <v/>
      </c>
      <c r="AF389" s="833"/>
      <c r="AG389" s="833"/>
      <c r="AH389" s="91">
        <f>IF(AD389="free",0,IF(AD389="me",0,IF(G389&gt;0,(VLOOKUP(A389,'Discount Lookup'!J:K,2)*G389),0)))</f>
        <v>0</v>
      </c>
      <c r="AI389" s="92" t="str">
        <f t="shared" si="1015"/>
        <v/>
      </c>
      <c r="AJ389" s="828" t="str">
        <f t="shared" ref="AJ389" si="1042">IF(G389=0,"",IF(AD389="me","  delivery-only",IF($AD$8="me","  delivery-only",CONCATENATE(" $",ROUND(AI389/G389,2)," each"))))</f>
        <v/>
      </c>
      <c r="AK389" s="828"/>
      <c r="AL389" s="313" t="str">
        <f t="shared" si="928"/>
        <v/>
      </c>
      <c r="AM389" s="312"/>
      <c r="AN389" s="101"/>
      <c r="AO389" s="101"/>
      <c r="AP389" s="101"/>
      <c r="AQ389" s="101"/>
      <c r="AR389" s="101"/>
      <c r="AS389" s="101"/>
      <c r="AT389" s="101"/>
    </row>
    <row r="390" spans="1:46" ht="12.95" customHeight="1">
      <c r="A390" s="383">
        <v>15</v>
      </c>
      <c r="B390" s="158" t="s">
        <v>50</v>
      </c>
      <c r="C390" s="160" t="s">
        <v>292</v>
      </c>
      <c r="D390" s="161" t="s">
        <v>54</v>
      </c>
      <c r="E390" s="162">
        <v>169.95</v>
      </c>
      <c r="F390" s="713" t="s">
        <v>1306</v>
      </c>
      <c r="G390" s="357">
        <v>0</v>
      </c>
      <c r="H390" s="748" t="str">
        <f t="shared" ref="H390" si="1043">IF(G390=0,"",IF(F390="Qty=",IF(G390=1,"plant","plants"),IF(F390&gt;0.0001,"warranty","Error")))</f>
        <v/>
      </c>
      <c r="I390" s="592">
        <f t="shared" ref="I390" si="1044">IF(F390="Qty=",(E390*G390),((E390*(1-F390))*G390))</f>
        <v>0</v>
      </c>
      <c r="J390" s="592">
        <f>IF(H390="warranty",0,(I390*($J$1782)))</f>
        <v>0</v>
      </c>
      <c r="K390" s="834">
        <f t="shared" si="1037"/>
        <v>0</v>
      </c>
      <c r="L390" s="834"/>
      <c r="M390" s="832" t="str">
        <f>IF($H$1784=0,"",IF(G390=0,"",IF(F390="Qty=",CONCATENATE("$",ROUND(K390*(1-$H$1784),2)," with ",($H$1784*100),"% discount"),CONCATENATE("$",ROUND(K390*(1-$H$1784),2)," with ",(($H$1784*100+F390*100)-($H$1784*100*F390)),IF(F390&gt;0,"% discounts",IF($H$1781&gt;0,"% discounts","% discount"))))))</f>
        <v/>
      </c>
      <c r="N390" s="832"/>
      <c r="O390" s="832"/>
      <c r="P390" s="832"/>
      <c r="Q390" s="832"/>
      <c r="R390" s="832"/>
      <c r="S390" s="303">
        <f t="shared" ref="S390" si="1045">E390*G390</f>
        <v>0</v>
      </c>
      <c r="T390" s="541">
        <f>VLOOKUP(A390,'Discount Lookup'!D:E,2,FALSE)*G390</f>
        <v>0</v>
      </c>
      <c r="U390" s="83">
        <f>VLOOKUP(A390,'Discount Lookup'!G:H,2,FALSE)*G390</f>
        <v>0</v>
      </c>
      <c r="V390" s="100">
        <f>E390*($J$1782)*G390</f>
        <v>0</v>
      </c>
      <c r="W390" s="100">
        <f t="shared" ref="W390" si="1046">I390</f>
        <v>0</v>
      </c>
      <c r="X390" s="100" t="b">
        <f>IF(G390&gt;0,IF(AD390="me","",G390))</f>
        <v>0</v>
      </c>
      <c r="Y390" s="201"/>
      <c r="Z390" s="829" t="str">
        <f t="shared" si="953"/>
        <v/>
      </c>
      <c r="AA390" s="829"/>
      <c r="AB390" s="830" t="str">
        <f>IF(G390=0,"",IF(AD390="free","re-planting",IF(AD390="me","not NVP, by",IF($AD$8="yes",(VLOOKUP(A390,'Discount Lookup'!J:K,2)*G390*(1-$AC$1786)*(1+$AC$1788)),IF(AD390="NVP",(VLOOKUP(A390,'Discount Lookup'!J:K,2)*G390*(1-$AC$1786)*(1+$AC$1788)),IF(AD390="free","re-planting",IF(G390=0,"",IF($AD$8="",IF(AD390="me","not NVP, by",IF(AD390="",IF(G390&gt;0,(VLOOKUP(A390,'Discount Lookup'!J:K,2)*G390*(1-$AC$1786)*(1+$AC$1788)),""),"")),"not NVP, by"))))))))</f>
        <v/>
      </c>
      <c r="AC390" s="830"/>
      <c r="AD390" s="375" t="str">
        <f t="shared" si="985"/>
        <v/>
      </c>
      <c r="AE390" s="833" t="str">
        <f t="shared" si="979"/>
        <v/>
      </c>
      <c r="AF390" s="833"/>
      <c r="AG390" s="833"/>
      <c r="AH390" s="91">
        <f>IF(AD390="free",0,IF(AD390="me",0,IF(G390&gt;0,(VLOOKUP(A390,'Discount Lookup'!J:K,2)*G390),0)))</f>
        <v>0</v>
      </c>
      <c r="AI390" s="92" t="str">
        <f t="shared" si="1015"/>
        <v/>
      </c>
      <c r="AJ390" s="828" t="str">
        <f t="shared" si="954"/>
        <v/>
      </c>
      <c r="AK390" s="828"/>
      <c r="AL390" s="313" t="str">
        <f t="shared" si="928"/>
        <v/>
      </c>
      <c r="AM390" s="312"/>
      <c r="AN390" s="101"/>
      <c r="AO390" s="101"/>
      <c r="AP390" s="101"/>
      <c r="AQ390" s="101"/>
      <c r="AR390" s="101"/>
      <c r="AS390" s="101"/>
      <c r="AT390" s="101"/>
    </row>
    <row r="391" spans="1:46" ht="12.95" customHeight="1">
      <c r="A391" s="475"/>
      <c r="B391" s="173" t="s">
        <v>306</v>
      </c>
      <c r="G391" s="361"/>
      <c r="H391" s="746"/>
      <c r="M391" s="48"/>
      <c r="N391" s="163" t="s">
        <v>268</v>
      </c>
      <c r="O391" s="123"/>
      <c r="P391" s="124"/>
      <c r="Q391" s="841" t="s">
        <v>125</v>
      </c>
      <c r="R391" s="841"/>
      <c r="S391" s="841"/>
      <c r="T391" s="841"/>
      <c r="U391" s="841"/>
      <c r="V391" s="841"/>
      <c r="Y391" s="132"/>
      <c r="Z391" s="829" t="str">
        <f t="shared" si="953"/>
        <v/>
      </c>
      <c r="AA391" s="829"/>
      <c r="AB391" s="830" t="str">
        <f>IF(G391=0,"",IF(AD391="free","re-planting",IF(AD391="me","not NVP, by",IF($AD$8="yes",(VLOOKUP(A391,'Discount Lookup'!J:K,2)*G391*(1-$AC$1786)*(1+$AC$1788)),IF(AD391="NVP",(VLOOKUP(A391,'Discount Lookup'!J:K,2)*G391*(1-$AC$1786)*(1+$AC$1788)),IF(AD391="free","re-planting",IF(G391=0,"",IF($AD$8="",IF(AD391="me","not NVP, by",IF(AD391="",IF(G391&gt;0,(VLOOKUP(A391,'Discount Lookup'!J:K,2)*G391*(1-$AC$1786)*(1+$AC$1788)),""),"")),"not NVP, by"))))))))</f>
        <v/>
      </c>
      <c r="AC391" s="830"/>
      <c r="AD391" s="375" t="str">
        <f t="shared" si="985"/>
        <v/>
      </c>
      <c r="AE391" s="833" t="str">
        <f t="shared" si="979"/>
        <v/>
      </c>
      <c r="AF391" s="833"/>
      <c r="AG391" s="833"/>
      <c r="AH391" s="91">
        <f>IF(AD391="free",0,IF(AD391="me",0,IF(G391&gt;0,(VLOOKUP(A391,'Discount Lookup'!J:K,2)*G391),0)))</f>
        <v>0</v>
      </c>
      <c r="AI391" s="92" t="str">
        <f t="shared" si="1015"/>
        <v/>
      </c>
      <c r="AJ391" s="828" t="str">
        <f t="shared" si="954"/>
        <v/>
      </c>
      <c r="AK391" s="828"/>
      <c r="AL391" s="313" t="str">
        <f t="shared" si="928"/>
        <v/>
      </c>
      <c r="AM391" s="312"/>
      <c r="AN391" s="101"/>
      <c r="AO391" s="101"/>
      <c r="AP391" s="101"/>
      <c r="AQ391" s="101"/>
      <c r="AR391" s="101"/>
      <c r="AS391" s="101"/>
      <c r="AT391" s="101"/>
    </row>
    <row r="392" spans="1:46" ht="12.95" customHeight="1">
      <c r="A392" s="889" t="s">
        <v>1548</v>
      </c>
      <c r="B392" s="890"/>
      <c r="C392" s="890"/>
      <c r="D392" s="890"/>
      <c r="E392" s="890"/>
      <c r="F392" s="890"/>
      <c r="G392" s="890"/>
      <c r="H392" s="774" t="s">
        <v>78</v>
      </c>
      <c r="I392" s="349" t="s">
        <v>280</v>
      </c>
      <c r="J392" s="157"/>
      <c r="K392" s="611" t="s">
        <v>45</v>
      </c>
      <c r="L392" s="630" t="s">
        <v>46</v>
      </c>
      <c r="M392" s="157"/>
      <c r="N392" s="158" t="s">
        <v>69</v>
      </c>
      <c r="O392" s="158"/>
      <c r="P392" s="158"/>
      <c r="Q392" s="158"/>
      <c r="R392" s="835" t="s">
        <v>49</v>
      </c>
      <c r="S392" s="835"/>
      <c r="T392" s="835"/>
      <c r="U392" s="835"/>
      <c r="V392" s="100" t="b">
        <f>IF(G392&gt;0,IF(AD392="me","",G392))</f>
        <v>0</v>
      </c>
      <c r="W392" s="100"/>
      <c r="X392" s="100"/>
      <c r="Y392" s="201"/>
      <c r="Z392" s="829" t="str">
        <f t="shared" si="953"/>
        <v/>
      </c>
      <c r="AA392" s="829"/>
      <c r="AB392" s="830" t="str">
        <f>IF(G392=0,"",IF(AD392="free","re-planting",IF(AD392="me","not NVP, by",IF($AD$8="yes",(VLOOKUP(A392,'Discount Lookup'!J:K,2)*G392*(1-$AC$1786)*(1+$AC$1788)),IF(AD392="NVP",(VLOOKUP(A392,'Discount Lookup'!J:K,2)*G392*(1-$AC$1786)*(1+$AC$1788)),IF(AD392="free","re-planting",IF(G392=0,"",IF($AD$8="",IF(AD392="me","not NVP, by",IF(AD392="",IF(G392&gt;0,(VLOOKUP(A392,'Discount Lookup'!J:K,2)*G392*(1-$AC$1786)*(1+$AC$1788)),""),"")),"not NVP, by"))))))))</f>
        <v/>
      </c>
      <c r="AC392" s="830"/>
      <c r="AD392" s="375" t="str">
        <f t="shared" si="985"/>
        <v/>
      </c>
      <c r="AE392" s="833" t="str">
        <f t="shared" si="979"/>
        <v/>
      </c>
      <c r="AF392" s="833"/>
      <c r="AG392" s="833"/>
      <c r="AH392" s="91">
        <f>IF(AD392="free",0,IF(AD392="me",0,IF(G392&gt;0,(VLOOKUP(A392,'Discount Lookup'!J:K,2)*G392),0)))</f>
        <v>0</v>
      </c>
      <c r="AI392" s="92" t="str">
        <f t="shared" si="1015"/>
        <v/>
      </c>
      <c r="AJ392" s="828" t="str">
        <f t="shared" si="954"/>
        <v/>
      </c>
      <c r="AK392" s="828"/>
      <c r="AL392" s="313" t="str">
        <f t="shared" si="928"/>
        <v/>
      </c>
      <c r="AM392" s="312"/>
      <c r="AN392" s="101"/>
      <c r="AO392" s="101"/>
      <c r="AP392" s="101"/>
      <c r="AQ392" s="101"/>
      <c r="AR392" s="101"/>
      <c r="AS392" s="101"/>
      <c r="AT392" s="101"/>
    </row>
    <row r="393" spans="1:46" ht="12.95" customHeight="1">
      <c r="A393" s="383">
        <v>7</v>
      </c>
      <c r="B393" s="158" t="s">
        <v>50</v>
      </c>
      <c r="C393" s="160" t="s">
        <v>211</v>
      </c>
      <c r="D393" s="161" t="s">
        <v>87</v>
      </c>
      <c r="E393" s="162">
        <v>133.94999999999999</v>
      </c>
      <c r="F393" s="713" t="s">
        <v>1306</v>
      </c>
      <c r="G393" s="357">
        <v>0</v>
      </c>
      <c r="H393" s="748" t="str">
        <f t="shared" ref="H393" si="1047">IF(G393=0,"",IF(F393="Qty=",IF(G393=1,"plant","plants"),IF(F393&gt;0.0001,"warranty","Error")))</f>
        <v/>
      </c>
      <c r="I393" s="592">
        <f t="shared" ref="I393" si="1048">IF(F393="Qty=",(E393*G393),((E393*(1-F393))*G393))</f>
        <v>0</v>
      </c>
      <c r="J393" s="592">
        <f t="shared" ref="J393:J399" si="1049">IF(H393="warranty",0,(I393*($J$1782)))</f>
        <v>0</v>
      </c>
      <c r="K393" s="834">
        <f t="shared" ref="K393:K399" si="1050">I393+J393</f>
        <v>0</v>
      </c>
      <c r="L393" s="834"/>
      <c r="M393" s="832" t="str">
        <f t="shared" ref="M393:M399" si="1051">IF($H$1784=0,"",IF(G393=0,"",IF(F393="Qty=",CONCATENATE("$",ROUND(K393*(1-$H$1784),2)," with ",($H$1784*100),"% discount"),CONCATENATE("$",ROUND(K393*(1-$H$1784),2)," with ",(($H$1784*100+F393*100)-($H$1784*100*F393)),IF(F393&gt;0,"% discounts",IF($H$1781&gt;0,"% discounts","% discount"))))))</f>
        <v/>
      </c>
      <c r="N393" s="832"/>
      <c r="O393" s="832"/>
      <c r="P393" s="832"/>
      <c r="Q393" s="832"/>
      <c r="R393" s="832"/>
      <c r="S393" s="303">
        <f t="shared" ref="S393" si="1052">E393*G393</f>
        <v>0</v>
      </c>
      <c r="T393" s="541">
        <f>VLOOKUP(A393,'Discount Lookup'!D:E,2,FALSE)*G393</f>
        <v>0</v>
      </c>
      <c r="U393" s="83">
        <f>VLOOKUP(A393,'Discount Lookup'!G:H,2,FALSE)*G393</f>
        <v>0</v>
      </c>
      <c r="V393" s="100">
        <f t="shared" ref="V393:V399" si="1053">E393*($J$1782)*G393</f>
        <v>0</v>
      </c>
      <c r="W393" s="100">
        <f t="shared" ref="W393" si="1054">I393</f>
        <v>0</v>
      </c>
      <c r="X393" s="100" t="b">
        <f t="shared" ref="X393:X399" si="1055">IF(G393&gt;0,IF(AD393="me","",G393))</f>
        <v>0</v>
      </c>
      <c r="Y393" s="201"/>
      <c r="Z393" s="829" t="str">
        <f t="shared" ref="Z393" si="1056">IF(G393=0,"",IF(AD393="me","",IF($AD$8="me","",IF(AD393="free","warranty",IF($AD$8="yes","NVP planting:","to NVP install:")))))</f>
        <v/>
      </c>
      <c r="AA393" s="829"/>
      <c r="AB393" s="830" t="str">
        <f>IF(G393=0,"",IF(AD393="free","re-planting",IF(AD393="me","not NVP, by",IF($AD$8="yes",(VLOOKUP(A393,'Discount Lookup'!J:K,2)*G393*(1-$AC$1786)*(1+$AC$1788)),IF(AD393="NVP",(VLOOKUP(A393,'Discount Lookup'!J:K,2)*G393*(1-$AC$1786)*(1+$AC$1788)),IF(AD393="free","re-planting",IF(G393=0,"",IF($AD$8="",IF(AD393="me","not NVP, by",IF(AD393="",IF(G393&gt;0,(VLOOKUP(A393,'Discount Lookup'!J:K,2)*G393*(1-$AC$1786)*(1+$AC$1788)),""),"")),"not NVP, by"))))))))</f>
        <v/>
      </c>
      <c r="AC393" s="830"/>
      <c r="AD393" s="375" t="str">
        <f t="shared" si="985"/>
        <v/>
      </c>
      <c r="AE393" s="833" t="str">
        <f t="shared" ref="AE393" si="1057">IF(G393&gt;0,(CONCATENATE((G393)," quantity, ",(A393)," ",B393)),"")</f>
        <v/>
      </c>
      <c r="AF393" s="833"/>
      <c r="AG393" s="833"/>
      <c r="AH393" s="91">
        <f>IF(AD393="free",0,IF(AD393="me",0,IF(G393&gt;0,(VLOOKUP(A393,'Discount Lookup'!J:K,2)*G393),0)))</f>
        <v>0</v>
      </c>
      <c r="AI393" s="92" t="str">
        <f t="shared" si="1015"/>
        <v/>
      </c>
      <c r="AJ393" s="828" t="str">
        <f t="shared" ref="AJ393" si="1058">IF(G393=0,"",IF(AD393="me","  delivery-only",IF($AD$8="me","  delivery-only",CONCATENATE(" $",ROUND(AI393/G393,2)," each"))))</f>
        <v/>
      </c>
      <c r="AK393" s="828"/>
      <c r="AL393" s="313" t="str">
        <f t="shared" si="928"/>
        <v/>
      </c>
      <c r="AM393" s="312"/>
      <c r="AN393" s="101"/>
      <c r="AO393" s="101"/>
      <c r="AP393" s="101"/>
      <c r="AQ393" s="101"/>
      <c r="AR393" s="101"/>
      <c r="AS393" s="101"/>
      <c r="AT393" s="101"/>
    </row>
    <row r="394" spans="1:46" ht="12.95" customHeight="1">
      <c r="A394" s="383">
        <v>7</v>
      </c>
      <c r="B394" s="158" t="s">
        <v>50</v>
      </c>
      <c r="C394" s="160" t="s">
        <v>53</v>
      </c>
      <c r="D394" s="161" t="s">
        <v>54</v>
      </c>
      <c r="E394" s="162">
        <v>155.94999999999999</v>
      </c>
      <c r="F394" s="713" t="s">
        <v>1306</v>
      </c>
      <c r="G394" s="357">
        <v>0</v>
      </c>
      <c r="H394" s="748" t="str">
        <f t="shared" ref="H394:H399" si="1059">IF(G394=0,"",IF(F394="Qty=",IF(G394=1,"plant","plants"),IF(F394&gt;0.0001,"warranty","Error")))</f>
        <v/>
      </c>
      <c r="I394" s="592">
        <f t="shared" ref="I394:I399" si="1060">IF(F394="Qty=",(E394*G394),((E394*(1-F394))*G394))</f>
        <v>0</v>
      </c>
      <c r="J394" s="592">
        <f t="shared" si="1049"/>
        <v>0</v>
      </c>
      <c r="K394" s="834">
        <f t="shared" si="1050"/>
        <v>0</v>
      </c>
      <c r="L394" s="834"/>
      <c r="M394" s="832" t="str">
        <f t="shared" si="1051"/>
        <v/>
      </c>
      <c r="N394" s="832"/>
      <c r="O394" s="832"/>
      <c r="P394" s="832"/>
      <c r="Q394" s="832"/>
      <c r="R394" s="832"/>
      <c r="S394" s="303">
        <f t="shared" ref="S394:S399" si="1061">E394*G394</f>
        <v>0</v>
      </c>
      <c r="T394" s="541">
        <f>VLOOKUP(A394,'Discount Lookup'!D:E,2,FALSE)*G394</f>
        <v>0</v>
      </c>
      <c r="U394" s="83">
        <f>VLOOKUP(A394,'Discount Lookup'!G:H,2,FALSE)*G394</f>
        <v>0</v>
      </c>
      <c r="V394" s="100">
        <f t="shared" si="1053"/>
        <v>0</v>
      </c>
      <c r="W394" s="100">
        <f t="shared" ref="W394:W399" si="1062">I394</f>
        <v>0</v>
      </c>
      <c r="X394" s="100" t="b">
        <f t="shared" si="1055"/>
        <v>0</v>
      </c>
      <c r="Y394" s="201"/>
      <c r="Z394" s="829" t="str">
        <f t="shared" si="953"/>
        <v/>
      </c>
      <c r="AA394" s="829"/>
      <c r="AB394" s="830" t="str">
        <f>IF(G394=0,"",IF(AD394="free","re-planting",IF(AD394="me","not NVP, by",IF($AD$8="yes",(VLOOKUP(A394,'Discount Lookup'!J:K,2)*G394*(1-$AC$1786)*(1+$AC$1788)),IF(AD394="NVP",(VLOOKUP(A394,'Discount Lookup'!J:K,2)*G394*(1-$AC$1786)*(1+$AC$1788)),IF(AD394="free","re-planting",IF(G394=0,"",IF($AD$8="",IF(AD394="me","not NVP, by",IF(AD394="",IF(G394&gt;0,(VLOOKUP(A394,'Discount Lookup'!J:K,2)*G394*(1-$AC$1786)*(1+$AC$1788)),""),"")),"not NVP, by"))))))))</f>
        <v/>
      </c>
      <c r="AC394" s="830"/>
      <c r="AD394" s="375" t="str">
        <f t="shared" si="985"/>
        <v/>
      </c>
      <c r="AE394" s="833" t="str">
        <f t="shared" si="979"/>
        <v/>
      </c>
      <c r="AF394" s="833"/>
      <c r="AG394" s="833"/>
      <c r="AH394" s="91">
        <f>IF(AD394="free",0,IF(AD394="me",0,IF(G394&gt;0,(VLOOKUP(A394,'Discount Lookup'!J:K,2)*G394),0)))</f>
        <v>0</v>
      </c>
      <c r="AI394" s="92" t="str">
        <f t="shared" si="1015"/>
        <v/>
      </c>
      <c r="AJ394" s="828" t="str">
        <f t="shared" si="954"/>
        <v/>
      </c>
      <c r="AK394" s="828"/>
      <c r="AL394" s="313" t="str">
        <f t="shared" si="928"/>
        <v/>
      </c>
      <c r="AM394" s="312"/>
      <c r="AN394" s="101"/>
      <c r="AO394" s="101"/>
      <c r="AP394" s="101"/>
      <c r="AQ394" s="101"/>
      <c r="AR394" s="101"/>
      <c r="AS394" s="101"/>
      <c r="AT394" s="101"/>
    </row>
    <row r="395" spans="1:46" ht="12.95" customHeight="1">
      <c r="A395" s="383">
        <v>10</v>
      </c>
      <c r="B395" s="158" t="s">
        <v>50</v>
      </c>
      <c r="C395" s="160" t="s">
        <v>89</v>
      </c>
      <c r="D395" s="161" t="s">
        <v>54</v>
      </c>
      <c r="E395" s="162">
        <v>215.95</v>
      </c>
      <c r="F395" s="713" t="s">
        <v>1306</v>
      </c>
      <c r="G395" s="357">
        <v>0</v>
      </c>
      <c r="H395" s="748" t="str">
        <f t="shared" ref="H395" si="1063">IF(G395=0,"",IF(F395="Qty=",IF(G395=1,"plant","plants"),IF(F395&gt;0.0001,"warranty","Error")))</f>
        <v/>
      </c>
      <c r="I395" s="592">
        <f t="shared" ref="I395" si="1064">IF(F395="Qty=",(E395*G395),((E395*(1-F395))*G395))</f>
        <v>0</v>
      </c>
      <c r="J395" s="592">
        <f t="shared" si="1049"/>
        <v>0</v>
      </c>
      <c r="K395" s="834">
        <f t="shared" si="1050"/>
        <v>0</v>
      </c>
      <c r="L395" s="834"/>
      <c r="M395" s="832" t="str">
        <f t="shared" si="1051"/>
        <v/>
      </c>
      <c r="N395" s="832"/>
      <c r="O395" s="832"/>
      <c r="P395" s="832"/>
      <c r="Q395" s="832"/>
      <c r="R395" s="832"/>
      <c r="S395" s="303">
        <f t="shared" ref="S395" si="1065">E395*G395</f>
        <v>0</v>
      </c>
      <c r="T395" s="541">
        <f>VLOOKUP(A395,'Discount Lookup'!D:E,2,FALSE)*G395</f>
        <v>0</v>
      </c>
      <c r="U395" s="83">
        <f>VLOOKUP(A395,'Discount Lookup'!G:H,2,FALSE)*G395</f>
        <v>0</v>
      </c>
      <c r="V395" s="100">
        <f t="shared" si="1053"/>
        <v>0</v>
      </c>
      <c r="W395" s="100">
        <f t="shared" ref="W395" si="1066">I395</f>
        <v>0</v>
      </c>
      <c r="X395" s="100" t="b">
        <f t="shared" si="1055"/>
        <v>0</v>
      </c>
      <c r="Y395" s="201"/>
      <c r="Z395" s="829" t="str">
        <f t="shared" ref="Z395" si="1067">IF(G395=0,"",IF(AD395="me","",IF($AD$8="me","",IF(AD395="free","warranty",IF($AD$8="yes","NVP planting:","to NVP install:")))))</f>
        <v/>
      </c>
      <c r="AA395" s="829"/>
      <c r="AB395" s="830" t="str">
        <f>IF(G395=0,"",IF(AD395="free","re-planting",IF(AD395="me","not NVP, by",IF($AD$8="yes",(VLOOKUP(A395,'Discount Lookup'!J:K,2)*G395*(1-$AC$1786)*(1+$AC$1788)),IF(AD395="NVP",(VLOOKUP(A395,'Discount Lookup'!J:K,2)*G395*(1-$AC$1786)*(1+$AC$1788)),IF(AD395="free","re-planting",IF(G395=0,"",IF($AD$8="",IF(AD395="me","not NVP, by",IF(AD395="",IF(G395&gt;0,(VLOOKUP(A395,'Discount Lookup'!J:K,2)*G395*(1-$AC$1786)*(1+$AC$1788)),""),"")),"not NVP, by"))))))))</f>
        <v/>
      </c>
      <c r="AC395" s="830"/>
      <c r="AD395" s="375" t="str">
        <f t="shared" si="985"/>
        <v/>
      </c>
      <c r="AE395" s="833" t="str">
        <f t="shared" ref="AE395" si="1068">IF(G395&gt;0,(CONCATENATE((G395)," quantity, ",(A395)," ",B395)),"")</f>
        <v/>
      </c>
      <c r="AF395" s="833"/>
      <c r="AG395" s="833"/>
      <c r="AH395" s="91">
        <f>IF(AD395="free",0,IF(AD395="me",0,IF(G395&gt;0,(VLOOKUP(A395,'Discount Lookup'!J:K,2)*G395),0)))</f>
        <v>0</v>
      </c>
      <c r="AI395" s="92" t="str">
        <f t="shared" si="1015"/>
        <v/>
      </c>
      <c r="AJ395" s="828" t="str">
        <f t="shared" ref="AJ395" si="1069">IF(G395=0,"",IF(AD395="me","  delivery-only",IF($AD$8="me","  delivery-only",CONCATENATE(" $",ROUND(AI395/G395,2)," each"))))</f>
        <v/>
      </c>
      <c r="AK395" s="828"/>
      <c r="AL395" s="313" t="str">
        <f t="shared" ref="AL395:AL458" si="1070">IF(AD395="free","      ~ discounts included, no tax or planting fee applies ~",IF(G395=0,"",IF($AD$8="me",CONCATENATE(" $",ROUND(AI395/G395,2)," per plant, with tax &amp; discount"),IF(AD395="me",CONCATENATE(" $",ROUND(AI395/G395,2)," per plant, with tax &amp; discount"),CONCATENATE("= $",ROUND((K395*(1-$H$1784))/G395,2)," per plant + $",AB395/G395,(" per planting      ~ includes tax &amp; discounts ~"))))))</f>
        <v/>
      </c>
      <c r="AM395" s="312"/>
      <c r="AN395" s="101"/>
      <c r="AO395" s="101"/>
      <c r="AP395" s="101"/>
      <c r="AQ395" s="101"/>
      <c r="AR395" s="101"/>
      <c r="AS395" s="101"/>
      <c r="AT395" s="101"/>
    </row>
    <row r="396" spans="1:46" ht="12.95" customHeight="1">
      <c r="A396" s="383">
        <v>15</v>
      </c>
      <c r="B396" s="158" t="s">
        <v>50</v>
      </c>
      <c r="C396" s="160" t="s">
        <v>288</v>
      </c>
      <c r="D396" s="161" t="s">
        <v>54</v>
      </c>
      <c r="E396" s="162">
        <v>270.95</v>
      </c>
      <c r="F396" s="713" t="s">
        <v>1306</v>
      </c>
      <c r="G396" s="357">
        <v>0</v>
      </c>
      <c r="H396" s="748" t="str">
        <f t="shared" si="1059"/>
        <v/>
      </c>
      <c r="I396" s="592">
        <f t="shared" si="1060"/>
        <v>0</v>
      </c>
      <c r="J396" s="592">
        <f t="shared" si="1049"/>
        <v>0</v>
      </c>
      <c r="K396" s="834">
        <f t="shared" si="1050"/>
        <v>0</v>
      </c>
      <c r="L396" s="834"/>
      <c r="M396" s="832" t="str">
        <f t="shared" si="1051"/>
        <v/>
      </c>
      <c r="N396" s="832"/>
      <c r="O396" s="832"/>
      <c r="P396" s="832"/>
      <c r="Q396" s="832"/>
      <c r="R396" s="832"/>
      <c r="S396" s="303">
        <f t="shared" ref="S396" si="1071">E396*G396</f>
        <v>0</v>
      </c>
      <c r="T396" s="541">
        <f>VLOOKUP(A396,'Discount Lookup'!D:E,2,FALSE)*G396</f>
        <v>0</v>
      </c>
      <c r="U396" s="83">
        <f>VLOOKUP(A396,'Discount Lookup'!G:H,2,FALSE)*G396</f>
        <v>0</v>
      </c>
      <c r="V396" s="100">
        <f t="shared" si="1053"/>
        <v>0</v>
      </c>
      <c r="W396" s="100">
        <f t="shared" ref="W396" si="1072">I396</f>
        <v>0</v>
      </c>
      <c r="X396" s="100" t="b">
        <f t="shared" si="1055"/>
        <v>0</v>
      </c>
      <c r="Y396" s="201"/>
      <c r="Z396" s="829" t="str">
        <f t="shared" si="953"/>
        <v/>
      </c>
      <c r="AA396" s="829"/>
      <c r="AB396" s="830" t="str">
        <f>IF(G396=0,"",IF(AD396="free","re-planting",IF(AD396="me","not NVP, by",IF($AD$8="yes",(VLOOKUP(A396,'Discount Lookup'!J:K,2)*G396*(1-$AC$1786)*(1+$AC$1788)),IF(AD396="NVP",(VLOOKUP(A396,'Discount Lookup'!J:K,2)*G396*(1-$AC$1786)*(1+$AC$1788)),IF(AD396="free","re-planting",IF(G396=0,"",IF($AD$8="",IF(AD396="me","not NVP, by",IF(AD396="",IF(G396&gt;0,(VLOOKUP(A396,'Discount Lookup'!J:K,2)*G396*(1-$AC$1786)*(1+$AC$1788)),""),"")),"not NVP, by"))))))))</f>
        <v/>
      </c>
      <c r="AC396" s="830"/>
      <c r="AD396" s="375" t="str">
        <f t="shared" si="985"/>
        <v/>
      </c>
      <c r="AE396" s="833" t="str">
        <f t="shared" si="979"/>
        <v/>
      </c>
      <c r="AF396" s="833"/>
      <c r="AG396" s="833"/>
      <c r="AH396" s="91">
        <f>IF(AD396="free",0,IF(AD396="me",0,IF(G396&gt;0,(VLOOKUP(A396,'Discount Lookup'!J:K,2)*G396),0)))</f>
        <v>0</v>
      </c>
      <c r="AI396" s="92" t="str">
        <f t="shared" si="1015"/>
        <v/>
      </c>
      <c r="AJ396" s="828" t="str">
        <f t="shared" si="954"/>
        <v/>
      </c>
      <c r="AK396" s="828"/>
      <c r="AL396" s="313" t="str">
        <f t="shared" si="1070"/>
        <v/>
      </c>
      <c r="AM396" s="312"/>
      <c r="AN396" s="101"/>
      <c r="AO396" s="101"/>
      <c r="AP396" s="101"/>
      <c r="AQ396" s="101"/>
      <c r="AR396" s="101"/>
      <c r="AS396" s="101"/>
      <c r="AT396" s="101"/>
    </row>
    <row r="397" spans="1:46" ht="12.95" customHeight="1">
      <c r="A397" s="383">
        <v>15</v>
      </c>
      <c r="B397" s="158" t="s">
        <v>50</v>
      </c>
      <c r="C397" s="160" t="s">
        <v>1352</v>
      </c>
      <c r="D397" s="161" t="s">
        <v>63</v>
      </c>
      <c r="E397" s="162">
        <v>217.95</v>
      </c>
      <c r="F397" s="713" t="s">
        <v>1306</v>
      </c>
      <c r="G397" s="357">
        <v>0</v>
      </c>
      <c r="H397" s="748" t="str">
        <f t="shared" si="1059"/>
        <v/>
      </c>
      <c r="I397" s="592">
        <f t="shared" si="1060"/>
        <v>0</v>
      </c>
      <c r="J397" s="592">
        <f t="shared" si="1049"/>
        <v>0</v>
      </c>
      <c r="K397" s="834">
        <f t="shared" si="1050"/>
        <v>0</v>
      </c>
      <c r="L397" s="834"/>
      <c r="M397" s="832" t="str">
        <f t="shared" si="1051"/>
        <v/>
      </c>
      <c r="N397" s="832"/>
      <c r="O397" s="832"/>
      <c r="P397" s="832"/>
      <c r="Q397" s="832"/>
      <c r="R397" s="832"/>
      <c r="S397" s="303">
        <f t="shared" si="1061"/>
        <v>0</v>
      </c>
      <c r="T397" s="541">
        <f>VLOOKUP(A397,'Discount Lookup'!D:E,2,FALSE)*G397</f>
        <v>0</v>
      </c>
      <c r="U397" s="83">
        <f>VLOOKUP(A397,'Discount Lookup'!G:H,2,FALSE)*G397</f>
        <v>0</v>
      </c>
      <c r="V397" s="100">
        <f t="shared" si="1053"/>
        <v>0</v>
      </c>
      <c r="W397" s="100">
        <f t="shared" si="1062"/>
        <v>0</v>
      </c>
      <c r="X397" s="100" t="b">
        <f t="shared" si="1055"/>
        <v>0</v>
      </c>
      <c r="Y397" s="201"/>
      <c r="Z397" s="829" t="str">
        <f t="shared" si="953"/>
        <v/>
      </c>
      <c r="AA397" s="829"/>
      <c r="AB397" s="830" t="str">
        <f>IF(G397=0,"",IF(AD397="free","re-planting",IF(AD397="me","not NVP, by",IF($AD$8="yes",(VLOOKUP(A397,'Discount Lookup'!J:K,2)*G397*(1-$AC$1786)*(1+$AC$1788)),IF(AD397="NVP",(VLOOKUP(A397,'Discount Lookup'!J:K,2)*G397*(1-$AC$1786)*(1+$AC$1788)),IF(AD397="free","re-planting",IF(G397=0,"",IF($AD$8="",IF(AD397="me","not NVP, by",IF(AD397="",IF(G397&gt;0,(VLOOKUP(A397,'Discount Lookup'!J:K,2)*G397*(1-$AC$1786)*(1+$AC$1788)),""),"")),"not NVP, by"))))))))</f>
        <v/>
      </c>
      <c r="AC397" s="830"/>
      <c r="AD397" s="375" t="str">
        <f t="shared" si="985"/>
        <v/>
      </c>
      <c r="AE397" s="833" t="str">
        <f t="shared" si="979"/>
        <v/>
      </c>
      <c r="AF397" s="833"/>
      <c r="AG397" s="833"/>
      <c r="AH397" s="91">
        <f>IF(AD397="free",0,IF(AD397="me",0,IF(G397&gt;0,(VLOOKUP(A397,'Discount Lookup'!J:K,2)*G397),0)))</f>
        <v>0</v>
      </c>
      <c r="AI397" s="92" t="str">
        <f t="shared" si="1015"/>
        <v/>
      </c>
      <c r="AJ397" s="828" t="str">
        <f t="shared" si="954"/>
        <v/>
      </c>
      <c r="AK397" s="828"/>
      <c r="AL397" s="313" t="str">
        <f t="shared" si="1070"/>
        <v/>
      </c>
      <c r="AM397" s="312"/>
      <c r="AN397" s="101"/>
      <c r="AO397" s="101"/>
      <c r="AP397" s="101"/>
      <c r="AQ397" s="101"/>
      <c r="AR397" s="101"/>
      <c r="AS397" s="101"/>
      <c r="AT397" s="101"/>
    </row>
    <row r="398" spans="1:46" ht="12.95" customHeight="1">
      <c r="A398" s="383">
        <v>25</v>
      </c>
      <c r="B398" s="158" t="s">
        <v>50</v>
      </c>
      <c r="C398" s="160" t="s">
        <v>274</v>
      </c>
      <c r="D398" s="161" t="s">
        <v>54</v>
      </c>
      <c r="E398" s="162">
        <v>514.95000000000005</v>
      </c>
      <c r="F398" s="713" t="s">
        <v>1306</v>
      </c>
      <c r="G398" s="357">
        <v>0</v>
      </c>
      <c r="H398" s="748" t="str">
        <f t="shared" ref="H398" si="1073">IF(G398=0,"",IF(F398="Qty=",IF(G398=1,"plant","plants"),IF(F398&gt;0.0001,"warranty","Error")))</f>
        <v/>
      </c>
      <c r="I398" s="592">
        <f t="shared" ref="I398" si="1074">IF(F398="Qty=",(E398*G398),((E398*(1-F398))*G398))</f>
        <v>0</v>
      </c>
      <c r="J398" s="592">
        <f t="shared" si="1049"/>
        <v>0</v>
      </c>
      <c r="K398" s="834">
        <f t="shared" si="1050"/>
        <v>0</v>
      </c>
      <c r="L398" s="834"/>
      <c r="M398" s="832" t="str">
        <f t="shared" si="1051"/>
        <v/>
      </c>
      <c r="N398" s="832"/>
      <c r="O398" s="832"/>
      <c r="P398" s="832"/>
      <c r="Q398" s="832"/>
      <c r="R398" s="832"/>
      <c r="S398" s="303">
        <f t="shared" ref="S398" si="1075">E398*G398</f>
        <v>0</v>
      </c>
      <c r="T398" s="541">
        <f>VLOOKUP(A398,'Discount Lookup'!D:E,2,FALSE)*G398</f>
        <v>0</v>
      </c>
      <c r="U398" s="83">
        <f>VLOOKUP(A398,'Discount Lookup'!G:H,2,FALSE)*G398</f>
        <v>0</v>
      </c>
      <c r="V398" s="100">
        <f t="shared" si="1053"/>
        <v>0</v>
      </c>
      <c r="W398" s="100">
        <f t="shared" ref="W398" si="1076">I398</f>
        <v>0</v>
      </c>
      <c r="X398" s="100" t="b">
        <f t="shared" si="1055"/>
        <v>0</v>
      </c>
      <c r="Y398" s="201"/>
      <c r="Z398" s="829" t="str">
        <f t="shared" ref="Z398" si="1077">IF(G398=0,"",IF(AD398="me","",IF($AD$8="me","",IF(AD398="free","warranty",IF($AD$8="yes","NVP planting:","to NVP install:")))))</f>
        <v/>
      </c>
      <c r="AA398" s="829"/>
      <c r="AB398" s="830" t="str">
        <f>IF(G398=0,"",IF(AD398="free","re-planting",IF(AD398="me","not NVP, by",IF($AD$8="yes",(VLOOKUP(A398,'Discount Lookup'!J:K,2)*G398*(1-$AC$1786)*(1+$AC$1788)),IF(AD398="NVP",(VLOOKUP(A398,'Discount Lookup'!J:K,2)*G398*(1-$AC$1786)*(1+$AC$1788)),IF(AD398="free","re-planting",IF(G398=0,"",IF($AD$8="",IF(AD398="me","not NVP, by",IF(AD398="",IF(G398&gt;0,(VLOOKUP(A398,'Discount Lookup'!J:K,2)*G398*(1-$AC$1786)*(1+$AC$1788)),""),"")),"not NVP, by"))))))))</f>
        <v/>
      </c>
      <c r="AC398" s="830"/>
      <c r="AD398" s="375" t="str">
        <f t="shared" si="985"/>
        <v/>
      </c>
      <c r="AE398" s="833" t="str">
        <f t="shared" ref="AE398" si="1078">IF(G398&gt;0,(CONCATENATE((G398)," quantity, ",(A398)," ",B398)),"")</f>
        <v/>
      </c>
      <c r="AF398" s="833"/>
      <c r="AG398" s="833"/>
      <c r="AH398" s="91">
        <f>IF(AD398="free",0,IF(AD398="me",0,IF(G398&gt;0,(VLOOKUP(A398,'Discount Lookup'!J:K,2)*G398),0)))</f>
        <v>0</v>
      </c>
      <c r="AI398" s="92" t="str">
        <f t="shared" si="1015"/>
        <v/>
      </c>
      <c r="AJ398" s="828" t="str">
        <f t="shared" ref="AJ398" si="1079">IF(G398=0,"",IF(AD398="me","  delivery-only",IF($AD$8="me","  delivery-only",CONCATENATE(" $",ROUND(AI398/G398,2)," each"))))</f>
        <v/>
      </c>
      <c r="AK398" s="828"/>
      <c r="AL398" s="313" t="str">
        <f t="shared" si="1070"/>
        <v/>
      </c>
      <c r="AM398" s="312"/>
      <c r="AN398" s="101"/>
      <c r="AO398" s="101"/>
      <c r="AP398" s="101"/>
      <c r="AQ398" s="101"/>
      <c r="AR398" s="101"/>
      <c r="AS398" s="101"/>
      <c r="AT398" s="101"/>
    </row>
    <row r="399" spans="1:46" ht="12.95" customHeight="1">
      <c r="A399" s="383">
        <v>25</v>
      </c>
      <c r="B399" s="158" t="s">
        <v>50</v>
      </c>
      <c r="C399" s="160" t="s">
        <v>1515</v>
      </c>
      <c r="D399" s="161" t="s">
        <v>90</v>
      </c>
      <c r="E399" s="162">
        <v>417.95</v>
      </c>
      <c r="F399" s="713" t="s">
        <v>1306</v>
      </c>
      <c r="G399" s="357">
        <v>0</v>
      </c>
      <c r="H399" s="748" t="str">
        <f t="shared" si="1059"/>
        <v/>
      </c>
      <c r="I399" s="592">
        <f t="shared" si="1060"/>
        <v>0</v>
      </c>
      <c r="J399" s="592">
        <f t="shared" si="1049"/>
        <v>0</v>
      </c>
      <c r="K399" s="834">
        <f t="shared" si="1050"/>
        <v>0</v>
      </c>
      <c r="L399" s="834"/>
      <c r="M399" s="832" t="str">
        <f t="shared" si="1051"/>
        <v/>
      </c>
      <c r="N399" s="832"/>
      <c r="O399" s="832"/>
      <c r="P399" s="832"/>
      <c r="Q399" s="832"/>
      <c r="R399" s="832"/>
      <c r="S399" s="303">
        <f t="shared" si="1061"/>
        <v>0</v>
      </c>
      <c r="T399" s="541">
        <f>VLOOKUP(A399,'Discount Lookup'!D:E,2,FALSE)*G399</f>
        <v>0</v>
      </c>
      <c r="U399" s="83">
        <f>VLOOKUP(A399,'Discount Lookup'!G:H,2,FALSE)*G399</f>
        <v>0</v>
      </c>
      <c r="V399" s="100">
        <f t="shared" si="1053"/>
        <v>0</v>
      </c>
      <c r="W399" s="100">
        <f t="shared" si="1062"/>
        <v>0</v>
      </c>
      <c r="X399" s="100" t="b">
        <f t="shared" si="1055"/>
        <v>0</v>
      </c>
      <c r="Y399" s="201"/>
      <c r="Z399" s="829" t="str">
        <f t="shared" si="953"/>
        <v/>
      </c>
      <c r="AA399" s="829"/>
      <c r="AB399" s="830" t="str">
        <f>IF(G399=0,"",IF(AD399="free","re-planting",IF(AD399="me","not NVP, by",IF($AD$8="yes",(VLOOKUP(A399,'Discount Lookup'!J:K,2)*G399*(1-$AC$1786)*(1+$AC$1788)),IF(AD399="NVP",(VLOOKUP(A399,'Discount Lookup'!J:K,2)*G399*(1-$AC$1786)*(1+$AC$1788)),IF(AD399="free","re-planting",IF(G399=0,"",IF($AD$8="",IF(AD399="me","not NVP, by",IF(AD399="",IF(G399&gt;0,(VLOOKUP(A399,'Discount Lookup'!J:K,2)*G399*(1-$AC$1786)*(1+$AC$1788)),""),"")),"not NVP, by"))))))))</f>
        <v/>
      </c>
      <c r="AC399" s="830"/>
      <c r="AD399" s="375" t="str">
        <f t="shared" si="985"/>
        <v/>
      </c>
      <c r="AE399" s="833" t="str">
        <f t="shared" si="979"/>
        <v/>
      </c>
      <c r="AF399" s="833"/>
      <c r="AG399" s="833"/>
      <c r="AH399" s="91">
        <f>IF(AD399="free",0,IF(AD399="me",0,IF(G399&gt;0,(VLOOKUP(A399,'Discount Lookup'!J:K,2)*G399),0)))</f>
        <v>0</v>
      </c>
      <c r="AI399" s="92" t="str">
        <f t="shared" si="1015"/>
        <v/>
      </c>
      <c r="AJ399" s="828" t="str">
        <f t="shared" si="954"/>
        <v/>
      </c>
      <c r="AK399" s="828"/>
      <c r="AL399" s="313" t="str">
        <f t="shared" si="1070"/>
        <v/>
      </c>
      <c r="AM399" s="312"/>
      <c r="AN399" s="101"/>
      <c r="AO399" s="101"/>
      <c r="AP399" s="101"/>
      <c r="AQ399" s="101"/>
      <c r="AR399" s="101"/>
      <c r="AS399" s="101"/>
      <c r="AT399" s="101"/>
    </row>
    <row r="400" spans="1:46" ht="12.95" customHeight="1">
      <c r="A400" s="475"/>
      <c r="B400" s="173" t="s">
        <v>307</v>
      </c>
      <c r="G400" s="361"/>
      <c r="H400" s="746"/>
      <c r="L400" s="616" t="s">
        <v>1337</v>
      </c>
      <c r="M400" s="846" t="s">
        <v>38</v>
      </c>
      <c r="N400" s="846"/>
      <c r="O400" s="178"/>
      <c r="P400" s="124">
        <f>VLOOKUP(A400,'Discount Lookup'!G:H,2,FALSE)*G400</f>
        <v>0</v>
      </c>
      <c r="Q400" s="124"/>
      <c r="R400" s="83">
        <f>IF(F400=0,E400*($J$1782)*G400,0)</f>
        <v>0</v>
      </c>
      <c r="S400" s="82">
        <f>E400*G400</f>
        <v>0</v>
      </c>
      <c r="T400" s="540"/>
      <c r="U400" s="83"/>
      <c r="V400" s="100" t="b">
        <f>IF(G400&gt;0,IF(AD400="me","",G400))</f>
        <v>0</v>
      </c>
      <c r="W400" s="100"/>
      <c r="X400" s="100"/>
      <c r="Y400" s="201"/>
      <c r="Z400" s="829" t="str">
        <f t="shared" si="953"/>
        <v/>
      </c>
      <c r="AA400" s="829"/>
      <c r="AB400" s="830" t="str">
        <f>IF(G400=0,"",IF(AD400="free","re-planting",IF(AD400="me","not NVP, by",IF($AD$8="yes",(VLOOKUP(A400,'Discount Lookup'!J:K,2)*G400*(1-$AC$1786)*(1+$AC$1788)),IF(AD400="NVP",(VLOOKUP(A400,'Discount Lookup'!J:K,2)*G400*(1-$AC$1786)*(1+$AC$1788)),IF(AD400="free","re-planting",IF(G400=0,"",IF($AD$8="",IF(AD400="me","not NVP, by",IF(AD400="",IF(G400&gt;0,(VLOOKUP(A400,'Discount Lookup'!J:K,2)*G400*(1-$AC$1786)*(1+$AC$1788)),""),"")),"not NVP, by"))))))))</f>
        <v/>
      </c>
      <c r="AC400" s="830"/>
      <c r="AD400" s="375" t="str">
        <f t="shared" si="985"/>
        <v/>
      </c>
      <c r="AE400" s="833" t="str">
        <f t="shared" si="979"/>
        <v/>
      </c>
      <c r="AF400" s="833"/>
      <c r="AG400" s="833"/>
      <c r="AH400" s="91">
        <f>IF(AD400="free",0,IF(AD400="me",0,IF(G400&gt;0,(VLOOKUP(A400,'Discount Lookup'!J:K,2)*G400),0)))</f>
        <v>0</v>
      </c>
      <c r="AI400" s="92" t="str">
        <f t="shared" si="1015"/>
        <v/>
      </c>
      <c r="AJ400" s="828" t="str">
        <f t="shared" si="954"/>
        <v/>
      </c>
      <c r="AK400" s="828"/>
      <c r="AL400" s="313" t="str">
        <f t="shared" si="1070"/>
        <v/>
      </c>
      <c r="AM400" s="312"/>
      <c r="AN400" s="101"/>
      <c r="AO400" s="101"/>
      <c r="AP400" s="101"/>
      <c r="AQ400" s="101"/>
      <c r="AR400" s="101"/>
      <c r="AS400" s="101"/>
      <c r="AT400" s="101"/>
    </row>
    <row r="401" spans="1:46" ht="12.95" customHeight="1">
      <c r="A401" s="894" t="s">
        <v>1690</v>
      </c>
      <c r="B401" s="895"/>
      <c r="C401" s="895"/>
      <c r="D401" s="895"/>
      <c r="E401" s="895"/>
      <c r="F401" s="895"/>
      <c r="G401" s="895"/>
      <c r="H401" s="775" t="s">
        <v>78</v>
      </c>
      <c r="I401" s="164" t="s">
        <v>79</v>
      </c>
      <c r="J401" s="157"/>
      <c r="K401" s="611" t="s">
        <v>45</v>
      </c>
      <c r="L401" s="630" t="s">
        <v>46</v>
      </c>
      <c r="M401" s="157"/>
      <c r="N401" s="158" t="s">
        <v>69</v>
      </c>
      <c r="O401" s="158"/>
      <c r="P401" s="158"/>
      <c r="Q401" s="158"/>
      <c r="R401" s="835" t="s">
        <v>49</v>
      </c>
      <c r="S401" s="835"/>
      <c r="T401" s="835"/>
      <c r="U401" s="835"/>
      <c r="V401" s="100" t="b">
        <f>IF(G401&gt;0,IF(AD401="me","",G401))</f>
        <v>0</v>
      </c>
      <c r="W401" s="100"/>
      <c r="X401" s="100"/>
      <c r="Y401" s="790"/>
      <c r="Z401" s="838" t="str">
        <f>IF(G401=0,"",IF(AD401="me","",IF($AD$8="me","",IF(AD401="free","warranty",IF($AD$8="yes","NVP planting:","to NVP install:")))))</f>
        <v/>
      </c>
      <c r="AA401" s="838"/>
      <c r="AB401" s="830" t="str">
        <f>IF(G401=0,"",IF(AD401="free","re-planting",IF(AD401="me","not NVP, by",IF($AD$8="yes",(VLOOKUP(A401,'Discount Lookup'!J:K,2)*G401*(1-$AC$1786)*(1+$AC$1788)),IF(AD401="NVP",(VLOOKUP(A401,'Discount Lookup'!J:K,2)*G401*(1-$AC$1786)*(1+$AC$1788)),IF(AD401="free","re-planting",IF(G401=0,"",IF($AD$8="",IF(AD401="me","not NVP, by",IF(AD401="",IF(G401&gt;0,(VLOOKUP(A401,'Discount Lookup'!J:K,2)*G401*(1-$AC$1786)*(1+$AC$1788)),""),"")),"not NVP, by"))))))))</f>
        <v/>
      </c>
      <c r="AC401" s="830"/>
      <c r="AD401" s="375" t="str">
        <f>IF(G401=0,"",IF($AD$8="me","me",IF(H401="warranty","free",IF($AD$8="yes","NVP",""))))</f>
        <v/>
      </c>
      <c r="AE401" s="833" t="str">
        <f>IF(G401&gt;0,(CONCATENATE((G401)," quantity, ",(A401)," ",B401)),"")</f>
        <v/>
      </c>
      <c r="AF401" s="833"/>
      <c r="AG401" s="833"/>
      <c r="AH401" s="91" t="str">
        <f>IF(AD401="free",0,IF(AD401="me","",IF(G401&gt;0,(VLOOKUP(A401,'Discount Lookup'!J:K,2)*G401),"")))</f>
        <v/>
      </c>
      <c r="AI401" s="92" t="str">
        <f t="shared" si="1015"/>
        <v/>
      </c>
      <c r="AJ401" s="828" t="str">
        <f>IF(G401=0,"",IF(AD401="me","  delivery-only",CONCATENATE(" $",ROUND(AI401/G401,2)," each")))</f>
        <v/>
      </c>
      <c r="AK401" s="828"/>
      <c r="AL401" s="313" t="str">
        <f t="shared" si="1070"/>
        <v/>
      </c>
      <c r="AM401" s="312"/>
      <c r="AN401" s="101"/>
      <c r="AO401" s="101"/>
      <c r="AP401" s="101"/>
      <c r="AQ401" s="101"/>
      <c r="AR401" s="101"/>
      <c r="AS401" s="101"/>
      <c r="AT401" s="101"/>
    </row>
    <row r="402" spans="1:46" ht="12.95" customHeight="1">
      <c r="A402" s="383">
        <v>25</v>
      </c>
      <c r="B402" s="158" t="s">
        <v>50</v>
      </c>
      <c r="C402" s="160" t="s">
        <v>274</v>
      </c>
      <c r="D402" s="161" t="s">
        <v>90</v>
      </c>
      <c r="E402" s="162">
        <v>312.95</v>
      </c>
      <c r="F402" s="713" t="s">
        <v>1306</v>
      </c>
      <c r="G402" s="357">
        <v>0</v>
      </c>
      <c r="H402" s="748" t="str">
        <f t="shared" ref="H402" si="1080">IF(G402=0,"",IF(F402="Qty=",IF(G402=1,"plant","plants"),IF(F402&gt;0.0001,"warranty","Error")))</f>
        <v/>
      </c>
      <c r="I402" s="592">
        <f t="shared" ref="I402" si="1081">IF(F402="Qty=",(E402*G402),((E402*(1-F402))*G402))</f>
        <v>0</v>
      </c>
      <c r="J402" s="592">
        <f>IF(H402="warranty",0,(I402*($J$1782)))</f>
        <v>0</v>
      </c>
      <c r="K402" s="834">
        <f t="shared" ref="K402" si="1082">I402+J402</f>
        <v>0</v>
      </c>
      <c r="L402" s="834"/>
      <c r="M402" s="832" t="str">
        <f>IF($H$1784=0,"",IF(G402=0,"",IF(F402="Qty=",CONCATENATE("$",ROUND(K402*(1-$H$1784),2)," with ",($H$1784*100),"% discount"),CONCATENATE("$",ROUND(K402*(1-$H$1784),2)," with ",(($H$1784*100+F402*100)-($H$1784*100*F402)),IF(F402&gt;0,"% discounts",IF($H$1781&gt;0,"% discounts","% discount"))))))</f>
        <v/>
      </c>
      <c r="N402" s="832"/>
      <c r="O402" s="832"/>
      <c r="P402" s="832"/>
      <c r="Q402" s="832"/>
      <c r="R402" s="832"/>
      <c r="S402" s="303">
        <f t="shared" ref="S402" si="1083">E402*G402</f>
        <v>0</v>
      </c>
      <c r="T402" s="541">
        <f>VLOOKUP(A402,'Discount Lookup'!D:E,2,FALSE)*G402</f>
        <v>0</v>
      </c>
      <c r="U402" s="83">
        <f>VLOOKUP(A402,'Discount Lookup'!G:H,2,FALSE)*G402</f>
        <v>0</v>
      </c>
      <c r="V402" s="100">
        <f>E402*($J$1782)*G402</f>
        <v>0</v>
      </c>
      <c r="W402" s="100">
        <f t="shared" ref="W402" si="1084">I402</f>
        <v>0</v>
      </c>
      <c r="X402" s="100" t="b">
        <f>IF(G402&gt;0,IF(AD402="me","",G402))</f>
        <v>0</v>
      </c>
      <c r="Y402" s="790"/>
      <c r="Z402" s="838" t="str">
        <f>IF(G402=0,"",IF(AD402="me","",IF($AD$8="me","",IF(AD402="free","warranty",IF($AD$8="yes","NVP planting:","to NVP install:")))))</f>
        <v/>
      </c>
      <c r="AA402" s="838"/>
      <c r="AB402" s="830" t="str">
        <f>IF(G402=0,"",IF(AD402="free","re-planting",IF(AD402="me","not NVP, by",IF($AD$8="yes",(VLOOKUP(A402,'Discount Lookup'!J:K,2)*G402*(1-$AC$1786)*(1+$AC$1788)),IF(AD402="NVP",(VLOOKUP(A402,'Discount Lookup'!J:K,2)*G402*(1-$AC$1786)*(1+$AC$1788)),IF(AD402="free","re-planting",IF(G402=0,"",IF($AD$8="",IF(AD402="me","not NVP, by",IF(AD402="",IF(G402&gt;0,(VLOOKUP(A402,'Discount Lookup'!J:K,2)*G402*(1-$AC$1786)*(1+$AC$1788)),""),"")),"not NVP, by"))))))))</f>
        <v/>
      </c>
      <c r="AC402" s="830"/>
      <c r="AD402" s="375" t="str">
        <f>IF(G402=0,"",IF($AD$8="me","me",IF(H402="warranty","free",IF($AD$8="yes","NVP",""))))</f>
        <v/>
      </c>
      <c r="AE402" s="833" t="str">
        <f>IF(G402&gt;0,(CONCATENATE((G402)," quantity, ",(A402)," ",B402)),"")</f>
        <v/>
      </c>
      <c r="AF402" s="833"/>
      <c r="AG402" s="833"/>
      <c r="AH402" s="91" t="str">
        <f>IF(AD402="free",0,IF(AD402="me","",IF(G402&gt;0,(VLOOKUP(A402,'Discount Lookup'!J:K,2)*G402),"")))</f>
        <v/>
      </c>
      <c r="AI402" s="92" t="str">
        <f t="shared" si="1015"/>
        <v/>
      </c>
      <c r="AJ402" s="828" t="str">
        <f>IF(G402=0,"",IF(AD402="me","  delivery-only",CONCATENATE(" $",ROUND(AI402/G402,2)," each")))</f>
        <v/>
      </c>
      <c r="AK402" s="828"/>
      <c r="AL402" s="313" t="str">
        <f t="shared" si="1070"/>
        <v/>
      </c>
      <c r="AM402" s="312"/>
      <c r="AN402" s="101"/>
      <c r="AO402" s="101"/>
      <c r="AP402" s="101"/>
      <c r="AQ402" s="101"/>
      <c r="AR402" s="101"/>
      <c r="AS402" s="101"/>
      <c r="AT402" s="101"/>
    </row>
    <row r="403" spans="1:46" ht="12.95" customHeight="1">
      <c r="A403" s="472"/>
      <c r="B403" s="173" t="s">
        <v>308</v>
      </c>
      <c r="C403" s="118"/>
      <c r="D403" s="118"/>
      <c r="E403" s="119"/>
      <c r="F403" s="711"/>
      <c r="G403" s="358"/>
      <c r="H403" s="745"/>
      <c r="I403" s="119"/>
      <c r="J403" s="119"/>
      <c r="K403" s="609"/>
      <c r="L403" s="609"/>
      <c r="M403" s="121"/>
      <c r="N403" s="122" t="s">
        <v>277</v>
      </c>
      <c r="O403" s="123"/>
      <c r="P403" s="124"/>
      <c r="Q403" s="124"/>
      <c r="R403" s="83"/>
      <c r="S403" s="82">
        <f>E403*G403</f>
        <v>0</v>
      </c>
      <c r="T403" s="540"/>
      <c r="U403" s="83"/>
      <c r="V403" s="100" t="b">
        <f>IF(G403&gt;0,IF(AD403="me","",G403))</f>
        <v>0</v>
      </c>
      <c r="W403" s="100"/>
      <c r="X403" s="100"/>
      <c r="Y403" s="790"/>
      <c r="Z403" s="838" t="str">
        <f>IF(G403=0,"",IF(AD403="me","",IF($AD$8="me","",IF(AD403="free","warranty",IF($AD$8="yes","NVP planting:","to NVP install:")))))</f>
        <v/>
      </c>
      <c r="AA403" s="838"/>
      <c r="AB403" s="830" t="str">
        <f>IF(G403=0,"",IF(AD403="free","re-planting",IF(AD403="me","not NVP, by",IF($AD$8="yes",(VLOOKUP(A403,'Discount Lookup'!J:K,2)*G403*(1-$AC$1786)*(1+$AC$1788)),IF(AD403="NVP",(VLOOKUP(A403,'Discount Lookup'!J:K,2)*G403*(1-$AC$1786)*(1+$AC$1788)),IF(AD403="free","re-planting",IF(G403=0,"",IF($AD$8="",IF(AD403="me","not NVP, by",IF(AD403="",IF(G403&gt;0,(VLOOKUP(A403,'Discount Lookup'!J:K,2)*G403*(1-$AC$1786)*(1+$AC$1788)),""),"")),"not NVP, by"))))))))</f>
        <v/>
      </c>
      <c r="AC403" s="830"/>
      <c r="AD403" s="375" t="str">
        <f>IF(G403=0,"",IF($AD$8="me","me",IF(H403="warranty","free",IF($AD$8="yes","NVP",""))))</f>
        <v/>
      </c>
      <c r="AE403" s="833" t="str">
        <f>IF(G403&gt;0,(CONCATENATE((G403)," quantity, ",(A403)," ",B403)),"")</f>
        <v/>
      </c>
      <c r="AF403" s="833"/>
      <c r="AG403" s="833"/>
      <c r="AH403" s="91" t="str">
        <f>IF(AD403="free",0,IF(AD403="me","",IF(G403&gt;0,(VLOOKUP(A403,'Discount Lookup'!J:K,2)*G403),"")))</f>
        <v/>
      </c>
      <c r="AI403" s="92" t="str">
        <f t="shared" si="1015"/>
        <v/>
      </c>
      <c r="AJ403" s="828" t="str">
        <f>IF(G403=0,"",IF(AD403="me","  delivery-only",CONCATENATE(" $",ROUND(AI403/G403,2)," each")))</f>
        <v/>
      </c>
      <c r="AK403" s="828"/>
      <c r="AL403" s="313" t="str">
        <f t="shared" si="1070"/>
        <v/>
      </c>
      <c r="AM403" s="312"/>
      <c r="AN403" s="101"/>
      <c r="AO403" s="101"/>
      <c r="AP403" s="101"/>
      <c r="AQ403" s="101"/>
      <c r="AR403" s="101"/>
      <c r="AS403" s="101"/>
      <c r="AT403" s="101"/>
    </row>
    <row r="404" spans="1:46" ht="12.95" customHeight="1">
      <c r="A404" s="894" t="s">
        <v>1550</v>
      </c>
      <c r="B404" s="895"/>
      <c r="C404" s="895"/>
      <c r="D404" s="895"/>
      <c r="E404" s="895"/>
      <c r="F404" s="895"/>
      <c r="G404" s="895"/>
      <c r="H404" s="774" t="s">
        <v>309</v>
      </c>
      <c r="I404" s="164" t="s">
        <v>79</v>
      </c>
      <c r="J404" s="157"/>
      <c r="K404" s="611" t="s">
        <v>45</v>
      </c>
      <c r="L404" s="630" t="s">
        <v>46</v>
      </c>
      <c r="M404" s="157"/>
      <c r="N404" s="158" t="s">
        <v>69</v>
      </c>
      <c r="O404" s="158"/>
      <c r="P404" s="158"/>
      <c r="Q404" s="158"/>
      <c r="R404" s="835" t="s">
        <v>49</v>
      </c>
      <c r="S404" s="835"/>
      <c r="T404" s="835"/>
      <c r="U404" s="835"/>
      <c r="V404" s="100" t="b">
        <f>IF(G404&gt;0,IF(AD404="me","",G404))</f>
        <v>0</v>
      </c>
      <c r="W404" s="100"/>
      <c r="X404" s="100"/>
      <c r="Y404" s="201"/>
      <c r="Z404" s="829" t="str">
        <f t="shared" si="953"/>
        <v/>
      </c>
      <c r="AA404" s="829"/>
      <c r="AB404" s="830" t="str">
        <f>IF(G404=0,"",IF(AD404="free","re-planting",IF(AD404="me","not NVP, by",IF($AD$8="yes",(VLOOKUP(A404,'Discount Lookup'!J:K,2)*G404*(1-$AC$1786)*(1+$AC$1788)),IF(AD404="NVP",(VLOOKUP(A404,'Discount Lookup'!J:K,2)*G404*(1-$AC$1786)*(1+$AC$1788)),IF(AD404="free","re-planting",IF(G404=0,"",IF($AD$8="",IF(AD404="me","not NVP, by",IF(AD404="",IF(G404&gt;0,(VLOOKUP(A404,'Discount Lookup'!J:K,2)*G404*(1-$AC$1786)*(1+$AC$1788)),""),"")),"not NVP, by"))))))))</f>
        <v/>
      </c>
      <c r="AC404" s="830"/>
      <c r="AD404" s="375" t="str">
        <f t="shared" si="985"/>
        <v/>
      </c>
      <c r="AE404" s="833" t="str">
        <f t="shared" si="979"/>
        <v/>
      </c>
      <c r="AF404" s="833"/>
      <c r="AG404" s="833"/>
      <c r="AH404" s="91">
        <f>IF(AD404="free",0,IF(AD404="me",0,IF(G404&gt;0,(VLOOKUP(A404,'Discount Lookup'!J:K,2)*G404),0)))</f>
        <v>0</v>
      </c>
      <c r="AI404" s="92" t="str">
        <f t="shared" si="1015"/>
        <v/>
      </c>
      <c r="AJ404" s="828" t="str">
        <f t="shared" si="954"/>
        <v/>
      </c>
      <c r="AK404" s="828"/>
      <c r="AL404" s="313" t="str">
        <f t="shared" si="1070"/>
        <v/>
      </c>
      <c r="AM404" s="312"/>
      <c r="AN404" s="101"/>
      <c r="AO404" s="101"/>
      <c r="AP404" s="101"/>
      <c r="AQ404" s="101"/>
      <c r="AR404" s="101"/>
      <c r="AS404" s="101"/>
      <c r="AT404" s="101"/>
    </row>
    <row r="405" spans="1:46" ht="12.95" customHeight="1">
      <c r="A405" s="383">
        <v>15</v>
      </c>
      <c r="B405" s="158" t="s">
        <v>50</v>
      </c>
      <c r="C405" s="160" t="s">
        <v>1478</v>
      </c>
      <c r="D405" s="161" t="s">
        <v>54</v>
      </c>
      <c r="E405" s="162">
        <v>187.95</v>
      </c>
      <c r="F405" s="713" t="s">
        <v>1306</v>
      </c>
      <c r="G405" s="357">
        <v>0</v>
      </c>
      <c r="H405" s="748" t="str">
        <f t="shared" ref="H405" si="1085">IF(G405=0,"",IF(F405="Qty=",IF(G405=1,"plant","plants"),IF(F405&gt;0.0001,"warranty","Error")))</f>
        <v/>
      </c>
      <c r="I405" s="592">
        <f t="shared" ref="I405" si="1086">IF(F405="Qty=",(E405*G405),((E405*(1-F405))*G405))</f>
        <v>0</v>
      </c>
      <c r="J405" s="592">
        <f>IF(H405="warranty",0,(I405*($J$1782)))</f>
        <v>0</v>
      </c>
      <c r="K405" s="834">
        <f t="shared" ref="K405" si="1087">I405+J405</f>
        <v>0</v>
      </c>
      <c r="L405" s="834"/>
      <c r="M405" s="832" t="str">
        <f>IF($H$1784=0,"",IF(G405=0,"",IF(F405="Qty=",CONCATENATE("$",ROUND(K405*(1-$H$1784),2)," with ",($H$1784*100),"% discount"),CONCATENATE("$",ROUND(K405*(1-$H$1784),2)," with ",(($H$1784*100+F405*100)-($H$1784*100*F405)),IF(F405&gt;0,"% discounts",IF($H$1781&gt;0,"% discounts","% discount"))))))</f>
        <v/>
      </c>
      <c r="N405" s="832"/>
      <c r="O405" s="832"/>
      <c r="P405" s="832"/>
      <c r="Q405" s="832"/>
      <c r="R405" s="832"/>
      <c r="S405" s="303">
        <f t="shared" ref="S405" si="1088">E405*G405</f>
        <v>0</v>
      </c>
      <c r="T405" s="541">
        <f>VLOOKUP(A405,'Discount Lookup'!D:E,2,FALSE)*G405</f>
        <v>0</v>
      </c>
      <c r="U405" s="83">
        <f>VLOOKUP(A405,'Discount Lookup'!G:H,2,FALSE)*G405</f>
        <v>0</v>
      </c>
      <c r="V405" s="100">
        <f>E405*($J$1782)*G405</f>
        <v>0</v>
      </c>
      <c r="W405" s="100">
        <f t="shared" ref="W405" si="1089">I405</f>
        <v>0</v>
      </c>
      <c r="X405" s="100" t="b">
        <f>IF(G405&gt;0,IF(AD405="me","",G405))</f>
        <v>0</v>
      </c>
      <c r="Y405" s="201"/>
      <c r="Z405" s="829" t="str">
        <f t="shared" ref="Z405" si="1090">IF(G405=0,"",IF(AD405="me","",IF($AD$8="me","",IF(AD405="free","warranty",IF($AD$8="yes","NVP planting:","to NVP install:")))))</f>
        <v/>
      </c>
      <c r="AA405" s="829"/>
      <c r="AB405" s="830" t="str">
        <f>IF(G405=0,"",IF(AD405="free","re-planting",IF(AD405="me","not NVP, by",IF($AD$8="yes",(VLOOKUP(A405,'Discount Lookup'!J:K,2)*G405*(1-$AC$1786)*(1+$AC$1788)),IF(AD405="NVP",(VLOOKUP(A405,'Discount Lookup'!J:K,2)*G405*(1-$AC$1786)*(1+$AC$1788)),IF(AD405="free","re-planting",IF(G405=0,"",IF($AD$8="",IF(AD405="me","not NVP, by",IF(AD405="",IF(G405&gt;0,(VLOOKUP(A405,'Discount Lookup'!J:K,2)*G405*(1-$AC$1786)*(1+$AC$1788)),""),"")),"not NVP, by"))))))))</f>
        <v/>
      </c>
      <c r="AC405" s="830"/>
      <c r="AD405" s="375" t="str">
        <f t="shared" si="985"/>
        <v/>
      </c>
      <c r="AE405" s="833" t="str">
        <f t="shared" ref="AE405" si="1091">IF(G405&gt;0,(CONCATENATE((G405)," quantity, ",(A405)," ",B405)),"")</f>
        <v/>
      </c>
      <c r="AF405" s="833"/>
      <c r="AG405" s="833"/>
      <c r="AH405" s="91">
        <f>IF(AD405="free",0,IF(AD405="me",0,IF(G405&gt;0,(VLOOKUP(A405,'Discount Lookup'!J:K,2)*G405),0)))</f>
        <v>0</v>
      </c>
      <c r="AI405" s="92" t="str">
        <f t="shared" si="1015"/>
        <v/>
      </c>
      <c r="AJ405" s="828" t="str">
        <f t="shared" ref="AJ405" si="1092">IF(G405=0,"",IF(AD405="me","  delivery-only",IF($AD$8="me","  delivery-only",CONCATENATE(" $",ROUND(AI405/G405,2)," each"))))</f>
        <v/>
      </c>
      <c r="AK405" s="828"/>
      <c r="AL405" s="313" t="str">
        <f t="shared" si="1070"/>
        <v/>
      </c>
      <c r="AM405" s="312"/>
      <c r="AN405" s="101"/>
      <c r="AO405" s="101"/>
      <c r="AP405" s="101"/>
      <c r="AQ405" s="101"/>
      <c r="AR405" s="101"/>
      <c r="AS405" s="101"/>
      <c r="AT405" s="101"/>
    </row>
    <row r="406" spans="1:46" ht="12.95" customHeight="1">
      <c r="A406" s="475"/>
      <c r="B406" s="173" t="s">
        <v>1375</v>
      </c>
      <c r="G406" s="359"/>
      <c r="H406" s="746"/>
      <c r="M406" s="48"/>
      <c r="N406" s="122" t="s">
        <v>277</v>
      </c>
      <c r="O406" s="123"/>
      <c r="P406" s="124">
        <f>VLOOKUP(A406,'Discount Lookup'!G:H,2,FALSE)*G406</f>
        <v>0</v>
      </c>
      <c r="Q406" s="124"/>
      <c r="R406" s="83">
        <f>IF(F406=0,E406*($J$1782)*G406,0)</f>
        <v>0</v>
      </c>
      <c r="S406" s="82">
        <f>E406*G406</f>
        <v>0</v>
      </c>
      <c r="T406" s="540"/>
      <c r="U406" s="83"/>
      <c r="V406" s="100" t="b">
        <f>IF(G406&gt;0,IF(AD406="me","",G406))</f>
        <v>0</v>
      </c>
      <c r="W406" s="100"/>
      <c r="X406" s="100"/>
      <c r="Y406" s="201"/>
      <c r="Z406" s="829" t="str">
        <f t="shared" ref="Z406:Z470" si="1093">IF(G406=0,"",IF(AD406="me","",IF($AD$8="me","",IF(AD406="free","warranty",IF($AD$8="yes","NVP planting:","to NVP install:")))))</f>
        <v/>
      </c>
      <c r="AA406" s="829"/>
      <c r="AB406" s="830" t="str">
        <f>IF(G406=0,"",IF(AD406="free","re-planting",IF(AD406="me","not NVP, by",IF($AD$8="yes",(VLOOKUP(A406,'Discount Lookup'!J:K,2)*G406*(1-$AC$1786)*(1+$AC$1788)),IF(AD406="NVP",(VLOOKUP(A406,'Discount Lookup'!J:K,2)*G406*(1-$AC$1786)*(1+$AC$1788)),IF(AD406="free","re-planting",IF(G406=0,"",IF($AD$8="",IF(AD406="me","not NVP, by",IF(AD406="",IF(G406&gt;0,(VLOOKUP(A406,'Discount Lookup'!J:K,2)*G406*(1-$AC$1786)*(1+$AC$1788)),""),"")),"not NVP, by"))))))))</f>
        <v/>
      </c>
      <c r="AC406" s="830"/>
      <c r="AD406" s="375" t="str">
        <f t="shared" si="985"/>
        <v/>
      </c>
      <c r="AE406" s="833" t="str">
        <f t="shared" si="979"/>
        <v/>
      </c>
      <c r="AF406" s="833"/>
      <c r="AG406" s="833"/>
      <c r="AH406" s="91">
        <f>IF(AD406="free",0,IF(AD406="me",0,IF(G406&gt;0,(VLOOKUP(A406,'Discount Lookup'!J:K,2)*G406),0)))</f>
        <v>0</v>
      </c>
      <c r="AI406" s="92" t="str">
        <f t="shared" si="1015"/>
        <v/>
      </c>
      <c r="AJ406" s="828" t="str">
        <f t="shared" ref="AJ406:AJ470" si="1094">IF(G406=0,"",IF(AD406="me","  delivery-only",IF($AD$8="me","  delivery-only",CONCATENATE(" $",ROUND(AI406/G406,2)," each"))))</f>
        <v/>
      </c>
      <c r="AK406" s="828"/>
      <c r="AL406" s="313" t="str">
        <f t="shared" si="1070"/>
        <v/>
      </c>
      <c r="AM406" s="312"/>
      <c r="AN406" s="101"/>
      <c r="AO406" s="101"/>
      <c r="AP406" s="101"/>
      <c r="AQ406" s="101"/>
      <c r="AR406" s="101"/>
      <c r="AS406" s="101"/>
      <c r="AT406" s="101"/>
    </row>
    <row r="407" spans="1:46" ht="12.95" customHeight="1">
      <c r="A407" s="889" t="s">
        <v>1551</v>
      </c>
      <c r="B407" s="890"/>
      <c r="C407" s="890"/>
      <c r="D407" s="890"/>
      <c r="E407" s="890"/>
      <c r="F407" s="890"/>
      <c r="G407" s="890"/>
      <c r="H407" s="774" t="s">
        <v>309</v>
      </c>
      <c r="I407" s="349" t="s">
        <v>280</v>
      </c>
      <c r="J407" s="157"/>
      <c r="K407" s="611" t="s">
        <v>45</v>
      </c>
      <c r="L407" s="630" t="s">
        <v>46</v>
      </c>
      <c r="M407" s="157"/>
      <c r="N407" s="158" t="s">
        <v>130</v>
      </c>
      <c r="O407" s="158"/>
      <c r="P407" s="158"/>
      <c r="Q407" s="158"/>
      <c r="R407" s="157"/>
      <c r="S407" s="170"/>
      <c r="T407" s="547"/>
      <c r="U407" s="159"/>
      <c r="V407" s="100" t="b">
        <f>IF(G407&gt;0,IF(AD407="me","",G407))</f>
        <v>0</v>
      </c>
      <c r="W407" s="100"/>
      <c r="X407" s="100"/>
      <c r="Y407" s="201"/>
      <c r="Z407" s="829" t="str">
        <f t="shared" si="1093"/>
        <v/>
      </c>
      <c r="AA407" s="829"/>
      <c r="AB407" s="830" t="str">
        <f>IF(G407=0,"",IF(AD407="free","re-planting",IF(AD407="me","not NVP, by",IF($AD$8="yes",(VLOOKUP(A407,'Discount Lookup'!J:K,2)*G407*(1-$AC$1786)*(1+$AC$1788)),IF(AD407="NVP",(VLOOKUP(A407,'Discount Lookup'!J:K,2)*G407*(1-$AC$1786)*(1+$AC$1788)),IF(AD407="free","re-planting",IF(G407=0,"",IF($AD$8="",IF(AD407="me","not NVP, by",IF(AD407="",IF(G407&gt;0,(VLOOKUP(A407,'Discount Lookup'!J:K,2)*G407*(1-$AC$1786)*(1+$AC$1788)),""),"")),"not NVP, by"))))))))</f>
        <v/>
      </c>
      <c r="AC407" s="830"/>
      <c r="AD407" s="375" t="str">
        <f t="shared" si="985"/>
        <v/>
      </c>
      <c r="AE407" s="833" t="str">
        <f t="shared" si="979"/>
        <v/>
      </c>
      <c r="AF407" s="833"/>
      <c r="AG407" s="833"/>
      <c r="AH407" s="91">
        <f>IF(AD407="free",0,IF(AD407="me",0,IF(G407&gt;0,(VLOOKUP(A407,'Discount Lookup'!J:K,2)*G407),0)))</f>
        <v>0</v>
      </c>
      <c r="AI407" s="92" t="str">
        <f t="shared" si="1015"/>
        <v/>
      </c>
      <c r="AJ407" s="828" t="str">
        <f t="shared" si="1094"/>
        <v/>
      </c>
      <c r="AK407" s="828"/>
      <c r="AL407" s="313" t="str">
        <f t="shared" si="1070"/>
        <v/>
      </c>
      <c r="AM407" s="312"/>
      <c r="AN407" s="101"/>
      <c r="AO407" s="101"/>
      <c r="AP407" s="101"/>
      <c r="AQ407" s="101"/>
      <c r="AR407" s="101"/>
      <c r="AS407" s="101"/>
      <c r="AT407" s="101"/>
    </row>
    <row r="408" spans="1:46" ht="12.95" customHeight="1">
      <c r="A408" s="383">
        <v>7</v>
      </c>
      <c r="B408" s="158" t="s">
        <v>50</v>
      </c>
      <c r="C408" s="160" t="s">
        <v>292</v>
      </c>
      <c r="D408" s="161" t="s">
        <v>54</v>
      </c>
      <c r="E408" s="162">
        <v>127.95</v>
      </c>
      <c r="F408" s="713" t="s">
        <v>1306</v>
      </c>
      <c r="G408" s="357">
        <v>0</v>
      </c>
      <c r="H408" s="748" t="str">
        <f t="shared" ref="H408:H409" si="1095">IF(G408=0,"",IF(F408="Qty=",IF(G408=1,"plant","plants"),IF(F408&gt;0.0001,"warranty","Error")))</f>
        <v/>
      </c>
      <c r="I408" s="592">
        <f t="shared" ref="I408:I409" si="1096">IF(F408="Qty=",(E408*G408),((E408*(1-F408))*G408))</f>
        <v>0</v>
      </c>
      <c r="J408" s="592">
        <f>IF(H408="warranty",0,(I408*($J$1782)))</f>
        <v>0</v>
      </c>
      <c r="K408" s="834">
        <f t="shared" ref="K408:K409" si="1097">I408+J408</f>
        <v>0</v>
      </c>
      <c r="L408" s="834"/>
      <c r="M408" s="832" t="str">
        <f>IF($H$1784=0,"",IF(G408=0,"",IF(F408="Qty=",CONCATENATE("$",ROUND(K408*(1-$H$1784),2)," with ",($H$1784*100),"% discount"),CONCATENATE("$",ROUND(K408*(1-$H$1784),2)," with ",(($H$1784*100+F408*100)-($H$1784*100*F408)),IF(F408&gt;0,"% discounts",IF($H$1781&gt;0,"% discounts","% discount"))))))</f>
        <v/>
      </c>
      <c r="N408" s="832"/>
      <c r="O408" s="832"/>
      <c r="P408" s="832"/>
      <c r="Q408" s="832"/>
      <c r="R408" s="832"/>
      <c r="S408" s="303">
        <f t="shared" ref="S408:S409" si="1098">E408*G408</f>
        <v>0</v>
      </c>
      <c r="T408" s="541">
        <f>VLOOKUP(A408,'Discount Lookup'!D:E,2,FALSE)*G408</f>
        <v>0</v>
      </c>
      <c r="U408" s="83">
        <f>VLOOKUP(A408,'Discount Lookup'!G:H,2,FALSE)*G408</f>
        <v>0</v>
      </c>
      <c r="V408" s="100">
        <f>E408*($J$1782)*G408</f>
        <v>0</v>
      </c>
      <c r="W408" s="100">
        <f t="shared" ref="W408:W409" si="1099">I408</f>
        <v>0</v>
      </c>
      <c r="X408" s="100" t="b">
        <f>IF(G408&gt;0,IF(AD408="me","",G408))</f>
        <v>0</v>
      </c>
      <c r="Y408" s="201"/>
      <c r="Z408" s="829" t="str">
        <f t="shared" si="1093"/>
        <v/>
      </c>
      <c r="AA408" s="829"/>
      <c r="AB408" s="830" t="str">
        <f>IF(G408=0,"",IF(AD408="free","re-planting",IF(AD408="me","not NVP, by",IF($AD$8="yes",(VLOOKUP(A408,'Discount Lookup'!J:K,2)*G408*(1-$AC$1786)*(1+$AC$1788)),IF(AD408="NVP",(VLOOKUP(A408,'Discount Lookup'!J:K,2)*G408*(1-$AC$1786)*(1+$AC$1788)),IF(AD408="free","re-planting",IF(G408=0,"",IF($AD$8="",IF(AD408="me","not NVP, by",IF(AD408="",IF(G408&gt;0,(VLOOKUP(A408,'Discount Lookup'!J:K,2)*G408*(1-$AC$1786)*(1+$AC$1788)),""),"")),"not NVP, by"))))))))</f>
        <v/>
      </c>
      <c r="AC408" s="830"/>
      <c r="AD408" s="375" t="str">
        <f t="shared" si="985"/>
        <v/>
      </c>
      <c r="AE408" s="833" t="str">
        <f t="shared" si="979"/>
        <v/>
      </c>
      <c r="AF408" s="833"/>
      <c r="AG408" s="833"/>
      <c r="AH408" s="91">
        <f>IF(AD408="free",0,IF(AD408="me",0,IF(G408&gt;0,(VLOOKUP(A408,'Discount Lookup'!J:K,2)*G408),0)))</f>
        <v>0</v>
      </c>
      <c r="AI408" s="92" t="str">
        <f t="shared" si="1015"/>
        <v/>
      </c>
      <c r="AJ408" s="828" t="str">
        <f t="shared" si="1094"/>
        <v/>
      </c>
      <c r="AK408" s="828"/>
      <c r="AL408" s="313" t="str">
        <f t="shared" si="1070"/>
        <v/>
      </c>
      <c r="AM408" s="312"/>
      <c r="AN408" s="101"/>
      <c r="AO408" s="101"/>
      <c r="AP408" s="101"/>
      <c r="AQ408" s="101"/>
      <c r="AR408" s="101"/>
      <c r="AS408" s="101"/>
      <c r="AT408" s="101"/>
    </row>
    <row r="409" spans="1:46" ht="12.95" customHeight="1">
      <c r="A409" s="383">
        <v>25</v>
      </c>
      <c r="B409" s="158" t="s">
        <v>50</v>
      </c>
      <c r="C409" s="160" t="s">
        <v>293</v>
      </c>
      <c r="D409" s="161" t="s">
        <v>54</v>
      </c>
      <c r="E409" s="162">
        <v>339.95</v>
      </c>
      <c r="F409" s="713" t="s">
        <v>1306</v>
      </c>
      <c r="G409" s="357">
        <v>0</v>
      </c>
      <c r="H409" s="748" t="str">
        <f t="shared" si="1095"/>
        <v/>
      </c>
      <c r="I409" s="592">
        <f t="shared" si="1096"/>
        <v>0</v>
      </c>
      <c r="J409" s="592">
        <f>IF(H409="warranty",0,(I409*($J$1782)))</f>
        <v>0</v>
      </c>
      <c r="K409" s="834">
        <f t="shared" si="1097"/>
        <v>0</v>
      </c>
      <c r="L409" s="834"/>
      <c r="M409" s="832" t="str">
        <f>IF($H$1784=0,"",IF(G409=0,"",IF(F409="Qty=",CONCATENATE("$",ROUND(K409*(1-$H$1784),2)," with ",($H$1784*100),"% discount"),CONCATENATE("$",ROUND(K409*(1-$H$1784),2)," with ",(($H$1784*100+F409*100)-($H$1784*100*F409)),IF(F409&gt;0,"% discounts",IF($H$1781&gt;0,"% discounts","% discount"))))))</f>
        <v/>
      </c>
      <c r="N409" s="832"/>
      <c r="O409" s="832"/>
      <c r="P409" s="832"/>
      <c r="Q409" s="832"/>
      <c r="R409" s="832"/>
      <c r="S409" s="303">
        <f t="shared" si="1098"/>
        <v>0</v>
      </c>
      <c r="T409" s="541">
        <f>VLOOKUP(A409,'Discount Lookup'!D:E,2,FALSE)*G409</f>
        <v>0</v>
      </c>
      <c r="U409" s="83">
        <f>VLOOKUP(A409,'Discount Lookup'!G:H,2,FALSE)*G409</f>
        <v>0</v>
      </c>
      <c r="V409" s="100">
        <f>E409*($J$1782)*G409</f>
        <v>0</v>
      </c>
      <c r="W409" s="100">
        <f t="shared" si="1099"/>
        <v>0</v>
      </c>
      <c r="X409" s="100" t="b">
        <f>IF(G409&gt;0,IF(AD409="me","",G409))</f>
        <v>0</v>
      </c>
      <c r="Y409" s="201"/>
      <c r="Z409" s="829" t="str">
        <f t="shared" si="1093"/>
        <v/>
      </c>
      <c r="AA409" s="829"/>
      <c r="AB409" s="830" t="str">
        <f>IF(G409=0,"",IF(AD409="free","re-planting",IF(AD409="me","not NVP, by",IF($AD$8="yes",(VLOOKUP(A409,'Discount Lookup'!J:K,2)*G409*(1-$AC$1786)*(1+$AC$1788)),IF(AD409="NVP",(VLOOKUP(A409,'Discount Lookup'!J:K,2)*G409*(1-$AC$1786)*(1+$AC$1788)),IF(AD409="free","re-planting",IF(G409=0,"",IF($AD$8="",IF(AD409="me","not NVP, by",IF(AD409="",IF(G409&gt;0,(VLOOKUP(A409,'Discount Lookup'!J:K,2)*G409*(1-$AC$1786)*(1+$AC$1788)),""),"")),"not NVP, by"))))))))</f>
        <v/>
      </c>
      <c r="AC409" s="830"/>
      <c r="AD409" s="375" t="str">
        <f t="shared" si="985"/>
        <v/>
      </c>
      <c r="AE409" s="833" t="str">
        <f t="shared" si="979"/>
        <v/>
      </c>
      <c r="AF409" s="833"/>
      <c r="AG409" s="833"/>
      <c r="AH409" s="91">
        <f>IF(AD409="free",0,IF(AD409="me",0,IF(G409&gt;0,(VLOOKUP(A409,'Discount Lookup'!J:K,2)*G409),0)))</f>
        <v>0</v>
      </c>
      <c r="AI409" s="92" t="str">
        <f t="shared" si="1015"/>
        <v/>
      </c>
      <c r="AJ409" s="828" t="str">
        <f t="shared" si="1094"/>
        <v/>
      </c>
      <c r="AK409" s="828"/>
      <c r="AL409" s="313" t="str">
        <f t="shared" si="1070"/>
        <v/>
      </c>
      <c r="AM409" s="312"/>
      <c r="AN409" s="101"/>
      <c r="AO409" s="101"/>
      <c r="AP409" s="101"/>
      <c r="AQ409" s="101"/>
      <c r="AR409" s="101"/>
      <c r="AS409" s="101"/>
      <c r="AT409" s="101"/>
    </row>
    <row r="410" spans="1:46" ht="12.95" customHeight="1">
      <c r="A410" s="472"/>
      <c r="B410" s="173" t="s">
        <v>311</v>
      </c>
      <c r="C410" s="118"/>
      <c r="D410" s="118"/>
      <c r="E410" s="119"/>
      <c r="F410" s="711"/>
      <c r="G410" s="358"/>
      <c r="H410" s="745"/>
      <c r="I410" s="119"/>
      <c r="J410" s="119"/>
      <c r="K410" s="609"/>
      <c r="L410" s="609"/>
      <c r="M410" s="121"/>
      <c r="N410" s="163" t="s">
        <v>268</v>
      </c>
      <c r="O410" s="123"/>
      <c r="P410" s="124"/>
      <c r="Q410" s="124"/>
      <c r="R410" s="83"/>
      <c r="S410" s="82">
        <f>E410*G410</f>
        <v>0</v>
      </c>
      <c r="T410" s="540"/>
      <c r="U410" s="83"/>
      <c r="V410" s="100" t="b">
        <f>IF(G410&gt;0,IF(AD410="me","",G410))</f>
        <v>0</v>
      </c>
      <c r="W410" s="100"/>
      <c r="X410" s="100"/>
      <c r="Y410" s="201"/>
      <c r="Z410" s="829" t="str">
        <f t="shared" si="1093"/>
        <v/>
      </c>
      <c r="AA410" s="829"/>
      <c r="AB410" s="830" t="str">
        <f>IF(G410=0,"",IF(AD410="free","re-planting",IF(AD410="me","not NVP, by",IF($AD$8="yes",(VLOOKUP(A410,'Discount Lookup'!J:K,2)*G410*(1-$AC$1786)*(1+$AC$1788)),IF(AD410="NVP",(VLOOKUP(A410,'Discount Lookup'!J:K,2)*G410*(1-$AC$1786)*(1+$AC$1788)),IF(AD410="free","re-planting",IF(G410=0,"",IF($AD$8="",IF(AD410="me","not NVP, by",IF(AD410="",IF(G410&gt;0,(VLOOKUP(A410,'Discount Lookup'!J:K,2)*G410*(1-$AC$1786)*(1+$AC$1788)),""),"")),"not NVP, by"))))))))</f>
        <v/>
      </c>
      <c r="AC410" s="830"/>
      <c r="AD410" s="375" t="str">
        <f t="shared" si="985"/>
        <v/>
      </c>
      <c r="AE410" s="833" t="str">
        <f t="shared" si="979"/>
        <v/>
      </c>
      <c r="AF410" s="833"/>
      <c r="AG410" s="833"/>
      <c r="AH410" s="91">
        <f>IF(AD410="free",0,IF(AD410="me",0,IF(G410&gt;0,(VLOOKUP(A410,'Discount Lookup'!J:K,2)*G410),0)))</f>
        <v>0</v>
      </c>
      <c r="AI410" s="92" t="str">
        <f t="shared" si="1015"/>
        <v/>
      </c>
      <c r="AJ410" s="828" t="str">
        <f t="shared" si="1094"/>
        <v/>
      </c>
      <c r="AK410" s="828"/>
      <c r="AL410" s="313" t="str">
        <f t="shared" si="1070"/>
        <v/>
      </c>
      <c r="AM410" s="312"/>
      <c r="AN410" s="101"/>
      <c r="AO410" s="101"/>
      <c r="AP410" s="101"/>
      <c r="AQ410" s="101"/>
      <c r="AR410" s="101"/>
      <c r="AS410" s="101"/>
      <c r="AT410" s="101"/>
    </row>
    <row r="411" spans="1:46" ht="12.95" customHeight="1">
      <c r="A411" s="889" t="s">
        <v>315</v>
      </c>
      <c r="B411" s="890"/>
      <c r="C411" s="890"/>
      <c r="D411" s="890"/>
      <c r="E411" s="890"/>
      <c r="F411" s="890"/>
      <c r="G411" s="890"/>
      <c r="H411" s="774" t="s">
        <v>93</v>
      </c>
      <c r="I411" s="349" t="s">
        <v>280</v>
      </c>
      <c r="J411" s="157"/>
      <c r="K411" s="611" t="s">
        <v>45</v>
      </c>
      <c r="L411" s="630" t="s">
        <v>46</v>
      </c>
      <c r="M411" s="157"/>
      <c r="N411" s="158" t="s">
        <v>47</v>
      </c>
      <c r="O411" s="158"/>
      <c r="P411" s="158"/>
      <c r="Q411" s="804" t="s">
        <v>1626</v>
      </c>
      <c r="R411" s="835" t="s">
        <v>49</v>
      </c>
      <c r="S411" s="835"/>
      <c r="T411" s="835"/>
      <c r="U411" s="835"/>
      <c r="V411" s="100" t="b">
        <f>IF(G411&gt;0,IF(AD411="me","",G411))</f>
        <v>0</v>
      </c>
      <c r="W411" s="100"/>
      <c r="X411" s="100"/>
      <c r="Y411" s="201"/>
      <c r="Z411" s="829" t="str">
        <f t="shared" si="1093"/>
        <v/>
      </c>
      <c r="AA411" s="829"/>
      <c r="AB411" s="830" t="str">
        <f>IF(G411=0,"",IF(AD411="free","re-planting",IF(AD411="me","not NVP, by",IF($AD$8="yes",(VLOOKUP(A411,'Discount Lookup'!J:K,2)*G411*(1-$AC$1786)*(1+$AC$1788)),IF(AD411="NVP",(VLOOKUP(A411,'Discount Lookup'!J:K,2)*G411*(1-$AC$1786)*(1+$AC$1788)),IF(AD411="free","re-planting",IF(G411=0,"",IF($AD$8="",IF(AD411="me","not NVP, by",IF(AD411="",IF(G411&gt;0,(VLOOKUP(A411,'Discount Lookup'!J:K,2)*G411*(1-$AC$1786)*(1+$AC$1788)),""),"")),"not NVP, by"))))))))</f>
        <v/>
      </c>
      <c r="AC411" s="830"/>
      <c r="AD411" s="375" t="str">
        <f t="shared" si="985"/>
        <v/>
      </c>
      <c r="AE411" s="833" t="str">
        <f t="shared" ref="AE411:AE478" si="1100">IF(G411&gt;0,(CONCATENATE((G411)," quantity, ",(A411)," ",B411)),"")</f>
        <v/>
      </c>
      <c r="AF411" s="833"/>
      <c r="AG411" s="833"/>
      <c r="AH411" s="91">
        <f>IF(AD411="free",0,IF(AD411="me",0,IF(G411&gt;0,(VLOOKUP(A411,'Discount Lookup'!J:K,2)*G411),0)))</f>
        <v>0</v>
      </c>
      <c r="AI411" s="92" t="str">
        <f t="shared" si="1015"/>
        <v/>
      </c>
      <c r="AJ411" s="828" t="str">
        <f t="shared" si="1094"/>
        <v/>
      </c>
      <c r="AK411" s="828"/>
      <c r="AL411" s="313" t="str">
        <f t="shared" si="1070"/>
        <v/>
      </c>
      <c r="AM411" s="312"/>
      <c r="AN411" s="101"/>
      <c r="AO411" s="101"/>
      <c r="AP411" s="101"/>
      <c r="AQ411" s="101"/>
      <c r="AR411" s="101"/>
      <c r="AS411" s="101"/>
      <c r="AT411" s="101"/>
    </row>
    <row r="412" spans="1:46" ht="12.95" customHeight="1">
      <c r="A412" s="383">
        <v>25</v>
      </c>
      <c r="B412" s="158" t="s">
        <v>50</v>
      </c>
      <c r="C412" s="160" t="s">
        <v>1269</v>
      </c>
      <c r="D412" s="161" t="s">
        <v>54</v>
      </c>
      <c r="E412" s="162">
        <v>299.95</v>
      </c>
      <c r="F412" s="713" t="s">
        <v>1306</v>
      </c>
      <c r="G412" s="357">
        <v>0</v>
      </c>
      <c r="H412" s="748" t="str">
        <f t="shared" ref="H412" si="1101">IF(G412=0,"",IF(F412="Qty=",IF(G412=1,"plant","plants"),IF(F412&gt;0.0001,"warranty","Error")))</f>
        <v/>
      </c>
      <c r="I412" s="592">
        <f t="shared" ref="I412" si="1102">IF(F412="Qty=",(E412*G412),((E412*(1-F412))*G412))</f>
        <v>0</v>
      </c>
      <c r="J412" s="592">
        <f>IF(H412="warranty",0,(I412*($J$1782)))</f>
        <v>0</v>
      </c>
      <c r="K412" s="834">
        <f t="shared" ref="K412" si="1103">I412+J412</f>
        <v>0</v>
      </c>
      <c r="L412" s="834"/>
      <c r="M412" s="832" t="str">
        <f>IF($H$1784=0,"",IF(G412=0,"",IF(F412="Qty=",CONCATENATE("$",ROUND(K412*(1-$H$1784),2)," with ",($H$1784*100),"% discount"),CONCATENATE("$",ROUND(K412*(1-$H$1784),2)," with ",(($H$1784*100+F412*100)-($H$1784*100*F412)),IF(F412&gt;0,"% discounts",IF($H$1781&gt;0,"% discounts","% discount"))))))</f>
        <v/>
      </c>
      <c r="N412" s="832"/>
      <c r="O412" s="832"/>
      <c r="P412" s="832"/>
      <c r="Q412" s="832"/>
      <c r="R412" s="832"/>
      <c r="S412" s="303">
        <f t="shared" ref="S412" si="1104">E412*G412</f>
        <v>0</v>
      </c>
      <c r="T412" s="541">
        <f>VLOOKUP(A412,'Discount Lookup'!D:E,2,FALSE)*G412</f>
        <v>0</v>
      </c>
      <c r="U412" s="83">
        <f>VLOOKUP(A412,'Discount Lookup'!G:H,2,FALSE)*G412</f>
        <v>0</v>
      </c>
      <c r="V412" s="100">
        <f>E412*($J$1782)*G412</f>
        <v>0</v>
      </c>
      <c r="W412" s="100">
        <f t="shared" ref="W412" si="1105">I412</f>
        <v>0</v>
      </c>
      <c r="X412" s="100" t="b">
        <f>IF(G412&gt;0,IF(AD412="me","",G412))</f>
        <v>0</v>
      </c>
      <c r="Y412" s="201"/>
      <c r="Z412" s="829" t="str">
        <f t="shared" si="1093"/>
        <v/>
      </c>
      <c r="AA412" s="829"/>
      <c r="AB412" s="830" t="str">
        <f>IF(G412=0,"",IF(AD412="free","re-planting",IF(AD412="me","not NVP, by",IF($AD$8="yes",(VLOOKUP(A412,'Discount Lookup'!J:K,2)*G412*(1-$AC$1786)*(1+$AC$1788)),IF(AD412="NVP",(VLOOKUP(A412,'Discount Lookup'!J:K,2)*G412*(1-$AC$1786)*(1+$AC$1788)),IF(AD412="free","re-planting",IF(G412=0,"",IF($AD$8="",IF(AD412="me","not NVP, by",IF(AD412="",IF(G412&gt;0,(VLOOKUP(A412,'Discount Lookup'!J:K,2)*G412*(1-$AC$1786)*(1+$AC$1788)),""),"")),"not NVP, by"))))))))</f>
        <v/>
      </c>
      <c r="AC412" s="830"/>
      <c r="AD412" s="375" t="str">
        <f t="shared" si="985"/>
        <v/>
      </c>
      <c r="AE412" s="833" t="str">
        <f t="shared" si="1100"/>
        <v/>
      </c>
      <c r="AF412" s="833"/>
      <c r="AG412" s="833"/>
      <c r="AH412" s="91">
        <f>IF(AD412="free",0,IF(AD412="me",0,IF(G412&gt;0,(VLOOKUP(A412,'Discount Lookup'!J:K,2)*G412),0)))</f>
        <v>0</v>
      </c>
      <c r="AI412" s="92" t="str">
        <f t="shared" si="1015"/>
        <v/>
      </c>
      <c r="AJ412" s="828" t="str">
        <f t="shared" si="1094"/>
        <v/>
      </c>
      <c r="AK412" s="828"/>
      <c r="AL412" s="313" t="str">
        <f t="shared" si="1070"/>
        <v/>
      </c>
      <c r="AM412" s="312"/>
      <c r="AN412" s="101"/>
      <c r="AO412" s="101"/>
      <c r="AP412" s="101"/>
      <c r="AQ412" s="101"/>
      <c r="AR412" s="101"/>
      <c r="AS412" s="101"/>
      <c r="AT412" s="101"/>
    </row>
    <row r="413" spans="1:46" ht="12.95" customHeight="1">
      <c r="A413" s="473"/>
      <c r="B413" s="173" t="s">
        <v>316</v>
      </c>
      <c r="C413" s="117"/>
      <c r="D413" s="118"/>
      <c r="E413" s="119"/>
      <c r="F413" s="711"/>
      <c r="G413" s="356"/>
      <c r="H413" s="745"/>
      <c r="I413" s="119"/>
      <c r="J413" s="119"/>
      <c r="K413" s="609"/>
      <c r="L413" s="609"/>
      <c r="M413" s="121"/>
      <c r="N413" s="122" t="s">
        <v>277</v>
      </c>
      <c r="O413" s="123"/>
      <c r="P413" s="124"/>
      <c r="Q413" s="124"/>
      <c r="R413" s="83"/>
      <c r="S413" s="82">
        <f>E413*G413</f>
        <v>0</v>
      </c>
      <c r="T413" s="540"/>
      <c r="U413" s="83"/>
      <c r="V413" s="100" t="b">
        <f>IF(G413&gt;0,IF(AD413="me","",G413))</f>
        <v>0</v>
      </c>
      <c r="W413" s="100"/>
      <c r="X413" s="100"/>
      <c r="Y413" s="201"/>
      <c r="Z413" s="829" t="str">
        <f t="shared" si="1093"/>
        <v/>
      </c>
      <c r="AA413" s="829"/>
      <c r="AB413" s="830" t="str">
        <f>IF(G413=0,"",IF(AD413="free","re-planting",IF(AD413="me","not NVP, by",IF($AD$8="yes",(VLOOKUP(A413,'Discount Lookup'!J:K,2)*G413*(1-$AC$1786)*(1+$AC$1788)),IF(AD413="NVP",(VLOOKUP(A413,'Discount Lookup'!J:K,2)*G413*(1-$AC$1786)*(1+$AC$1788)),IF(AD413="free","re-planting",IF(G413=0,"",IF($AD$8="",IF(AD413="me","not NVP, by",IF(AD413="",IF(G413&gt;0,(VLOOKUP(A413,'Discount Lookup'!J:K,2)*G413*(1-$AC$1786)*(1+$AC$1788)),""),"")),"not NVP, by"))))))))</f>
        <v/>
      </c>
      <c r="AC413" s="830"/>
      <c r="AD413" s="375" t="str">
        <f t="shared" si="985"/>
        <v/>
      </c>
      <c r="AE413" s="833" t="str">
        <f t="shared" si="1100"/>
        <v/>
      </c>
      <c r="AF413" s="833"/>
      <c r="AG413" s="833"/>
      <c r="AH413" s="91">
        <f>IF(AD413="free",0,IF(AD413="me",0,IF(G413&gt;0,(VLOOKUP(A413,'Discount Lookup'!J:K,2)*G413),0)))</f>
        <v>0</v>
      </c>
      <c r="AI413" s="92" t="str">
        <f t="shared" si="1015"/>
        <v/>
      </c>
      <c r="AJ413" s="828" t="str">
        <f t="shared" si="1094"/>
        <v/>
      </c>
      <c r="AK413" s="828"/>
      <c r="AL413" s="313" t="str">
        <f t="shared" si="1070"/>
        <v/>
      </c>
      <c r="AM413" s="312"/>
      <c r="AN413" s="101"/>
      <c r="AO413" s="101"/>
      <c r="AP413" s="101"/>
      <c r="AQ413" s="101"/>
      <c r="AR413" s="101"/>
      <c r="AS413" s="101"/>
      <c r="AT413" s="101"/>
    </row>
    <row r="414" spans="1:46" ht="12.95" customHeight="1">
      <c r="A414" s="889" t="s">
        <v>1549</v>
      </c>
      <c r="B414" s="890"/>
      <c r="C414" s="890"/>
      <c r="D414" s="890"/>
      <c r="E414" s="890"/>
      <c r="F414" s="890"/>
      <c r="G414" s="890"/>
      <c r="H414" s="774" t="s">
        <v>1504</v>
      </c>
      <c r="I414" s="349" t="s">
        <v>280</v>
      </c>
      <c r="J414" s="157"/>
      <c r="K414" s="611" t="s">
        <v>45</v>
      </c>
      <c r="L414" s="630" t="s">
        <v>46</v>
      </c>
      <c r="M414" s="157"/>
      <c r="N414" s="158" t="s">
        <v>69</v>
      </c>
      <c r="O414" s="158"/>
      <c r="P414" s="158"/>
      <c r="Q414" s="158"/>
      <c r="R414" s="835" t="s">
        <v>49</v>
      </c>
      <c r="S414" s="835"/>
      <c r="T414" s="835"/>
      <c r="U414" s="835"/>
      <c r="V414" s="100" t="b">
        <f>IF(G414&gt;0,IF(AD414="me","",G414))</f>
        <v>0</v>
      </c>
      <c r="W414" s="100"/>
      <c r="X414" s="100"/>
      <c r="Y414" s="201"/>
      <c r="Z414" s="829" t="str">
        <f t="shared" ref="Z414:Z416" si="1106">IF(G414=0,"",IF(AD414="me","",IF($AD$8="me","",IF(AD414="free","warranty",IF($AD$8="yes","NVP planting:","to NVP install:")))))</f>
        <v/>
      </c>
      <c r="AA414" s="829"/>
      <c r="AB414" s="830" t="str">
        <f>IF(G414=0,"",IF(AD414="free","re-planting",IF(AD414="me","not NVP, by",IF($AD$8="yes",(VLOOKUP(A414,'Discount Lookup'!J:K,2)*G414*(1-$AC$1786)*(1+$AC$1788)),IF(AD414="NVP",(VLOOKUP(A414,'Discount Lookup'!J:K,2)*G414*(1-$AC$1786)*(1+$AC$1788)),IF(AD414="free","re-planting",IF(G414=0,"",IF($AD$8="",IF(AD414="me","not NVP, by",IF(AD414="",IF(G414&gt;0,(VLOOKUP(A414,'Discount Lookup'!J:K,2)*G414*(1-$AC$1786)*(1+$AC$1788)),""),"")),"not NVP, by"))))))))</f>
        <v/>
      </c>
      <c r="AC414" s="830"/>
      <c r="AD414" s="375" t="str">
        <f t="shared" ref="AD414:AD416" si="1107">IF(G414=0,"",IF($AD$8="me","me",IF(H414="warranty","free",IF($AD$8="yes","NVP",""))))</f>
        <v/>
      </c>
      <c r="AE414" s="833" t="str">
        <f t="shared" ref="AE414:AE416" si="1108">IF(G414&gt;0,(CONCATENATE((G414)," quantity, ",(A414)," ",B414)),"")</f>
        <v/>
      </c>
      <c r="AF414" s="833"/>
      <c r="AG414" s="833"/>
      <c r="AH414" s="91">
        <f>IF(AD414="free",0,IF(AD414="me",0,IF(G414&gt;0,(VLOOKUP(A414,'Discount Lookup'!J:K,2)*G414),0)))</f>
        <v>0</v>
      </c>
      <c r="AI414" s="92" t="str">
        <f t="shared" si="1015"/>
        <v/>
      </c>
      <c r="AJ414" s="828" t="str">
        <f t="shared" ref="AJ414:AJ416" si="1109">IF(G414=0,"",IF(AD414="me","  delivery-only",IF($AD$8="me","  delivery-only",CONCATENATE(" $",ROUND(AI414/G414,2)," each"))))</f>
        <v/>
      </c>
      <c r="AK414" s="828"/>
      <c r="AL414" s="313" t="str">
        <f t="shared" si="1070"/>
        <v/>
      </c>
      <c r="AM414" s="312"/>
      <c r="AN414" s="101"/>
      <c r="AO414" s="101"/>
      <c r="AP414" s="101"/>
      <c r="AQ414" s="101"/>
      <c r="AR414" s="101"/>
      <c r="AS414" s="101"/>
      <c r="AT414" s="101"/>
    </row>
    <row r="415" spans="1:46" ht="12.95" customHeight="1">
      <c r="A415" s="383">
        <v>15</v>
      </c>
      <c r="B415" s="158" t="s">
        <v>50</v>
      </c>
      <c r="C415" s="160" t="s">
        <v>1505</v>
      </c>
      <c r="D415" s="161" t="s">
        <v>54</v>
      </c>
      <c r="E415" s="162">
        <v>270.95</v>
      </c>
      <c r="F415" s="713" t="s">
        <v>1306</v>
      </c>
      <c r="G415" s="357">
        <v>0</v>
      </c>
      <c r="H415" s="748" t="str">
        <f t="shared" ref="H415" si="1110">IF(G415=0,"",IF(F415="Qty=",IF(G415=1,"plant","plants"),IF(F415&gt;0.0001,"warranty","Error")))</f>
        <v/>
      </c>
      <c r="I415" s="592">
        <f t="shared" ref="I415" si="1111">IF(F415="Qty=",(E415*G415),((E415*(1-F415))*G415))</f>
        <v>0</v>
      </c>
      <c r="J415" s="592">
        <f>IF(H415="warranty",0,(I415*($J$1782)))</f>
        <v>0</v>
      </c>
      <c r="K415" s="834">
        <f t="shared" ref="K415" si="1112">I415+J415</f>
        <v>0</v>
      </c>
      <c r="L415" s="834"/>
      <c r="M415" s="832" t="str">
        <f>IF($H$1784=0,"",IF(G415=0,"",IF(F415="Qty=",CONCATENATE("$",ROUND(K415*(1-$H$1784),2)," with ",($H$1784*100),"% discount"),CONCATENATE("$",ROUND(K415*(1-$H$1784),2)," with ",(($H$1784*100+F415*100)-($H$1784*100*F415)),IF(F415&gt;0,"% discounts",IF($H$1781&gt;0,"% discounts","% discount"))))))</f>
        <v/>
      </c>
      <c r="N415" s="832"/>
      <c r="O415" s="832"/>
      <c r="P415" s="832"/>
      <c r="Q415" s="832"/>
      <c r="R415" s="832"/>
      <c r="S415" s="303">
        <f t="shared" ref="S415" si="1113">E415*G415</f>
        <v>0</v>
      </c>
      <c r="T415" s="541">
        <f>VLOOKUP(A415,'Discount Lookup'!D:E,2,FALSE)*G415</f>
        <v>0</v>
      </c>
      <c r="U415" s="83">
        <f>VLOOKUP(A415,'Discount Lookup'!G:H,2,FALSE)*G415</f>
        <v>0</v>
      </c>
      <c r="V415" s="100">
        <f>E415*($J$1782)*G415</f>
        <v>0</v>
      </c>
      <c r="W415" s="100">
        <f t="shared" ref="W415" si="1114">I415</f>
        <v>0</v>
      </c>
      <c r="X415" s="100" t="b">
        <f t="shared" ref="X415" si="1115">IF(G415&gt;0,IF(AD415="me","",G415))</f>
        <v>0</v>
      </c>
      <c r="Y415" s="201"/>
      <c r="Z415" s="829" t="str">
        <f t="shared" si="1106"/>
        <v/>
      </c>
      <c r="AA415" s="829"/>
      <c r="AB415" s="830" t="str">
        <f>IF(G415=0,"",IF(AD415="free","re-planting",IF(AD415="me","not NVP, by",IF($AD$8="yes",(VLOOKUP(A415,'Discount Lookup'!J:K,2)*G415*(1-$AC$1786)*(1+$AC$1788)),IF(AD415="NVP",(VLOOKUP(A415,'Discount Lookup'!J:K,2)*G415*(1-$AC$1786)*(1+$AC$1788)),IF(AD415="free","re-planting",IF(G415=0,"",IF($AD$8="",IF(AD415="me","not NVP, by",IF(AD415="",IF(G415&gt;0,(VLOOKUP(A415,'Discount Lookup'!J:K,2)*G415*(1-$AC$1786)*(1+$AC$1788)),""),"")),"not NVP, by"))))))))</f>
        <v/>
      </c>
      <c r="AC415" s="830"/>
      <c r="AD415" s="375" t="str">
        <f t="shared" si="1107"/>
        <v/>
      </c>
      <c r="AE415" s="833" t="str">
        <f t="shared" si="1108"/>
        <v/>
      </c>
      <c r="AF415" s="833"/>
      <c r="AG415" s="833"/>
      <c r="AH415" s="91">
        <f>IF(AD415="free",0,IF(AD415="me",0,IF(G415&gt;0,(VLOOKUP(A415,'Discount Lookup'!J:K,2)*G415),0)))</f>
        <v>0</v>
      </c>
      <c r="AI415" s="92" t="str">
        <f t="shared" si="1015"/>
        <v/>
      </c>
      <c r="AJ415" s="828" t="str">
        <f t="shared" si="1109"/>
        <v/>
      </c>
      <c r="AK415" s="828"/>
      <c r="AL415" s="313" t="str">
        <f t="shared" si="1070"/>
        <v/>
      </c>
      <c r="AM415" s="312"/>
      <c r="AN415" s="101"/>
      <c r="AO415" s="101"/>
      <c r="AP415" s="101"/>
      <c r="AQ415" s="101"/>
      <c r="AR415" s="101"/>
      <c r="AS415" s="101"/>
      <c r="AT415" s="101"/>
    </row>
    <row r="416" spans="1:46" ht="12.95" customHeight="1">
      <c r="A416" s="475"/>
      <c r="B416" s="173" t="s">
        <v>1506</v>
      </c>
      <c r="G416" s="361"/>
      <c r="H416" s="746"/>
      <c r="L416" s="616" t="s">
        <v>1337</v>
      </c>
      <c r="M416" s="846" t="s">
        <v>38</v>
      </c>
      <c r="N416" s="846"/>
      <c r="O416" s="178"/>
      <c r="P416" s="124">
        <f>VLOOKUP(A416,'Discount Lookup'!G:H,2,FALSE)*G416</f>
        <v>0</v>
      </c>
      <c r="Q416" s="124"/>
      <c r="R416" s="83">
        <f>IF(F416=0,E416*($J$1782)*G416,0)</f>
        <v>0</v>
      </c>
      <c r="S416" s="82">
        <f>E416*G416</f>
        <v>0</v>
      </c>
      <c r="T416" s="540"/>
      <c r="U416" s="83"/>
      <c r="V416" s="100" t="b">
        <f>IF(G416&gt;0,IF(AD416="me","",G416))</f>
        <v>0</v>
      </c>
      <c r="W416" s="100"/>
      <c r="X416" s="100"/>
      <c r="Y416" s="201"/>
      <c r="Z416" s="829" t="str">
        <f t="shared" si="1106"/>
        <v/>
      </c>
      <c r="AA416" s="829"/>
      <c r="AB416" s="830" t="str">
        <f>IF(G416=0,"",IF(AD416="free","re-planting",IF(AD416="me","not NVP, by",IF($AD$8="yes",(VLOOKUP(A416,'Discount Lookup'!J:K,2)*G416*(1-$AC$1786)*(1+$AC$1788)),IF(AD416="NVP",(VLOOKUP(A416,'Discount Lookup'!J:K,2)*G416*(1-$AC$1786)*(1+$AC$1788)),IF(AD416="free","re-planting",IF(G416=0,"",IF($AD$8="",IF(AD416="me","not NVP, by",IF(AD416="",IF(G416&gt;0,(VLOOKUP(A416,'Discount Lookup'!J:K,2)*G416*(1-$AC$1786)*(1+$AC$1788)),""),"")),"not NVP, by"))))))))</f>
        <v/>
      </c>
      <c r="AC416" s="830"/>
      <c r="AD416" s="375" t="str">
        <f t="shared" si="1107"/>
        <v/>
      </c>
      <c r="AE416" s="833" t="str">
        <f t="shared" si="1108"/>
        <v/>
      </c>
      <c r="AF416" s="833"/>
      <c r="AG416" s="833"/>
      <c r="AH416" s="91">
        <f>IF(AD416="free",0,IF(AD416="me",0,IF(G416&gt;0,(VLOOKUP(A416,'Discount Lookup'!J:K,2)*G416),0)))</f>
        <v>0</v>
      </c>
      <c r="AI416" s="92" t="str">
        <f t="shared" si="1015"/>
        <v/>
      </c>
      <c r="AJ416" s="828" t="str">
        <f t="shared" si="1109"/>
        <v/>
      </c>
      <c r="AK416" s="828"/>
      <c r="AL416" s="313" t="str">
        <f t="shared" si="1070"/>
        <v/>
      </c>
      <c r="AM416" s="312"/>
      <c r="AN416" s="101"/>
      <c r="AO416" s="101"/>
      <c r="AP416" s="101"/>
      <c r="AQ416" s="101"/>
      <c r="AR416" s="101"/>
      <c r="AS416" s="101"/>
      <c r="AT416" s="101"/>
    </row>
    <row r="417" spans="1:46" ht="12.95" customHeight="1">
      <c r="A417" s="889" t="s">
        <v>317</v>
      </c>
      <c r="B417" s="890"/>
      <c r="C417" s="890"/>
      <c r="D417" s="890"/>
      <c r="E417" s="890"/>
      <c r="F417" s="890"/>
      <c r="G417" s="890"/>
      <c r="H417" s="774" t="s">
        <v>318</v>
      </c>
      <c r="I417" s="349" t="s">
        <v>280</v>
      </c>
      <c r="J417" s="157"/>
      <c r="K417" s="611" t="s">
        <v>45</v>
      </c>
      <c r="L417" s="630" t="s">
        <v>46</v>
      </c>
      <c r="M417" s="157"/>
      <c r="N417" s="158" t="s">
        <v>69</v>
      </c>
      <c r="O417" s="158"/>
      <c r="P417" s="158"/>
      <c r="Q417" s="158"/>
      <c r="R417" s="157"/>
      <c r="S417" s="170"/>
      <c r="T417" s="547"/>
      <c r="U417" s="171"/>
      <c r="V417" s="100" t="b">
        <f>IF(G417&gt;0,IF(AD417="me","",G417))</f>
        <v>0</v>
      </c>
      <c r="W417" s="100"/>
      <c r="X417" s="100"/>
      <c r="Y417" s="201"/>
      <c r="Z417" s="829" t="str">
        <f t="shared" si="1093"/>
        <v/>
      </c>
      <c r="AA417" s="829"/>
      <c r="AB417" s="830" t="str">
        <f>IF(G417=0,"",IF(AD417="free","re-planting",IF(AD417="me","not NVP, by",IF($AD$8="yes",(VLOOKUP(A417,'Discount Lookup'!J:K,2)*G417*(1-$AC$1786)*(1+$AC$1788)),IF(AD417="NVP",(VLOOKUP(A417,'Discount Lookup'!J:K,2)*G417*(1-$AC$1786)*(1+$AC$1788)),IF(AD417="free","re-planting",IF(G417=0,"",IF($AD$8="",IF(AD417="me","not NVP, by",IF(AD417="",IF(G417&gt;0,(VLOOKUP(A417,'Discount Lookup'!J:K,2)*G417*(1-$AC$1786)*(1+$AC$1788)),""),"")),"not NVP, by"))))))))</f>
        <v/>
      </c>
      <c r="AC417" s="830"/>
      <c r="AD417" s="375" t="str">
        <f t="shared" si="985"/>
        <v/>
      </c>
      <c r="AE417" s="833" t="str">
        <f t="shared" si="1100"/>
        <v/>
      </c>
      <c r="AF417" s="833"/>
      <c r="AG417" s="833"/>
      <c r="AH417" s="91">
        <f>IF(AD417="free",0,IF(AD417="me",0,IF(G417&gt;0,(VLOOKUP(A417,'Discount Lookup'!J:K,2)*G417),0)))</f>
        <v>0</v>
      </c>
      <c r="AI417" s="92" t="str">
        <f t="shared" si="1015"/>
        <v/>
      </c>
      <c r="AJ417" s="828" t="str">
        <f t="shared" si="1094"/>
        <v/>
      </c>
      <c r="AK417" s="828"/>
      <c r="AL417" s="313" t="str">
        <f t="shared" si="1070"/>
        <v/>
      </c>
      <c r="AM417" s="312"/>
      <c r="AN417" s="101"/>
      <c r="AO417" s="101"/>
      <c r="AP417" s="101"/>
      <c r="AQ417" s="101"/>
      <c r="AR417" s="101"/>
      <c r="AS417" s="101"/>
      <c r="AT417" s="101"/>
    </row>
    <row r="418" spans="1:46" ht="12.95" customHeight="1">
      <c r="A418" s="383">
        <v>25</v>
      </c>
      <c r="B418" s="158" t="s">
        <v>50</v>
      </c>
      <c r="C418" s="160" t="s">
        <v>1517</v>
      </c>
      <c r="D418" s="161" t="s">
        <v>90</v>
      </c>
      <c r="E418" s="162">
        <v>366.95</v>
      </c>
      <c r="F418" s="713" t="s">
        <v>1306</v>
      </c>
      <c r="G418" s="357">
        <v>0</v>
      </c>
      <c r="H418" s="748" t="str">
        <f t="shared" ref="H418" si="1116">IF(G418=0,"",IF(F418="Qty=",IF(G418=1,"plant","plants"),IF(F418&gt;0.0001,"warranty","Error")))</f>
        <v/>
      </c>
      <c r="I418" s="592">
        <f t="shared" ref="I418" si="1117">IF(F418="Qty=",(E418*G418),((E418*(1-F418))*G418))</f>
        <v>0</v>
      </c>
      <c r="J418" s="592">
        <f>IF(H418="warranty",0,(I418*($J$1782)))</f>
        <v>0</v>
      </c>
      <c r="K418" s="834">
        <f t="shared" ref="K418" si="1118">I418+J418</f>
        <v>0</v>
      </c>
      <c r="L418" s="834"/>
      <c r="M418" s="832" t="str">
        <f>IF($H$1784=0,"",IF(G418=0,"",IF(F418="Qty=",CONCATENATE("$",ROUND(K418*(1-$H$1784),2)," with ",($H$1784*100),"% discount"),CONCATENATE("$",ROUND(K418*(1-$H$1784),2)," with ",(($H$1784*100+F418*100)-($H$1784*100*F418)),IF(F418&gt;0,"% discounts",IF($H$1781&gt;0,"% discounts","% discount"))))))</f>
        <v/>
      </c>
      <c r="N418" s="832"/>
      <c r="O418" s="832"/>
      <c r="P418" s="832"/>
      <c r="Q418" s="832"/>
      <c r="R418" s="832"/>
      <c r="S418" s="303">
        <f t="shared" ref="S418" si="1119">E418*G418</f>
        <v>0</v>
      </c>
      <c r="T418" s="541">
        <f>VLOOKUP(A418,'Discount Lookup'!D:E,2,FALSE)*G418</f>
        <v>0</v>
      </c>
      <c r="U418" s="83">
        <f>VLOOKUP(A418,'Discount Lookup'!G:H,2,FALSE)*G418</f>
        <v>0</v>
      </c>
      <c r="V418" s="100">
        <f>E418*($J$1782)*G418</f>
        <v>0</v>
      </c>
      <c r="W418" s="100">
        <f t="shared" ref="W418" si="1120">I418</f>
        <v>0</v>
      </c>
      <c r="X418" s="100" t="b">
        <f>IF(G418&gt;0,IF(AD418="me","",G418))</f>
        <v>0</v>
      </c>
      <c r="Y418" s="201"/>
      <c r="Z418" s="829" t="str">
        <f t="shared" si="1093"/>
        <v/>
      </c>
      <c r="AA418" s="829"/>
      <c r="AB418" s="830" t="str">
        <f>IF(G418=0,"",IF(AD418="free","re-planting",IF(AD418="me","not NVP, by",IF($AD$8="yes",(VLOOKUP(A418,'Discount Lookup'!J:K,2)*G418*(1-$AC$1786)*(1+$AC$1788)),IF(AD418="NVP",(VLOOKUP(A418,'Discount Lookup'!J:K,2)*G418*(1-$AC$1786)*(1+$AC$1788)),IF(AD418="free","re-planting",IF(G418=0,"",IF($AD$8="",IF(AD418="me","not NVP, by",IF(AD418="",IF(G418&gt;0,(VLOOKUP(A418,'Discount Lookup'!J:K,2)*G418*(1-$AC$1786)*(1+$AC$1788)),""),"")),"not NVP, by"))))))))</f>
        <v/>
      </c>
      <c r="AC418" s="830"/>
      <c r="AD418" s="375" t="str">
        <f t="shared" ref="AD418:AD470" si="1121">IF(G418=0,"",IF($AD$8="me","me",IF(H418="warranty","free",IF($AD$8="yes","NVP",""))))</f>
        <v/>
      </c>
      <c r="AE418" s="833" t="str">
        <f t="shared" si="1100"/>
        <v/>
      </c>
      <c r="AF418" s="833"/>
      <c r="AG418" s="833"/>
      <c r="AH418" s="91">
        <f>IF(AD418="free",0,IF(AD418="me",0,IF(G418&gt;0,(VLOOKUP(A418,'Discount Lookup'!J:K,2)*G418),0)))</f>
        <v>0</v>
      </c>
      <c r="AI418" s="92" t="str">
        <f t="shared" si="1015"/>
        <v/>
      </c>
      <c r="AJ418" s="828" t="str">
        <f t="shared" si="1094"/>
        <v/>
      </c>
      <c r="AK418" s="828"/>
      <c r="AL418" s="313" t="str">
        <f t="shared" si="1070"/>
        <v/>
      </c>
      <c r="AM418" s="312"/>
      <c r="AN418" s="101"/>
      <c r="AO418" s="101"/>
      <c r="AP418" s="101"/>
      <c r="AQ418" s="101"/>
      <c r="AR418" s="101"/>
      <c r="AS418" s="101"/>
      <c r="AT418" s="101"/>
    </row>
    <row r="419" spans="1:46" ht="12.95" customHeight="1">
      <c r="A419" s="472"/>
      <c r="B419" s="103" t="s">
        <v>1255</v>
      </c>
      <c r="C419" s="396"/>
      <c r="D419" s="118"/>
      <c r="E419" s="119"/>
      <c r="F419" s="711"/>
      <c r="G419" s="356"/>
      <c r="H419" s="745"/>
      <c r="I419" s="119"/>
      <c r="J419" s="119"/>
      <c r="K419" s="609"/>
      <c r="L419" s="609"/>
      <c r="M419" s="121"/>
      <c r="N419" s="121"/>
      <c r="O419" s="123"/>
      <c r="P419" s="124"/>
      <c r="Q419" s="124"/>
      <c r="R419" s="83"/>
      <c r="S419" s="82">
        <f>E419*G419</f>
        <v>0</v>
      </c>
      <c r="T419" s="540"/>
      <c r="U419" s="83"/>
      <c r="V419" s="100" t="b">
        <f>IF(G419&gt;0,IF(AD419="me","",G419))</f>
        <v>0</v>
      </c>
      <c r="W419" s="100"/>
      <c r="X419" s="100"/>
      <c r="Y419" s="201"/>
      <c r="Z419" s="829" t="str">
        <f t="shared" si="1093"/>
        <v/>
      </c>
      <c r="AA419" s="829"/>
      <c r="AB419" s="830" t="str">
        <f>IF(G419=0,"",IF(AD419="free","re-planting",IF(AD419="me","not NVP, by",IF($AD$8="yes",(VLOOKUP(A419,'Discount Lookup'!J:K,2)*G419*(1-$AC$1786)*(1+$AC$1788)),IF(AD419="NVP",(VLOOKUP(A419,'Discount Lookup'!J:K,2)*G419*(1-$AC$1786)*(1+$AC$1788)),IF(AD419="free","re-planting",IF(G419=0,"",IF($AD$8="",IF(AD419="me","not NVP, by",IF(AD419="",IF(G419&gt;0,(VLOOKUP(A419,'Discount Lookup'!J:K,2)*G419*(1-$AC$1786)*(1+$AC$1788)),""),"")),"not NVP, by"))))))))</f>
        <v/>
      </c>
      <c r="AC419" s="830"/>
      <c r="AD419" s="375" t="str">
        <f t="shared" si="1121"/>
        <v/>
      </c>
      <c r="AE419" s="833" t="str">
        <f t="shared" si="1100"/>
        <v/>
      </c>
      <c r="AF419" s="833"/>
      <c r="AG419" s="833"/>
      <c r="AH419" s="91">
        <f>IF(AD419="free",0,IF(AD419="me",0,IF(G419&gt;0,(VLOOKUP(A419,'Discount Lookup'!J:K,2)*G419),0)))</f>
        <v>0</v>
      </c>
      <c r="AI419" s="92" t="str">
        <f t="shared" si="1015"/>
        <v/>
      </c>
      <c r="AJ419" s="828" t="str">
        <f t="shared" si="1094"/>
        <v/>
      </c>
      <c r="AK419" s="828"/>
      <c r="AL419" s="313" t="str">
        <f t="shared" si="1070"/>
        <v/>
      </c>
      <c r="AM419" s="312"/>
      <c r="AN419" s="101"/>
      <c r="AO419" s="101"/>
      <c r="AP419" s="101"/>
      <c r="AQ419" s="101"/>
      <c r="AR419" s="101"/>
      <c r="AS419" s="101"/>
      <c r="AT419" s="101"/>
    </row>
    <row r="420" spans="1:46" ht="12.95" customHeight="1">
      <c r="A420" s="889" t="s">
        <v>319</v>
      </c>
      <c r="B420" s="890"/>
      <c r="C420" s="890"/>
      <c r="D420" s="890"/>
      <c r="E420" s="890"/>
      <c r="F420" s="890"/>
      <c r="G420" s="890"/>
      <c r="H420" s="774" t="s">
        <v>318</v>
      </c>
      <c r="I420" s="349" t="s">
        <v>280</v>
      </c>
      <c r="J420" s="157"/>
      <c r="K420" s="611" t="s">
        <v>45</v>
      </c>
      <c r="L420" s="630" t="s">
        <v>46</v>
      </c>
      <c r="M420" s="157"/>
      <c r="N420" s="158" t="s">
        <v>47</v>
      </c>
      <c r="O420" s="158"/>
      <c r="P420" s="158"/>
      <c r="Q420" s="804" t="s">
        <v>1626</v>
      </c>
      <c r="R420" s="835" t="s">
        <v>49</v>
      </c>
      <c r="S420" s="835"/>
      <c r="T420" s="835"/>
      <c r="U420" s="835"/>
      <c r="V420" s="100" t="b">
        <f>IF(G420&gt;0,IF(AD420="me","",G420))</f>
        <v>0</v>
      </c>
      <c r="W420" s="100"/>
      <c r="X420" s="100"/>
      <c r="Y420" s="201"/>
      <c r="Z420" s="829" t="str">
        <f t="shared" si="1093"/>
        <v/>
      </c>
      <c r="AA420" s="829"/>
      <c r="AB420" s="830" t="str">
        <f>IF(G420=0,"",IF(AD420="free","re-planting",IF(AD420="me","not NVP, by",IF($AD$8="yes",(VLOOKUP(A420,'Discount Lookup'!J:K,2)*G420*(1-$AC$1786)*(1+$AC$1788)),IF(AD420="NVP",(VLOOKUP(A420,'Discount Lookup'!J:K,2)*G420*(1-$AC$1786)*(1+$AC$1788)),IF(AD420="free","re-planting",IF(G420=0,"",IF($AD$8="",IF(AD420="me","not NVP, by",IF(AD420="",IF(G420&gt;0,(VLOOKUP(A420,'Discount Lookup'!J:K,2)*G420*(1-$AC$1786)*(1+$AC$1788)),""),"")),"not NVP, by"))))))))</f>
        <v/>
      </c>
      <c r="AC420" s="830"/>
      <c r="AD420" s="375" t="str">
        <f t="shared" si="1121"/>
        <v/>
      </c>
      <c r="AE420" s="833" t="str">
        <f t="shared" si="1100"/>
        <v/>
      </c>
      <c r="AF420" s="833"/>
      <c r="AG420" s="833"/>
      <c r="AH420" s="91">
        <f>IF(AD420="free",0,IF(AD420="me",0,IF(G420&gt;0,(VLOOKUP(A420,'Discount Lookup'!J:K,2)*G420),0)))</f>
        <v>0</v>
      </c>
      <c r="AI420" s="92" t="str">
        <f t="shared" si="1015"/>
        <v/>
      </c>
      <c r="AJ420" s="828" t="str">
        <f t="shared" si="1094"/>
        <v/>
      </c>
      <c r="AK420" s="828"/>
      <c r="AL420" s="313" t="str">
        <f t="shared" si="1070"/>
        <v/>
      </c>
      <c r="AM420" s="312"/>
      <c r="AN420" s="101"/>
      <c r="AO420" s="101"/>
      <c r="AP420" s="101"/>
      <c r="AQ420" s="101"/>
      <c r="AR420" s="101"/>
      <c r="AS420" s="101"/>
      <c r="AT420" s="101"/>
    </row>
    <row r="421" spans="1:46" ht="12.95" customHeight="1">
      <c r="A421" s="383">
        <v>7</v>
      </c>
      <c r="B421" s="158" t="s">
        <v>50</v>
      </c>
      <c r="C421" s="160" t="s">
        <v>91</v>
      </c>
      <c r="D421" s="161" t="s">
        <v>54</v>
      </c>
      <c r="E421" s="162">
        <v>91.95</v>
      </c>
      <c r="F421" s="713" t="s">
        <v>1306</v>
      </c>
      <c r="G421" s="357">
        <v>0</v>
      </c>
      <c r="H421" s="748" t="str">
        <f t="shared" ref="H421:H422" si="1122">IF(G421=0,"",IF(F421="Qty=",IF(G421=1,"plant","plants"),IF(F421&gt;0.0001,"warranty","Error")))</f>
        <v/>
      </c>
      <c r="I421" s="592">
        <f t="shared" ref="I421:I422" si="1123">IF(F421="Qty=",(E421*G421),((E421*(1-F421))*G421))</f>
        <v>0</v>
      </c>
      <c r="J421" s="592">
        <f>IF(H421="warranty",0,(I421*($J$1782)))</f>
        <v>0</v>
      </c>
      <c r="K421" s="834">
        <f t="shared" ref="K421:K422" si="1124">I421+J421</f>
        <v>0</v>
      </c>
      <c r="L421" s="834"/>
      <c r="M421" s="832" t="str">
        <f>IF($H$1784=0,"",IF(G421=0,"",IF(F421="Qty=",CONCATENATE("$",ROUND(K421*(1-$H$1784),2)," with ",($H$1784*100),"% discount"),CONCATENATE("$",ROUND(K421*(1-$H$1784),2)," with ",(($H$1784*100+F421*100)-($H$1784*100*F421)),IF(F421&gt;0,"% discounts",IF($H$1781&gt;0,"% discounts","% discount"))))))</f>
        <v/>
      </c>
      <c r="N421" s="832"/>
      <c r="O421" s="832"/>
      <c r="P421" s="832"/>
      <c r="Q421" s="832"/>
      <c r="R421" s="832"/>
      <c r="S421" s="303">
        <f t="shared" ref="S421" si="1125">E421*G421</f>
        <v>0</v>
      </c>
      <c r="T421" s="541">
        <f>VLOOKUP(A421,'Discount Lookup'!D:E,2,FALSE)*G421</f>
        <v>0</v>
      </c>
      <c r="U421" s="83">
        <f>VLOOKUP(A421,'Discount Lookup'!G:H,2,FALSE)*G421</f>
        <v>0</v>
      </c>
      <c r="V421" s="100">
        <f>E421*($J$1782)*G421</f>
        <v>0</v>
      </c>
      <c r="W421" s="100">
        <f t="shared" ref="W421" si="1126">I421</f>
        <v>0</v>
      </c>
      <c r="X421" s="100" t="b">
        <f t="shared" ref="X421" si="1127">IF(G421&gt;0,IF(AD421="me","",G421))</f>
        <v>0</v>
      </c>
      <c r="Y421" s="201"/>
      <c r="Z421" s="829" t="str">
        <f t="shared" si="1093"/>
        <v/>
      </c>
      <c r="AA421" s="829"/>
      <c r="AB421" s="830" t="str">
        <f>IF(G421=0,"",IF(AD421="free","re-planting",IF(AD421="me","not NVP, by",IF($AD$8="yes",(VLOOKUP(A421,'Discount Lookup'!J:K,2)*G421*(1-$AC$1786)*(1+$AC$1788)),IF(AD421="NVP",(VLOOKUP(A421,'Discount Lookup'!J:K,2)*G421*(1-$AC$1786)*(1+$AC$1788)),IF(AD421="free","re-planting",IF(G421=0,"",IF($AD$8="",IF(AD421="me","not NVP, by",IF(AD421="",IF(G421&gt;0,(VLOOKUP(A421,'Discount Lookup'!J:K,2)*G421*(1-$AC$1786)*(1+$AC$1788)),""),"")),"not NVP, by"))))))))</f>
        <v/>
      </c>
      <c r="AC421" s="830"/>
      <c r="AD421" s="375" t="str">
        <f t="shared" si="1121"/>
        <v/>
      </c>
      <c r="AE421" s="833" t="str">
        <f t="shared" ref="AE421" si="1128">IF(G421&gt;0,(CONCATENATE((G421)," quantity, ",(A421)," ",B421)),"")</f>
        <v/>
      </c>
      <c r="AF421" s="833"/>
      <c r="AG421" s="833"/>
      <c r="AH421" s="91">
        <f>IF(AD421="free",0,IF(AD421="me",0,IF(G421&gt;0,(VLOOKUP(A421,'Discount Lookup'!J:K,2)*G421),0)))</f>
        <v>0</v>
      </c>
      <c r="AI421" s="92" t="str">
        <f t="shared" si="1015"/>
        <v/>
      </c>
      <c r="AJ421" s="828" t="str">
        <f t="shared" si="1094"/>
        <v/>
      </c>
      <c r="AK421" s="828"/>
      <c r="AL421" s="313" t="str">
        <f t="shared" si="1070"/>
        <v/>
      </c>
      <c r="AM421" s="312"/>
      <c r="AN421" s="101"/>
      <c r="AO421" s="101"/>
      <c r="AP421" s="101"/>
      <c r="AQ421" s="101"/>
      <c r="AR421" s="101"/>
      <c r="AS421" s="101"/>
      <c r="AT421" s="101"/>
    </row>
    <row r="422" spans="1:46" ht="12.95" customHeight="1">
      <c r="A422" s="383">
        <v>25</v>
      </c>
      <c r="B422" s="158" t="s">
        <v>50</v>
      </c>
      <c r="C422" s="160" t="s">
        <v>1427</v>
      </c>
      <c r="D422" s="161" t="s">
        <v>54</v>
      </c>
      <c r="E422" s="162">
        <v>299.95</v>
      </c>
      <c r="F422" s="713" t="s">
        <v>1306</v>
      </c>
      <c r="G422" s="357">
        <v>0</v>
      </c>
      <c r="H422" s="748" t="str">
        <f t="shared" si="1122"/>
        <v/>
      </c>
      <c r="I422" s="592">
        <f t="shared" si="1123"/>
        <v>0</v>
      </c>
      <c r="J422" s="592">
        <f>IF(H422="warranty",0,(I422*($J$1782)))</f>
        <v>0</v>
      </c>
      <c r="K422" s="834">
        <f t="shared" si="1124"/>
        <v>0</v>
      </c>
      <c r="L422" s="834"/>
      <c r="M422" s="832" t="str">
        <f>IF($H$1784=0,"",IF(G422=0,"",IF(F422="Qty=",CONCATENATE("$",ROUND(K422*(1-$H$1784),2)," with ",($H$1784*100),"% discount"),CONCATENATE("$",ROUND(K422*(1-$H$1784),2)," with ",(($H$1784*100+F422*100)-($H$1784*100*F422)),IF(F422&gt;0,"% discounts",IF($H$1781&gt;0,"% discounts","% discount"))))))</f>
        <v/>
      </c>
      <c r="N422" s="832"/>
      <c r="O422" s="832"/>
      <c r="P422" s="832"/>
      <c r="Q422" s="832"/>
      <c r="R422" s="832"/>
      <c r="S422" s="303">
        <f t="shared" ref="S422" si="1129">E422*G422</f>
        <v>0</v>
      </c>
      <c r="T422" s="541">
        <f>VLOOKUP(A422,'Discount Lookup'!D:E,2,FALSE)*G422</f>
        <v>0</v>
      </c>
      <c r="U422" s="83">
        <f>VLOOKUP(A422,'Discount Lookup'!G:H,2,FALSE)*G422</f>
        <v>0</v>
      </c>
      <c r="V422" s="100">
        <f>E422*($J$1782)*G422</f>
        <v>0</v>
      </c>
      <c r="W422" s="100">
        <f t="shared" ref="W422" si="1130">I422</f>
        <v>0</v>
      </c>
      <c r="X422" s="100" t="b">
        <f>IF(G422&gt;0,IF(AD422="me","",G422))</f>
        <v>0</v>
      </c>
      <c r="Y422" s="201"/>
      <c r="Z422" s="829" t="str">
        <f t="shared" si="1093"/>
        <v/>
      </c>
      <c r="AA422" s="829"/>
      <c r="AB422" s="830" t="str">
        <f>IF(G422=0,"",IF(AD422="free","re-planting",IF(AD422="me","not NVP, by",IF($AD$8="yes",(VLOOKUP(A422,'Discount Lookup'!J:K,2)*G422*(1-$AC$1786)*(1+$AC$1788)),IF(AD422="NVP",(VLOOKUP(A422,'Discount Lookup'!J:K,2)*G422*(1-$AC$1786)*(1+$AC$1788)),IF(AD422="free","re-planting",IF(G422=0,"",IF($AD$8="",IF(AD422="me","not NVP, by",IF(AD422="",IF(G422&gt;0,(VLOOKUP(A422,'Discount Lookup'!J:K,2)*G422*(1-$AC$1786)*(1+$AC$1788)),""),"")),"not NVP, by"))))))))</f>
        <v/>
      </c>
      <c r="AC422" s="830"/>
      <c r="AD422" s="375" t="str">
        <f t="shared" si="1121"/>
        <v/>
      </c>
      <c r="AE422" s="833" t="str">
        <f t="shared" si="1100"/>
        <v/>
      </c>
      <c r="AF422" s="833"/>
      <c r="AG422" s="833"/>
      <c r="AH422" s="91">
        <f>IF(AD422="free",0,IF(AD422="me",0,IF(G422&gt;0,(VLOOKUP(A422,'Discount Lookup'!J:K,2)*G422),0)))</f>
        <v>0</v>
      </c>
      <c r="AI422" s="92" t="str">
        <f t="shared" si="1015"/>
        <v/>
      </c>
      <c r="AJ422" s="828" t="str">
        <f t="shared" si="1094"/>
        <v/>
      </c>
      <c r="AK422" s="828"/>
      <c r="AL422" s="313" t="str">
        <f t="shared" si="1070"/>
        <v/>
      </c>
      <c r="AM422" s="312"/>
      <c r="AN422" s="101"/>
      <c r="AO422" s="101"/>
      <c r="AP422" s="101"/>
      <c r="AQ422" s="101"/>
      <c r="AR422" s="101"/>
      <c r="AS422" s="101"/>
      <c r="AT422" s="101"/>
    </row>
    <row r="423" spans="1:46" ht="12.95" customHeight="1">
      <c r="A423" s="472"/>
      <c r="B423" s="173" t="s">
        <v>320</v>
      </c>
      <c r="C423" s="118"/>
      <c r="D423" s="118"/>
      <c r="E423" s="119"/>
      <c r="F423" s="711"/>
      <c r="G423" s="358"/>
      <c r="H423" s="745"/>
      <c r="I423" s="119"/>
      <c r="J423" s="119"/>
      <c r="K423" s="609"/>
      <c r="L423" s="609"/>
      <c r="M423" s="121"/>
      <c r="N423" s="122" t="s">
        <v>277</v>
      </c>
      <c r="O423" s="123"/>
      <c r="P423" s="124"/>
      <c r="Q423" s="124"/>
      <c r="R423" s="83"/>
      <c r="S423" s="82">
        <f>E423*G423</f>
        <v>0</v>
      </c>
      <c r="T423" s="540"/>
      <c r="U423" s="83"/>
      <c r="V423" s="100" t="b">
        <f>IF(G423&gt;0,IF(AD423="me","",G423))</f>
        <v>0</v>
      </c>
      <c r="W423" s="100"/>
      <c r="X423" s="100"/>
      <c r="Y423" s="201"/>
      <c r="Z423" s="829" t="str">
        <f t="shared" si="1093"/>
        <v/>
      </c>
      <c r="AA423" s="829"/>
      <c r="AB423" s="830" t="str">
        <f>IF(G423=0,"",IF(AD423="free","re-planting",IF(AD423="me","not NVP, by",IF($AD$8="yes",(VLOOKUP(A423,'Discount Lookup'!J:K,2)*G423*(1-$AC$1786)*(1+$AC$1788)),IF(AD423="NVP",(VLOOKUP(A423,'Discount Lookup'!J:K,2)*G423*(1-$AC$1786)*(1+$AC$1788)),IF(AD423="free","re-planting",IF(G423=0,"",IF($AD$8="",IF(AD423="me","not NVP, by",IF(AD423="",IF(G423&gt;0,(VLOOKUP(A423,'Discount Lookup'!J:K,2)*G423*(1-$AC$1786)*(1+$AC$1788)),""),"")),"not NVP, by"))))))))</f>
        <v/>
      </c>
      <c r="AC423" s="830"/>
      <c r="AD423" s="375" t="str">
        <f t="shared" si="1121"/>
        <v/>
      </c>
      <c r="AE423" s="833" t="str">
        <f t="shared" si="1100"/>
        <v/>
      </c>
      <c r="AF423" s="833"/>
      <c r="AG423" s="833"/>
      <c r="AH423" s="91">
        <f>IF(AD423="free",0,IF(AD423="me",0,IF(G423&gt;0,(VLOOKUP(A423,'Discount Lookup'!J:K,2)*G423),0)))</f>
        <v>0</v>
      </c>
      <c r="AI423" s="92" t="str">
        <f t="shared" si="1015"/>
        <v/>
      </c>
      <c r="AJ423" s="828" t="str">
        <f t="shared" si="1094"/>
        <v/>
      </c>
      <c r="AK423" s="828"/>
      <c r="AL423" s="313" t="str">
        <f t="shared" si="1070"/>
        <v/>
      </c>
      <c r="AM423" s="312"/>
      <c r="AN423" s="101"/>
      <c r="AO423" s="101"/>
      <c r="AP423" s="101"/>
      <c r="AQ423" s="101"/>
      <c r="AR423" s="101"/>
      <c r="AS423" s="101"/>
      <c r="AT423" s="101"/>
    </row>
    <row r="424" spans="1:46" ht="12.95" customHeight="1">
      <c r="A424" s="889" t="s">
        <v>321</v>
      </c>
      <c r="B424" s="890"/>
      <c r="C424" s="890"/>
      <c r="D424" s="890"/>
      <c r="E424" s="890"/>
      <c r="F424" s="890"/>
      <c r="G424" s="890"/>
      <c r="H424" s="774" t="s">
        <v>312</v>
      </c>
      <c r="I424" s="349" t="s">
        <v>280</v>
      </c>
      <c r="J424" s="157"/>
      <c r="K424" s="611" t="s">
        <v>45</v>
      </c>
      <c r="L424" s="630" t="s">
        <v>46</v>
      </c>
      <c r="M424" s="157"/>
      <c r="N424" s="158" t="s">
        <v>47</v>
      </c>
      <c r="O424" s="158"/>
      <c r="P424" s="158"/>
      <c r="Q424" s="804" t="s">
        <v>1626</v>
      </c>
      <c r="R424" s="835" t="s">
        <v>49</v>
      </c>
      <c r="S424" s="835"/>
      <c r="T424" s="835"/>
      <c r="U424" s="835"/>
      <c r="V424" s="100" t="b">
        <f>IF(G424&gt;0,IF(AD424="me","",G424))</f>
        <v>0</v>
      </c>
      <c r="W424" s="100"/>
      <c r="X424" s="100"/>
      <c r="Y424" s="201"/>
      <c r="Z424" s="829" t="str">
        <f t="shared" si="1093"/>
        <v/>
      </c>
      <c r="AA424" s="829"/>
      <c r="AB424" s="830" t="str">
        <f>IF(G424=0,"",IF(AD424="free","re-planting",IF(AD424="me","not NVP, by",IF($AD$8="yes",(VLOOKUP(A424,'Discount Lookup'!J:K,2)*G424*(1-$AC$1786)*(1+$AC$1788)),IF(AD424="NVP",(VLOOKUP(A424,'Discount Lookup'!J:K,2)*G424*(1-$AC$1786)*(1+$AC$1788)),IF(AD424="free","re-planting",IF(G424=0,"",IF($AD$8="",IF(AD424="me","not NVP, by",IF(AD424="",IF(G424&gt;0,(VLOOKUP(A424,'Discount Lookup'!J:K,2)*G424*(1-$AC$1786)*(1+$AC$1788)),""),"")),"not NVP, by"))))))))</f>
        <v/>
      </c>
      <c r="AC424" s="830"/>
      <c r="AD424" s="375" t="str">
        <f t="shared" si="1121"/>
        <v/>
      </c>
      <c r="AE424" s="833" t="str">
        <f t="shared" si="1100"/>
        <v/>
      </c>
      <c r="AF424" s="833"/>
      <c r="AG424" s="833"/>
      <c r="AH424" s="91">
        <f>IF(AD424="free",0,IF(AD424="me",0,IF(G424&gt;0,(VLOOKUP(A424,'Discount Lookup'!J:K,2)*G424),0)))</f>
        <v>0</v>
      </c>
      <c r="AI424" s="92" t="str">
        <f t="shared" si="1015"/>
        <v/>
      </c>
      <c r="AJ424" s="828" t="str">
        <f t="shared" si="1094"/>
        <v/>
      </c>
      <c r="AK424" s="828"/>
      <c r="AL424" s="313" t="str">
        <f t="shared" si="1070"/>
        <v/>
      </c>
      <c r="AM424" s="312"/>
      <c r="AN424" s="101"/>
      <c r="AO424" s="101"/>
      <c r="AP424" s="101"/>
      <c r="AQ424" s="101"/>
      <c r="AR424" s="101"/>
      <c r="AS424" s="101"/>
      <c r="AT424" s="101"/>
    </row>
    <row r="425" spans="1:46" ht="12.95" customHeight="1">
      <c r="A425" s="383">
        <v>15</v>
      </c>
      <c r="B425" s="158" t="s">
        <v>50</v>
      </c>
      <c r="C425" s="160" t="s">
        <v>1429</v>
      </c>
      <c r="D425" s="161" t="s">
        <v>87</v>
      </c>
      <c r="E425" s="162">
        <v>164.95</v>
      </c>
      <c r="F425" s="713" t="s">
        <v>1306</v>
      </c>
      <c r="G425" s="357">
        <v>0</v>
      </c>
      <c r="H425" s="748" t="str">
        <f t="shared" ref="H425:H426" si="1131">IF(G425=0,"",IF(F425="Qty=",IF(G425=1,"plant","plants"),IF(F425&gt;0.0001,"warranty","Error")))</f>
        <v/>
      </c>
      <c r="I425" s="592">
        <f t="shared" ref="I425:I426" si="1132">IF(F425="Qty=",(E425*G425),((E425*(1-F425))*G425))</f>
        <v>0</v>
      </c>
      <c r="J425" s="592">
        <f>IF(H425="warranty",0,(I425*($J$1782)))</f>
        <v>0</v>
      </c>
      <c r="K425" s="834">
        <f t="shared" ref="K425:K426" si="1133">I425+J425</f>
        <v>0</v>
      </c>
      <c r="L425" s="834"/>
      <c r="M425" s="832" t="str">
        <f>IF($H$1784=0,"",IF(G425=0,"",IF(F425="Qty=",CONCATENATE("$",ROUND(K425*(1-$H$1784),2)," with ",($H$1784*100),"% discount"),CONCATENATE("$",ROUND(K425*(1-$H$1784),2)," with ",(($H$1784*100+F425*100)-($H$1784*100*F425)),IF(F425&gt;0,"% discounts",IF($H$1781&gt;0,"% discounts","% discount"))))))</f>
        <v/>
      </c>
      <c r="N425" s="832"/>
      <c r="O425" s="832"/>
      <c r="P425" s="832"/>
      <c r="Q425" s="832"/>
      <c r="R425" s="832"/>
      <c r="S425" s="303">
        <f t="shared" ref="S425:S426" si="1134">E425*G425</f>
        <v>0</v>
      </c>
      <c r="T425" s="541">
        <f>VLOOKUP(A425,'Discount Lookup'!D:E,2,FALSE)*G425</f>
        <v>0</v>
      </c>
      <c r="U425" s="83">
        <f>VLOOKUP(A425,'Discount Lookup'!G:H,2,FALSE)*G425</f>
        <v>0</v>
      </c>
      <c r="V425" s="100">
        <f>E425*($J$1782)*G425</f>
        <v>0</v>
      </c>
      <c r="W425" s="100">
        <f t="shared" ref="W425:W426" si="1135">I425</f>
        <v>0</v>
      </c>
      <c r="X425" s="100" t="b">
        <f>IF(G425&gt;0,IF(AD425="me","",G425))</f>
        <v>0</v>
      </c>
      <c r="Y425" s="201"/>
      <c r="Z425" s="829" t="str">
        <f t="shared" ref="Z425" si="1136">IF(G425=0,"",IF(AD425="me","",IF($AD$8="me","",IF(AD425="free","warranty",IF($AD$8="yes","NVP planting:","to NVP install:")))))</f>
        <v/>
      </c>
      <c r="AA425" s="829"/>
      <c r="AB425" s="830" t="str">
        <f>IF(G425=0,"",IF(AD425="free","re-planting",IF(AD425="me","not NVP, by",IF($AD$8="yes",(VLOOKUP(A425,'Discount Lookup'!J:K,2)*G425*(1-$AC$1786)*(1+$AC$1788)),IF(AD425="NVP",(VLOOKUP(A425,'Discount Lookup'!J:K,2)*G425*(1-$AC$1786)*(1+$AC$1788)),IF(AD425="free","re-planting",IF(G425=0,"",IF($AD$8="",IF(AD425="me","not NVP, by",IF(AD425="",IF(G425&gt;0,(VLOOKUP(A425,'Discount Lookup'!J:K,2)*G425*(1-$AC$1786)*(1+$AC$1788)),""),"")),"not NVP, by"))))))))</f>
        <v/>
      </c>
      <c r="AC425" s="830"/>
      <c r="AD425" s="375" t="str">
        <f t="shared" si="1121"/>
        <v/>
      </c>
      <c r="AE425" s="833" t="str">
        <f t="shared" si="1100"/>
        <v/>
      </c>
      <c r="AF425" s="833"/>
      <c r="AG425" s="833"/>
      <c r="AH425" s="91">
        <f>IF(AD425="free",0,IF(AD425="me",0,IF(G425&gt;0,(VLOOKUP(A425,'Discount Lookup'!J:K,2)*G425),0)))</f>
        <v>0</v>
      </c>
      <c r="AI425" s="92" t="str">
        <f t="shared" si="1015"/>
        <v/>
      </c>
      <c r="AJ425" s="828" t="str">
        <f t="shared" ref="AJ425" si="1137">IF(G425=0,"",IF(AD425="me","  delivery-only",IF($AD$8="me","  delivery-only",CONCATENATE(" $",ROUND(AI425/G425,2)," each"))))</f>
        <v/>
      </c>
      <c r="AK425" s="828"/>
      <c r="AL425" s="313" t="str">
        <f t="shared" si="1070"/>
        <v/>
      </c>
      <c r="AM425" s="312"/>
      <c r="AN425" s="101"/>
      <c r="AO425" s="101"/>
      <c r="AP425" s="101"/>
      <c r="AQ425" s="101"/>
      <c r="AR425" s="101"/>
      <c r="AS425" s="101"/>
      <c r="AT425" s="101"/>
    </row>
    <row r="426" spans="1:46" ht="12.95" customHeight="1">
      <c r="A426" s="383">
        <v>25</v>
      </c>
      <c r="B426" s="158" t="s">
        <v>50</v>
      </c>
      <c r="C426" s="160" t="s">
        <v>1516</v>
      </c>
      <c r="D426" s="161" t="s">
        <v>90</v>
      </c>
      <c r="E426" s="162">
        <v>289.95</v>
      </c>
      <c r="F426" s="713" t="s">
        <v>1306</v>
      </c>
      <c r="G426" s="357">
        <v>0</v>
      </c>
      <c r="H426" s="748" t="str">
        <f t="shared" si="1131"/>
        <v/>
      </c>
      <c r="I426" s="592">
        <f t="shared" si="1132"/>
        <v>0</v>
      </c>
      <c r="J426" s="592">
        <f>IF(H426="warranty",0,(I426*($J$1782)))</f>
        <v>0</v>
      </c>
      <c r="K426" s="834">
        <f t="shared" si="1133"/>
        <v>0</v>
      </c>
      <c r="L426" s="834"/>
      <c r="M426" s="832" t="str">
        <f>IF($H$1784=0,"",IF(G426=0,"",IF(F426="Qty=",CONCATENATE("$",ROUND(K426*(1-$H$1784),2)," with ",($H$1784*100),"% discount"),CONCATENATE("$",ROUND(K426*(1-$H$1784),2)," with ",(($H$1784*100+F426*100)-($H$1784*100*F426)),IF(F426&gt;0,"% discounts",IF($H$1781&gt;0,"% discounts","% discount"))))))</f>
        <v/>
      </c>
      <c r="N426" s="832"/>
      <c r="O426" s="832"/>
      <c r="P426" s="832"/>
      <c r="Q426" s="832"/>
      <c r="R426" s="832"/>
      <c r="S426" s="303">
        <f t="shared" si="1134"/>
        <v>0</v>
      </c>
      <c r="T426" s="541">
        <f>VLOOKUP(A426,'Discount Lookup'!D:E,2,FALSE)*G426</f>
        <v>0</v>
      </c>
      <c r="U426" s="83">
        <f>VLOOKUP(A426,'Discount Lookup'!G:H,2,FALSE)*G426</f>
        <v>0</v>
      </c>
      <c r="V426" s="100">
        <f>E426*($J$1782)*G426</f>
        <v>0</v>
      </c>
      <c r="W426" s="100">
        <f t="shared" si="1135"/>
        <v>0</v>
      </c>
      <c r="X426" s="100" t="b">
        <f>IF(G426&gt;0,IF(AD426="me","",G426))</f>
        <v>0</v>
      </c>
      <c r="Y426" s="201"/>
      <c r="Z426" s="829" t="str">
        <f t="shared" si="1093"/>
        <v/>
      </c>
      <c r="AA426" s="829"/>
      <c r="AB426" s="830" t="str">
        <f>IF(G426=0,"",IF(AD426="free","re-planting",IF(AD426="me","not NVP, by",IF($AD$8="yes",(VLOOKUP(A426,'Discount Lookup'!J:K,2)*G426*(1-$AC$1786)*(1+$AC$1788)),IF(AD426="NVP",(VLOOKUP(A426,'Discount Lookup'!J:K,2)*G426*(1-$AC$1786)*(1+$AC$1788)),IF(AD426="free","re-planting",IF(G426=0,"",IF($AD$8="",IF(AD426="me","not NVP, by",IF(AD426="",IF(G426&gt;0,(VLOOKUP(A426,'Discount Lookup'!J:K,2)*G426*(1-$AC$1786)*(1+$AC$1788)),""),"")),"not NVP, by"))))))))</f>
        <v/>
      </c>
      <c r="AC426" s="830"/>
      <c r="AD426" s="375" t="str">
        <f t="shared" si="1121"/>
        <v/>
      </c>
      <c r="AE426" s="833" t="str">
        <f t="shared" si="1100"/>
        <v/>
      </c>
      <c r="AF426" s="833"/>
      <c r="AG426" s="833"/>
      <c r="AH426" s="91">
        <f>IF(AD426="free",0,IF(AD426="me",0,IF(G426&gt;0,(VLOOKUP(A426,'Discount Lookup'!J:K,2)*G426),0)))</f>
        <v>0</v>
      </c>
      <c r="AI426" s="92" t="str">
        <f t="shared" si="1015"/>
        <v/>
      </c>
      <c r="AJ426" s="828" t="str">
        <f t="shared" si="1094"/>
        <v/>
      </c>
      <c r="AK426" s="828"/>
      <c r="AL426" s="313" t="str">
        <f t="shared" si="1070"/>
        <v/>
      </c>
      <c r="AM426" s="312"/>
      <c r="AN426" s="101"/>
      <c r="AO426" s="101"/>
      <c r="AP426" s="101"/>
      <c r="AQ426" s="101"/>
      <c r="AR426" s="101"/>
      <c r="AS426" s="101"/>
      <c r="AT426" s="101"/>
    </row>
    <row r="427" spans="1:46" ht="12.95" customHeight="1">
      <c r="A427" s="472"/>
      <c r="B427" s="173" t="s">
        <v>322</v>
      </c>
      <c r="C427" s="117"/>
      <c r="D427" s="118"/>
      <c r="E427" s="119"/>
      <c r="F427" s="711"/>
      <c r="G427" s="356"/>
      <c r="H427" s="745"/>
      <c r="I427" s="119"/>
      <c r="J427" s="119"/>
      <c r="K427" s="609"/>
      <c r="L427" s="609"/>
      <c r="M427" s="121"/>
      <c r="N427" s="122" t="s">
        <v>277</v>
      </c>
      <c r="O427" s="123"/>
      <c r="P427" s="124"/>
      <c r="Q427" s="124"/>
      <c r="R427" s="83"/>
      <c r="S427" s="82">
        <f>E427*G427</f>
        <v>0</v>
      </c>
      <c r="T427" s="540"/>
      <c r="U427" s="83"/>
      <c r="V427" s="100" t="b">
        <f>IF(G427&gt;0,IF(AD427="me","",G427))</f>
        <v>0</v>
      </c>
      <c r="W427" s="100"/>
      <c r="X427" s="100"/>
      <c r="Y427" s="201"/>
      <c r="Z427" s="829" t="str">
        <f t="shared" si="1093"/>
        <v/>
      </c>
      <c r="AA427" s="829"/>
      <c r="AB427" s="830" t="str">
        <f>IF(G427=0,"",IF(AD427="free","re-planting",IF(AD427="me","not NVP, by",IF($AD$8="yes",(VLOOKUP(A427,'Discount Lookup'!J:K,2)*G427*(1-$AC$1786)*(1+$AC$1788)),IF(AD427="NVP",(VLOOKUP(A427,'Discount Lookup'!J:K,2)*G427*(1-$AC$1786)*(1+$AC$1788)),IF(AD427="free","re-planting",IF(G427=0,"",IF($AD$8="",IF(AD427="me","not NVP, by",IF(AD427="",IF(G427&gt;0,(VLOOKUP(A427,'Discount Lookup'!J:K,2)*G427*(1-$AC$1786)*(1+$AC$1788)),""),"")),"not NVP, by"))))))))</f>
        <v/>
      </c>
      <c r="AC427" s="830"/>
      <c r="AD427" s="375" t="str">
        <f t="shared" si="1121"/>
        <v/>
      </c>
      <c r="AE427" s="833" t="str">
        <f t="shared" si="1100"/>
        <v/>
      </c>
      <c r="AF427" s="833"/>
      <c r="AG427" s="833"/>
      <c r="AH427" s="91">
        <f>IF(AD427="free",0,IF(AD427="me",0,IF(G427&gt;0,(VLOOKUP(A427,'Discount Lookup'!J:K,2)*G427),0)))</f>
        <v>0</v>
      </c>
      <c r="AI427" s="92" t="str">
        <f t="shared" si="1015"/>
        <v/>
      </c>
      <c r="AJ427" s="828" t="str">
        <f t="shared" si="1094"/>
        <v/>
      </c>
      <c r="AK427" s="828"/>
      <c r="AL427" s="313" t="str">
        <f t="shared" si="1070"/>
        <v/>
      </c>
      <c r="AM427" s="312"/>
      <c r="AN427" s="101"/>
      <c r="AO427" s="101"/>
      <c r="AP427" s="101"/>
      <c r="AQ427" s="101"/>
      <c r="AR427" s="101"/>
      <c r="AS427" s="101"/>
      <c r="AT427" s="101"/>
    </row>
    <row r="428" spans="1:46" ht="12.95" customHeight="1">
      <c r="A428" s="836" t="s">
        <v>1580</v>
      </c>
      <c r="B428" s="837"/>
      <c r="C428" s="837"/>
      <c r="D428" s="837"/>
      <c r="E428" s="837"/>
      <c r="F428" s="837"/>
      <c r="G428" s="837"/>
      <c r="H428" s="774" t="s">
        <v>312</v>
      </c>
      <c r="I428" s="349" t="s">
        <v>280</v>
      </c>
      <c r="J428" s="157"/>
      <c r="K428" s="611" t="s">
        <v>45</v>
      </c>
      <c r="L428" s="630" t="s">
        <v>46</v>
      </c>
      <c r="M428" s="157"/>
      <c r="N428" s="158" t="s">
        <v>1614</v>
      </c>
      <c r="O428" s="165"/>
      <c r="P428" s="165"/>
      <c r="Q428" s="804" t="s">
        <v>1626</v>
      </c>
      <c r="R428" s="835" t="s">
        <v>49</v>
      </c>
      <c r="S428" s="835"/>
      <c r="T428" s="835"/>
      <c r="U428" s="835"/>
      <c r="V428" s="100" t="b">
        <f>IF(G428&gt;0,IF(AD428="me","",G428))</f>
        <v>0</v>
      </c>
      <c r="W428" s="100"/>
      <c r="X428" s="100"/>
      <c r="Y428" s="201"/>
      <c r="Z428" s="829" t="str">
        <f t="shared" si="1093"/>
        <v/>
      </c>
      <c r="AA428" s="829"/>
      <c r="AB428" s="830" t="str">
        <f>IF(G428=0,"",IF(AD428="free","re-planting",IF(AD428="me","not NVP, by",IF($AD$8="yes",(VLOOKUP(A428,'Discount Lookup'!J:K,2)*G428*(1-$AC$1786)*(1+$AC$1788)),IF(AD428="NVP",(VLOOKUP(A428,'Discount Lookup'!J:K,2)*G428*(1-$AC$1786)*(1+$AC$1788)),IF(AD428="free","re-planting",IF(G428=0,"",IF($AD$8="",IF(AD428="me","not NVP, by",IF(AD428="",IF(G428&gt;0,(VLOOKUP(A428,'Discount Lookup'!J:K,2)*G428*(1-$AC$1786)*(1+$AC$1788)),""),"")),"not NVP, by"))))))))</f>
        <v/>
      </c>
      <c r="AC428" s="830"/>
      <c r="AD428" s="375" t="str">
        <f t="shared" si="1121"/>
        <v/>
      </c>
      <c r="AE428" s="833" t="str">
        <f t="shared" si="1100"/>
        <v/>
      </c>
      <c r="AF428" s="833"/>
      <c r="AG428" s="833"/>
      <c r="AH428" s="91">
        <f>IF(AD428="free",0,IF(AD428="me",0,IF(G428&gt;0,(VLOOKUP(A428,'Discount Lookup'!J:K,2)*G428),0)))</f>
        <v>0</v>
      </c>
      <c r="AI428" s="92" t="str">
        <f t="shared" si="1015"/>
        <v/>
      </c>
      <c r="AJ428" s="828" t="str">
        <f t="shared" si="1094"/>
        <v/>
      </c>
      <c r="AK428" s="828"/>
      <c r="AL428" s="313" t="str">
        <f t="shared" si="1070"/>
        <v/>
      </c>
      <c r="AM428" s="312"/>
      <c r="AN428" s="101"/>
      <c r="AO428" s="101"/>
      <c r="AP428" s="101"/>
      <c r="AQ428" s="101"/>
      <c r="AR428" s="101"/>
      <c r="AS428" s="101"/>
      <c r="AT428" s="101"/>
    </row>
    <row r="429" spans="1:46" ht="12.95" customHeight="1">
      <c r="A429" s="383">
        <v>15</v>
      </c>
      <c r="B429" s="158" t="s">
        <v>50</v>
      </c>
      <c r="C429" s="160" t="s">
        <v>1456</v>
      </c>
      <c r="D429" s="161" t="s">
        <v>54</v>
      </c>
      <c r="E429" s="162">
        <v>155.94999999999999</v>
      </c>
      <c r="F429" s="713" t="s">
        <v>1306</v>
      </c>
      <c r="G429" s="357">
        <v>0</v>
      </c>
      <c r="H429" s="748" t="str">
        <f t="shared" ref="H429:H432" si="1138">IF(G429=0,"",IF(F429="Qty=",IF(G429=1,"plant","plants"),IF(F429&gt;0.0001,"warranty","Error")))</f>
        <v/>
      </c>
      <c r="I429" s="592">
        <f t="shared" ref="I429:I432" si="1139">IF(F429="Qty=",(E429*G429),((E429*(1-F429))*G429))</f>
        <v>0</v>
      </c>
      <c r="J429" s="592">
        <f>IF(H429="warranty",0,(I429*($J$1782)))</f>
        <v>0</v>
      </c>
      <c r="K429" s="834">
        <f t="shared" ref="K429:K432" si="1140">I429+J429</f>
        <v>0</v>
      </c>
      <c r="L429" s="834"/>
      <c r="M429" s="832" t="str">
        <f>IF($H$1784=0,"",IF(G429=0,"",IF(F429="Qty=",CONCATENATE("$",ROUND(K429*(1-$H$1784),2)," with ",($H$1784*100),"% discount"),CONCATENATE("$",ROUND(K429*(1-$H$1784),2)," with ",(($H$1784*100+F429*100)-($H$1784*100*F429)),IF(F429&gt;0,"% discounts",IF($H$1781&gt;0,"% discounts","% discount"))))))</f>
        <v/>
      </c>
      <c r="N429" s="832"/>
      <c r="O429" s="832"/>
      <c r="P429" s="832"/>
      <c r="Q429" s="832"/>
      <c r="R429" s="832"/>
      <c r="S429" s="303">
        <f t="shared" ref="S429:S431" si="1141">E429*G429</f>
        <v>0</v>
      </c>
      <c r="T429" s="541">
        <f>VLOOKUP(A429,'Discount Lookup'!D:E,2,FALSE)*G429</f>
        <v>0</v>
      </c>
      <c r="U429" s="83">
        <f>VLOOKUP(A429,'Discount Lookup'!G:H,2,FALSE)*G429</f>
        <v>0</v>
      </c>
      <c r="V429" s="100">
        <f>E429*($J$1782)*G429</f>
        <v>0</v>
      </c>
      <c r="W429" s="100">
        <f t="shared" ref="W429:W431" si="1142">I429</f>
        <v>0</v>
      </c>
      <c r="X429" s="100" t="b">
        <f t="shared" ref="X429:X430" si="1143">IF(G429&gt;0,IF(AD429="me","",G429))</f>
        <v>0</v>
      </c>
      <c r="Y429" s="201"/>
      <c r="Z429" s="829" t="str">
        <f t="shared" si="1093"/>
        <v/>
      </c>
      <c r="AA429" s="829"/>
      <c r="AB429" s="830" t="str">
        <f>IF(G429=0,"",IF(AD429="free","re-planting",IF(AD429="me","not NVP, by",IF($AD$8="yes",(VLOOKUP(A429,'Discount Lookup'!J:K,2)*G429*(1-$AC$1786)*(1+$AC$1788)),IF(AD429="NVP",(VLOOKUP(A429,'Discount Lookup'!J:K,2)*G429*(1-$AC$1786)*(1+$AC$1788)),IF(AD429="free","re-planting",IF(G429=0,"",IF($AD$8="",IF(AD429="me","not NVP, by",IF(AD429="",IF(G429&gt;0,(VLOOKUP(A429,'Discount Lookup'!J:K,2)*G429*(1-$AC$1786)*(1+$AC$1788)),""),"")),"not NVP, by"))))))))</f>
        <v/>
      </c>
      <c r="AC429" s="830"/>
      <c r="AD429" s="375" t="str">
        <f t="shared" si="1121"/>
        <v/>
      </c>
      <c r="AE429" s="833" t="str">
        <f t="shared" ref="AE429:AE431" si="1144">IF(G429&gt;0,(CONCATENATE((G429)," quantity, ",(A429)," ",B429)),"")</f>
        <v/>
      </c>
      <c r="AF429" s="833"/>
      <c r="AG429" s="833"/>
      <c r="AH429" s="91">
        <f>IF(AD429="free",0,IF(AD429="me",0,IF(G429&gt;0,(VLOOKUP(A429,'Discount Lookup'!J:K,2)*G429),0)))</f>
        <v>0</v>
      </c>
      <c r="AI429" s="92" t="str">
        <f t="shared" si="1015"/>
        <v/>
      </c>
      <c r="AJ429" s="828" t="str">
        <f t="shared" si="1094"/>
        <v/>
      </c>
      <c r="AK429" s="828"/>
      <c r="AL429" s="313" t="str">
        <f t="shared" si="1070"/>
        <v/>
      </c>
      <c r="AM429" s="312"/>
      <c r="AN429" s="101"/>
      <c r="AO429" s="101"/>
      <c r="AP429" s="101"/>
      <c r="AQ429" s="101"/>
      <c r="AR429" s="101"/>
      <c r="AS429" s="101"/>
      <c r="AT429" s="101"/>
    </row>
    <row r="430" spans="1:46" ht="12.95" customHeight="1">
      <c r="A430" s="383">
        <v>15</v>
      </c>
      <c r="B430" s="158" t="s">
        <v>50</v>
      </c>
      <c r="C430" s="160" t="s">
        <v>1442</v>
      </c>
      <c r="D430" s="161" t="s">
        <v>54</v>
      </c>
      <c r="E430" s="162">
        <v>169.95</v>
      </c>
      <c r="F430" s="713" t="s">
        <v>1306</v>
      </c>
      <c r="G430" s="357">
        <v>0</v>
      </c>
      <c r="H430" s="748" t="str">
        <f t="shared" si="1138"/>
        <v/>
      </c>
      <c r="I430" s="592">
        <f t="shared" si="1139"/>
        <v>0</v>
      </c>
      <c r="J430" s="592">
        <f>IF(H430="warranty",0,(I430*($J$1782)))</f>
        <v>0</v>
      </c>
      <c r="K430" s="834">
        <f t="shared" si="1140"/>
        <v>0</v>
      </c>
      <c r="L430" s="834"/>
      <c r="M430" s="832" t="str">
        <f>IF($H$1784=0,"",IF(G430=0,"",IF(F430="Qty=",CONCATENATE("$",ROUND(K430*(1-$H$1784),2)," with ",($H$1784*100),"% discount"),CONCATENATE("$",ROUND(K430*(1-$H$1784),2)," with ",(($H$1784*100+F430*100)-($H$1784*100*F430)),IF(F430&gt;0,"% discounts",IF($H$1781&gt;0,"% discounts","% discount"))))))</f>
        <v/>
      </c>
      <c r="N430" s="832"/>
      <c r="O430" s="832"/>
      <c r="P430" s="832"/>
      <c r="Q430" s="832"/>
      <c r="R430" s="832"/>
      <c r="S430" s="303">
        <f t="shared" si="1141"/>
        <v>0</v>
      </c>
      <c r="T430" s="541">
        <f>VLOOKUP(A430,'Discount Lookup'!D:E,2,FALSE)*G430</f>
        <v>0</v>
      </c>
      <c r="U430" s="83">
        <f>VLOOKUP(A430,'Discount Lookup'!G:H,2,FALSE)*G430</f>
        <v>0</v>
      </c>
      <c r="V430" s="100">
        <f>E430*($J$1782)*G430</f>
        <v>0</v>
      </c>
      <c r="W430" s="100">
        <f t="shared" si="1142"/>
        <v>0</v>
      </c>
      <c r="X430" s="100" t="b">
        <f t="shared" si="1143"/>
        <v>0</v>
      </c>
      <c r="Y430" s="201"/>
      <c r="Z430" s="829" t="str">
        <f t="shared" si="1093"/>
        <v/>
      </c>
      <c r="AA430" s="829"/>
      <c r="AB430" s="830" t="str">
        <f>IF(G430=0,"",IF(AD430="free","re-planting",IF(AD430="me","not NVP, by",IF($AD$8="yes",(VLOOKUP(A430,'Discount Lookup'!J:K,2)*G430*(1-$AC$1786)*(1+$AC$1788)),IF(AD430="NVP",(VLOOKUP(A430,'Discount Lookup'!J:K,2)*G430*(1-$AC$1786)*(1+$AC$1788)),IF(AD430="free","re-planting",IF(G430=0,"",IF($AD$8="",IF(AD430="me","not NVP, by",IF(AD430="",IF(G430&gt;0,(VLOOKUP(A430,'Discount Lookup'!J:K,2)*G430*(1-$AC$1786)*(1+$AC$1788)),""),"")),"not NVP, by"))))))))</f>
        <v/>
      </c>
      <c r="AC430" s="830"/>
      <c r="AD430" s="375" t="str">
        <f t="shared" si="1121"/>
        <v/>
      </c>
      <c r="AE430" s="833" t="str">
        <f t="shared" si="1144"/>
        <v/>
      </c>
      <c r="AF430" s="833"/>
      <c r="AG430" s="833"/>
      <c r="AH430" s="91">
        <f>IF(AD430="free",0,IF(AD430="me",0,IF(G430&gt;0,(VLOOKUP(A430,'Discount Lookup'!J:K,2)*G430),0)))</f>
        <v>0</v>
      </c>
      <c r="AI430" s="92" t="str">
        <f t="shared" si="1015"/>
        <v/>
      </c>
      <c r="AJ430" s="828" t="str">
        <f t="shared" si="1094"/>
        <v/>
      </c>
      <c r="AK430" s="828"/>
      <c r="AL430" s="313" t="str">
        <f t="shared" si="1070"/>
        <v/>
      </c>
      <c r="AM430" s="312"/>
      <c r="AN430" s="101"/>
      <c r="AO430" s="101"/>
      <c r="AP430" s="101"/>
      <c r="AQ430" s="101"/>
      <c r="AR430" s="101"/>
      <c r="AS430" s="101"/>
      <c r="AT430" s="101"/>
    </row>
    <row r="431" spans="1:46" ht="12.95" customHeight="1">
      <c r="A431" s="383">
        <v>25</v>
      </c>
      <c r="B431" s="158" t="s">
        <v>50</v>
      </c>
      <c r="C431" s="160" t="s">
        <v>1457</v>
      </c>
      <c r="D431" s="161" t="s">
        <v>54</v>
      </c>
      <c r="E431" s="162">
        <v>275.95</v>
      </c>
      <c r="F431" s="713" t="s">
        <v>1306</v>
      </c>
      <c r="G431" s="357">
        <v>0</v>
      </c>
      <c r="H431" s="748" t="str">
        <f t="shared" ref="H431" si="1145">IF(G431=0,"",IF(F431="Qty=",IF(G431=1,"plant","plants"),IF(F431&gt;0.0001,"warranty","Error")))</f>
        <v/>
      </c>
      <c r="I431" s="592">
        <f t="shared" ref="I431" si="1146">IF(F431="Qty=",(E431*G431),((E431*(1-F431))*G431))</f>
        <v>0</v>
      </c>
      <c r="J431" s="592">
        <f>IF(H431="warranty",0,(I431*($J$1782)))</f>
        <v>0</v>
      </c>
      <c r="K431" s="834">
        <f t="shared" si="1140"/>
        <v>0</v>
      </c>
      <c r="L431" s="834"/>
      <c r="M431" s="832" t="str">
        <f>IF($H$1784=0,"",IF(G431=0,"",IF(F431="Qty=",CONCATENATE("$",ROUND(K431*(1-$H$1784),2)," with ",($H$1784*100),"% discount"),CONCATENATE("$",ROUND(K431*(1-$H$1784),2)," with ",(($H$1784*100+F431*100)-($H$1784*100*F431)),IF(F431&gt;0,"% discounts",IF($H$1781&gt;0,"% discounts","% discount"))))))</f>
        <v/>
      </c>
      <c r="N431" s="832"/>
      <c r="O431" s="832"/>
      <c r="P431" s="832"/>
      <c r="Q431" s="832"/>
      <c r="R431" s="832"/>
      <c r="S431" s="303">
        <f t="shared" si="1141"/>
        <v>0</v>
      </c>
      <c r="T431" s="541">
        <f>VLOOKUP(A431,'Discount Lookup'!D:E,2,FALSE)*G431</f>
        <v>0</v>
      </c>
      <c r="U431" s="83">
        <f>VLOOKUP(A431,'Discount Lookup'!G:H,2,FALSE)*G431</f>
        <v>0</v>
      </c>
      <c r="V431" s="100">
        <f>E431*($J$1782)*G431</f>
        <v>0</v>
      </c>
      <c r="W431" s="100">
        <f t="shared" si="1142"/>
        <v>0</v>
      </c>
      <c r="X431" s="100" t="b">
        <f>IF(G431&gt;0,IF(AD431="me","",G431))</f>
        <v>0</v>
      </c>
      <c r="Y431" s="201"/>
      <c r="Z431" s="829" t="str">
        <f t="shared" ref="Z431" si="1147">IF(G431=0,"",IF(AD431="me","",IF($AD$8="me","",IF(AD431="free","warranty",IF($AD$8="yes","NVP planting:","to NVP install:")))))</f>
        <v/>
      </c>
      <c r="AA431" s="829"/>
      <c r="AB431" s="830" t="str">
        <f>IF(G431=0,"",IF(AD431="free","re-planting",IF(AD431="me","not NVP, by",IF($AD$8="yes",(VLOOKUP(A431,'Discount Lookup'!J:K,2)*G431*(1-$AC$1786)*(1+$AC$1788)),IF(AD431="NVP",(VLOOKUP(A431,'Discount Lookup'!J:K,2)*G431*(1-$AC$1786)*(1+$AC$1788)),IF(AD431="free","re-planting",IF(G431=0,"",IF($AD$8="",IF(AD431="me","not NVP, by",IF(AD431="",IF(G431&gt;0,(VLOOKUP(A431,'Discount Lookup'!J:K,2)*G431*(1-$AC$1786)*(1+$AC$1788)),""),"")),"not NVP, by"))))))))</f>
        <v/>
      </c>
      <c r="AC431" s="830"/>
      <c r="AD431" s="375" t="str">
        <f t="shared" si="1121"/>
        <v/>
      </c>
      <c r="AE431" s="833" t="str">
        <f t="shared" si="1144"/>
        <v/>
      </c>
      <c r="AF431" s="833"/>
      <c r="AG431" s="833"/>
      <c r="AH431" s="91">
        <f>IF(AD431="free",0,IF(AD431="me",0,IF(G431&gt;0,(VLOOKUP(A431,'Discount Lookup'!J:K,2)*G431),0)))</f>
        <v>0</v>
      </c>
      <c r="AI431" s="92" t="str">
        <f t="shared" si="1015"/>
        <v/>
      </c>
      <c r="AJ431" s="828" t="str">
        <f t="shared" ref="AJ431" si="1148">IF(G431=0,"",IF(AD431="me","  delivery-only",IF($AD$8="me","  delivery-only",CONCATENATE(" $",ROUND(AI431/G431,2)," each"))))</f>
        <v/>
      </c>
      <c r="AK431" s="828"/>
      <c r="AL431" s="313" t="str">
        <f t="shared" si="1070"/>
        <v/>
      </c>
      <c r="AM431" s="312"/>
      <c r="AN431" s="101"/>
      <c r="AO431" s="101"/>
      <c r="AP431" s="101"/>
      <c r="AQ431" s="101"/>
      <c r="AR431" s="101"/>
      <c r="AS431" s="101"/>
      <c r="AT431" s="101"/>
    </row>
    <row r="432" spans="1:46" ht="12.95" customHeight="1">
      <c r="A432" s="383">
        <v>25</v>
      </c>
      <c r="B432" s="158" t="s">
        <v>50</v>
      </c>
      <c r="C432" s="160" t="s">
        <v>1443</v>
      </c>
      <c r="D432" s="161" t="s">
        <v>90</v>
      </c>
      <c r="E432" s="162">
        <v>304.95</v>
      </c>
      <c r="F432" s="713" t="s">
        <v>1306</v>
      </c>
      <c r="G432" s="357">
        <v>0</v>
      </c>
      <c r="H432" s="748" t="str">
        <f t="shared" si="1138"/>
        <v/>
      </c>
      <c r="I432" s="592">
        <f t="shared" si="1139"/>
        <v>0</v>
      </c>
      <c r="J432" s="592">
        <f>IF(H432="warranty",0,(I432*($J$1782)))</f>
        <v>0</v>
      </c>
      <c r="K432" s="834">
        <f t="shared" si="1140"/>
        <v>0</v>
      </c>
      <c r="L432" s="834"/>
      <c r="M432" s="832" t="str">
        <f>IF($H$1784=0,"",IF(G432=0,"",IF(F432="Qty=",CONCATENATE("$",ROUND(K432*(1-$H$1784),2)," with ",($H$1784*100),"% discount"),CONCATENATE("$",ROUND(K432*(1-$H$1784),2)," with ",(($H$1784*100+F432*100)-($H$1784*100*F432)),IF(F432&gt;0,"% discounts",IF($H$1781&gt;0,"% discounts","% discount"))))))</f>
        <v/>
      </c>
      <c r="N432" s="832"/>
      <c r="O432" s="832"/>
      <c r="P432" s="832"/>
      <c r="Q432" s="832"/>
      <c r="R432" s="832"/>
      <c r="S432" s="303">
        <f t="shared" ref="S432" si="1149">E432*G432</f>
        <v>0</v>
      </c>
      <c r="T432" s="541">
        <f>VLOOKUP(A432,'Discount Lookup'!D:E,2,FALSE)*G432</f>
        <v>0</v>
      </c>
      <c r="U432" s="83">
        <f>VLOOKUP(A432,'Discount Lookup'!G:H,2,FALSE)*G432</f>
        <v>0</v>
      </c>
      <c r="V432" s="100">
        <f>E432*($J$1782)*G432</f>
        <v>0</v>
      </c>
      <c r="W432" s="100">
        <f t="shared" ref="W432" si="1150">I432</f>
        <v>0</v>
      </c>
      <c r="X432" s="100" t="b">
        <f>IF(G432&gt;0,IF(AD432="me","",G432))</f>
        <v>0</v>
      </c>
      <c r="Y432" s="201"/>
      <c r="Z432" s="829" t="str">
        <f t="shared" si="1093"/>
        <v/>
      </c>
      <c r="AA432" s="829"/>
      <c r="AB432" s="830" t="str">
        <f>IF(G432=0,"",IF(AD432="free","re-planting",IF(AD432="me","not NVP, by",IF($AD$8="yes",(VLOOKUP(A432,'Discount Lookup'!J:K,2)*G432*(1-$AC$1786)*(1+$AC$1788)),IF(AD432="NVP",(VLOOKUP(A432,'Discount Lookup'!J:K,2)*G432*(1-$AC$1786)*(1+$AC$1788)),IF(AD432="free","re-planting",IF(G432=0,"",IF($AD$8="",IF(AD432="me","not NVP, by",IF(AD432="",IF(G432&gt;0,(VLOOKUP(A432,'Discount Lookup'!J:K,2)*G432*(1-$AC$1786)*(1+$AC$1788)),""),"")),"not NVP, by"))))))))</f>
        <v/>
      </c>
      <c r="AC432" s="830"/>
      <c r="AD432" s="375" t="str">
        <f t="shared" si="1121"/>
        <v/>
      </c>
      <c r="AE432" s="833" t="str">
        <f t="shared" si="1100"/>
        <v/>
      </c>
      <c r="AF432" s="833"/>
      <c r="AG432" s="833"/>
      <c r="AH432" s="91">
        <f>IF(AD432="free",0,IF(AD432="me",0,IF(G432&gt;0,(VLOOKUP(A432,'Discount Lookup'!J:K,2)*G432),0)))</f>
        <v>0</v>
      </c>
      <c r="AI432" s="92" t="str">
        <f t="shared" si="1015"/>
        <v/>
      </c>
      <c r="AJ432" s="828" t="str">
        <f t="shared" si="1094"/>
        <v/>
      </c>
      <c r="AK432" s="828"/>
      <c r="AL432" s="313" t="str">
        <f t="shared" si="1070"/>
        <v/>
      </c>
      <c r="AM432" s="312"/>
      <c r="AN432" s="101"/>
      <c r="AO432" s="101"/>
      <c r="AP432" s="101"/>
      <c r="AQ432" s="101"/>
      <c r="AR432" s="101"/>
      <c r="AS432" s="101"/>
      <c r="AT432" s="101"/>
    </row>
    <row r="433" spans="1:46" ht="12.95" customHeight="1">
      <c r="A433" s="472"/>
      <c r="B433" s="173" t="s">
        <v>324</v>
      </c>
      <c r="C433" s="118"/>
      <c r="D433" s="118"/>
      <c r="E433" s="119"/>
      <c r="F433" s="711"/>
      <c r="G433" s="358"/>
      <c r="H433" s="745"/>
      <c r="I433" s="119"/>
      <c r="J433" s="119"/>
      <c r="K433" s="609"/>
      <c r="L433" s="609"/>
      <c r="M433" s="121"/>
      <c r="N433" s="121"/>
      <c r="O433" s="123"/>
      <c r="P433" s="124"/>
      <c r="Q433" s="124"/>
      <c r="R433" s="83"/>
      <c r="S433" s="82">
        <f>E433*G433</f>
        <v>0</v>
      </c>
      <c r="T433" s="540"/>
      <c r="U433" s="83"/>
      <c r="V433" s="100" t="b">
        <f>IF(G433&gt;0,IF(AD433="me","",G433))</f>
        <v>0</v>
      </c>
      <c r="W433" s="100"/>
      <c r="X433" s="100"/>
      <c r="Y433" s="201"/>
      <c r="Z433" s="829" t="str">
        <f t="shared" si="1093"/>
        <v/>
      </c>
      <c r="AA433" s="829"/>
      <c r="AB433" s="830" t="str">
        <f>IF(G433=0,"",IF(AD433="free","re-planting",IF(AD433="me","not NVP, by",IF($AD$8="yes",(VLOOKUP(A433,'Discount Lookup'!J:K,2)*G433*(1-$AC$1786)*(1+$AC$1788)),IF(AD433="NVP",(VLOOKUP(A433,'Discount Lookup'!J:K,2)*G433*(1-$AC$1786)*(1+$AC$1788)),IF(AD433="free","re-planting",IF(G433=0,"",IF($AD$8="",IF(AD433="me","not NVP, by",IF(AD433="",IF(G433&gt;0,(VLOOKUP(A433,'Discount Lookup'!J:K,2)*G433*(1-$AC$1786)*(1+$AC$1788)),""),"")),"not NVP, by"))))))))</f>
        <v/>
      </c>
      <c r="AC433" s="830"/>
      <c r="AD433" s="375" t="str">
        <f t="shared" si="1121"/>
        <v/>
      </c>
      <c r="AE433" s="833" t="str">
        <f t="shared" si="1100"/>
        <v/>
      </c>
      <c r="AF433" s="833"/>
      <c r="AG433" s="833"/>
      <c r="AH433" s="91">
        <f>IF(AD433="free",0,IF(AD433="me",0,IF(G433&gt;0,(VLOOKUP(A433,'Discount Lookup'!J:K,2)*G433),0)))</f>
        <v>0</v>
      </c>
      <c r="AI433" s="92" t="str">
        <f t="shared" si="1015"/>
        <v/>
      </c>
      <c r="AJ433" s="828" t="str">
        <f t="shared" si="1094"/>
        <v/>
      </c>
      <c r="AK433" s="828"/>
      <c r="AL433" s="313" t="str">
        <f t="shared" si="1070"/>
        <v/>
      </c>
      <c r="AM433" s="312"/>
      <c r="AN433" s="101"/>
      <c r="AO433" s="101"/>
      <c r="AP433" s="101"/>
      <c r="AQ433" s="101"/>
      <c r="AR433" s="101"/>
      <c r="AS433" s="101"/>
      <c r="AT433" s="101"/>
    </row>
    <row r="434" spans="1:46" ht="12.95" customHeight="1">
      <c r="A434" s="836" t="s">
        <v>1552</v>
      </c>
      <c r="B434" s="837"/>
      <c r="C434" s="837"/>
      <c r="D434" s="837"/>
      <c r="E434" s="837"/>
      <c r="F434" s="837"/>
      <c r="G434" s="837"/>
      <c r="H434" s="774" t="s">
        <v>312</v>
      </c>
      <c r="I434" s="164" t="s">
        <v>79</v>
      </c>
      <c r="J434" s="157"/>
      <c r="K434" s="611" t="s">
        <v>45</v>
      </c>
      <c r="L434" s="630" t="s">
        <v>46</v>
      </c>
      <c r="M434" s="157"/>
      <c r="N434" s="158" t="s">
        <v>69</v>
      </c>
      <c r="O434" s="158"/>
      <c r="P434" s="158"/>
      <c r="Q434" s="158"/>
      <c r="R434" s="157"/>
      <c r="S434" s="170"/>
      <c r="T434" s="547"/>
      <c r="U434" s="171"/>
      <c r="V434" s="100" t="b">
        <f>IF(G434&gt;0,IF(AD434="me","",G434))</f>
        <v>0</v>
      </c>
      <c r="W434" s="100"/>
      <c r="X434" s="100"/>
      <c r="Y434" s="201"/>
      <c r="Z434" s="829" t="str">
        <f>IF(G434=0,"",IF(AD434="me","",IF($AD$8="me","",IF(AD434="free","warranty",IF($AD$8="yes","NVP planting:","to NVP install:")))))</f>
        <v/>
      </c>
      <c r="AA434" s="829"/>
      <c r="AB434" s="830" t="str">
        <f>IF(G434=0,"",IF(AD434="free","re-planting",IF(AD434="me","not NVP, by",IF($AD$8="yes",(VLOOKUP(A434,'Discount Lookup'!J:K,2)*G434*(1-$AC$1786)*(1+$AC$1788)),IF(AD434="NVP",(VLOOKUP(A434,'Discount Lookup'!J:K,2)*G434*(1-$AC$1786)*(1+$AC$1788)),IF(AD434="free","re-planting",IF(G434=0,"",IF($AD$8="",IF(AD434="me","not NVP, by",IF(AD434="",IF(G434&gt;0,(VLOOKUP(A434,'Discount Lookup'!J:K,2)*G434*(1-$AC$1786)*(1+$AC$1788)),""),"")),"not NVP, by"))))))))</f>
        <v/>
      </c>
      <c r="AC434" s="830"/>
      <c r="AD434" s="375" t="str">
        <f t="shared" si="1121"/>
        <v/>
      </c>
      <c r="AE434" s="833" t="str">
        <f>IF(G434&gt;0,(CONCATENATE((G434)," quantity, ",(A434)," ",B434)),"")</f>
        <v/>
      </c>
      <c r="AF434" s="833"/>
      <c r="AG434" s="833"/>
      <c r="AH434" s="91">
        <f>IF(AD434="free",0,IF(AD434="me",0,IF(G434&gt;0,(VLOOKUP(A434,'Discount Lookup'!J:K,2)*G434),0)))</f>
        <v>0</v>
      </c>
      <c r="AI434" s="92" t="str">
        <f t="shared" si="1015"/>
        <v/>
      </c>
      <c r="AJ434" s="828" t="str">
        <f>IF(G434=0,"",IF(AD434="me","  delivery-only",IF($AD$8="me","  delivery-only",CONCATENATE(" $",ROUND(AI434/G434,2)," each"))))</f>
        <v/>
      </c>
      <c r="AK434" s="828"/>
      <c r="AL434" s="313" t="str">
        <f t="shared" si="1070"/>
        <v/>
      </c>
      <c r="AM434" s="312"/>
      <c r="AN434" s="101"/>
      <c r="AO434" s="101"/>
      <c r="AP434" s="101"/>
      <c r="AQ434" s="101"/>
      <c r="AR434" s="101"/>
      <c r="AS434" s="101"/>
      <c r="AT434" s="101"/>
    </row>
    <row r="435" spans="1:46" ht="12.95" customHeight="1">
      <c r="A435" s="383">
        <v>7</v>
      </c>
      <c r="B435" s="158" t="s">
        <v>50</v>
      </c>
      <c r="C435" s="160" t="s">
        <v>211</v>
      </c>
      <c r="D435" s="161" t="s">
        <v>54</v>
      </c>
      <c r="E435" s="162">
        <v>111.95</v>
      </c>
      <c r="F435" s="713" t="s">
        <v>1306</v>
      </c>
      <c r="G435" s="357">
        <v>0</v>
      </c>
      <c r="H435" s="748" t="str">
        <f t="shared" ref="H435:H437" si="1151">IF(G435=0,"",IF(F435="Qty=",IF(G435=1,"plant","plants"),IF(F435&gt;0.0001,"warranty","Error")))</f>
        <v/>
      </c>
      <c r="I435" s="592">
        <f t="shared" ref="I435:I437" si="1152">IF(F435="Qty=",(E435*G435),((E435*(1-F435))*G435))</f>
        <v>0</v>
      </c>
      <c r="J435" s="592">
        <f>IF(H435="warranty",0,(I435*($J$1782)))</f>
        <v>0</v>
      </c>
      <c r="K435" s="834">
        <f t="shared" ref="K435:K437" si="1153">I435+J435</f>
        <v>0</v>
      </c>
      <c r="L435" s="834"/>
      <c r="M435" s="832" t="str">
        <f>IF($H$1784=0,"",IF(G435=0,"",IF(F435="Qty=",CONCATENATE("$",ROUND(K435*(1-$H$1784),2)," with ",($H$1784*100),"% discount"),CONCATENATE("$",ROUND(K435*(1-$H$1784),2)," with ",(($H$1784*100+F435*100)-($H$1784*100*F435)),IF(F435&gt;0,"% discounts",IF($H$1781&gt;0,"% discounts","% discount"))))))</f>
        <v/>
      </c>
      <c r="N435" s="832"/>
      <c r="O435" s="832"/>
      <c r="P435" s="832"/>
      <c r="Q435" s="832"/>
      <c r="R435" s="832"/>
      <c r="S435" s="303">
        <f t="shared" ref="S435:S437" si="1154">E435*G435</f>
        <v>0</v>
      </c>
      <c r="T435" s="541">
        <f>VLOOKUP(A435,'Discount Lookup'!D:E,2,FALSE)*G435</f>
        <v>0</v>
      </c>
      <c r="U435" s="83">
        <f>VLOOKUP(A435,'Discount Lookup'!G:H,2,FALSE)*G435</f>
        <v>0</v>
      </c>
      <c r="V435" s="100">
        <f>E435*($J$1782)*G435</f>
        <v>0</v>
      </c>
      <c r="W435" s="100">
        <f t="shared" ref="W435:W437" si="1155">I435</f>
        <v>0</v>
      </c>
      <c r="X435" s="100" t="b">
        <f>IF(G435&gt;0,IF(AD435="me","",G435))</f>
        <v>0</v>
      </c>
      <c r="Y435" s="201"/>
      <c r="Z435" s="829" t="str">
        <f>IF(G435=0,"",IF(AD435="me","",IF($AD$8="me","",IF(AD435="free","warranty",IF($AD$8="yes","NVP planting:","to NVP install:")))))</f>
        <v/>
      </c>
      <c r="AA435" s="829"/>
      <c r="AB435" s="830" t="str">
        <f>IF(G435=0,"",IF(AD435="free","re-planting",IF(AD435="me","not NVP, by",IF($AD$8="yes",(VLOOKUP(A435,'Discount Lookup'!J:K,2)*G435*(1-$AC$1786)*(1+$AC$1788)),IF(AD435="NVP",(VLOOKUP(A435,'Discount Lookup'!J:K,2)*G435*(1-$AC$1786)*(1+$AC$1788)),IF(AD435="free","re-planting",IF(G435=0,"",IF($AD$8="",IF(AD435="me","not NVP, by",IF(AD435="",IF(G435&gt;0,(VLOOKUP(A435,'Discount Lookup'!J:K,2)*G435*(1-$AC$1786)*(1+$AC$1788)),""),"")),"not NVP, by"))))))))</f>
        <v/>
      </c>
      <c r="AC435" s="830"/>
      <c r="AD435" s="375" t="str">
        <f t="shared" si="1121"/>
        <v/>
      </c>
      <c r="AE435" s="833" t="str">
        <f>IF(G435&gt;0,(CONCATENATE((G435)," quantity, ",(A435)," ",B435)),"")</f>
        <v/>
      </c>
      <c r="AF435" s="833"/>
      <c r="AG435" s="833"/>
      <c r="AH435" s="91">
        <f>IF(AD435="free",0,IF(AD435="me",0,IF(G435&gt;0,(VLOOKUP(A435,'Discount Lookup'!J:K,2)*G435),0)))</f>
        <v>0</v>
      </c>
      <c r="AI435" s="92" t="str">
        <f t="shared" si="1015"/>
        <v/>
      </c>
      <c r="AJ435" s="828" t="str">
        <f>IF(G435=0,"",IF(AD435="me","  delivery-only",IF($AD$8="me","  delivery-only",CONCATENATE(" $",ROUND(AI435/G435,2)," each"))))</f>
        <v/>
      </c>
      <c r="AK435" s="828"/>
      <c r="AL435" s="313" t="str">
        <f t="shared" si="1070"/>
        <v/>
      </c>
      <c r="AM435" s="312"/>
      <c r="AN435" s="101"/>
      <c r="AO435" s="101"/>
      <c r="AP435" s="101"/>
      <c r="AQ435" s="101"/>
      <c r="AR435" s="101"/>
      <c r="AS435" s="101"/>
      <c r="AT435" s="101"/>
    </row>
    <row r="436" spans="1:46" ht="12.95" customHeight="1">
      <c r="A436" s="383">
        <v>15</v>
      </c>
      <c r="B436" s="158" t="s">
        <v>50</v>
      </c>
      <c r="C436" s="160" t="s">
        <v>313</v>
      </c>
      <c r="D436" s="161" t="s">
        <v>54</v>
      </c>
      <c r="E436" s="162">
        <v>192.95</v>
      </c>
      <c r="F436" s="713" t="s">
        <v>1306</v>
      </c>
      <c r="G436" s="357">
        <v>0</v>
      </c>
      <c r="H436" s="748" t="str">
        <f t="shared" ref="H436" si="1156">IF(G436=0,"",IF(F436="Qty=",IF(G436=1,"plant","plants"),IF(F436&gt;0.0001,"warranty","Error")))</f>
        <v/>
      </c>
      <c r="I436" s="592">
        <f t="shared" ref="I436" si="1157">IF(F436="Qty=",(E436*G436),((E436*(1-F436))*G436))</f>
        <v>0</v>
      </c>
      <c r="J436" s="592">
        <f>IF(H436="warranty",0,(I436*($J$1782)))</f>
        <v>0</v>
      </c>
      <c r="K436" s="834">
        <f t="shared" si="1153"/>
        <v>0</v>
      </c>
      <c r="L436" s="834"/>
      <c r="M436" s="832" t="str">
        <f>IF($H$1784=0,"",IF(G436=0,"",IF(F436="Qty=",CONCATENATE("$",ROUND(K436*(1-$H$1784),2)," with ",($H$1784*100),"% discount"),CONCATENATE("$",ROUND(K436*(1-$H$1784),2)," with ",(($H$1784*100+F436*100)-($H$1784*100*F436)),IF(F436&gt;0,"% discounts",IF($H$1781&gt;0,"% discounts","% discount"))))))</f>
        <v/>
      </c>
      <c r="N436" s="832"/>
      <c r="O436" s="832"/>
      <c r="P436" s="832"/>
      <c r="Q436" s="832"/>
      <c r="R436" s="832"/>
      <c r="S436" s="303">
        <f t="shared" ref="S436" si="1158">E436*G436</f>
        <v>0</v>
      </c>
      <c r="T436" s="541">
        <f>VLOOKUP(A436,'Discount Lookup'!D:E,2,FALSE)*G436</f>
        <v>0</v>
      </c>
      <c r="U436" s="83">
        <f>VLOOKUP(A436,'Discount Lookup'!G:H,2,FALSE)*G436</f>
        <v>0</v>
      </c>
      <c r="V436" s="100">
        <f>E436*($J$1782)*G436</f>
        <v>0</v>
      </c>
      <c r="W436" s="100">
        <f t="shared" ref="W436" si="1159">I436</f>
        <v>0</v>
      </c>
      <c r="X436" s="100" t="b">
        <f>IF(G436&gt;0,IF(AD436="me","",G436))</f>
        <v>0</v>
      </c>
      <c r="Y436" s="201"/>
      <c r="Z436" s="829" t="str">
        <f>IF(G436=0,"",IF(AD436="me","",IF($AD$8="me","",IF(AD436="free","warranty",IF($AD$8="yes","NVP planting:","to NVP install:")))))</f>
        <v/>
      </c>
      <c r="AA436" s="829"/>
      <c r="AB436" s="830" t="str">
        <f>IF(G436=0,"",IF(AD436="free","re-planting",IF(AD436="me","not NVP, by",IF($AD$8="yes",(VLOOKUP(A436,'Discount Lookup'!J:K,2)*G436*(1-$AC$1786)*(1+$AC$1788)),IF(AD436="NVP",(VLOOKUP(A436,'Discount Lookup'!J:K,2)*G436*(1-$AC$1786)*(1+$AC$1788)),IF(AD436="free","re-planting",IF(G436=0,"",IF($AD$8="",IF(AD436="me","not NVP, by",IF(AD436="",IF(G436&gt;0,(VLOOKUP(A436,'Discount Lookup'!J:K,2)*G436*(1-$AC$1786)*(1+$AC$1788)),""),"")),"not NVP, by"))))))))</f>
        <v/>
      </c>
      <c r="AC436" s="830"/>
      <c r="AD436" s="375" t="str">
        <f t="shared" si="1121"/>
        <v/>
      </c>
      <c r="AE436" s="833" t="str">
        <f>IF(G436&gt;0,(CONCATENATE((G436)," quantity, ",(A436)," ",B436)),"")</f>
        <v/>
      </c>
      <c r="AF436" s="833"/>
      <c r="AG436" s="833"/>
      <c r="AH436" s="91">
        <f>IF(AD436="free",0,IF(AD436="me",0,IF(G436&gt;0,(VLOOKUP(A436,'Discount Lookup'!J:K,2)*G436),0)))</f>
        <v>0</v>
      </c>
      <c r="AI436" s="92" t="str">
        <f t="shared" si="1015"/>
        <v/>
      </c>
      <c r="AJ436" s="828" t="str">
        <f>IF(G436=0,"",IF(AD436="me","  delivery-only",IF($AD$8="me","  delivery-only",CONCATENATE(" $",ROUND(AI436/G436,2)," each"))))</f>
        <v/>
      </c>
      <c r="AK436" s="828"/>
      <c r="AL436" s="313" t="str">
        <f t="shared" si="1070"/>
        <v/>
      </c>
      <c r="AM436" s="312"/>
      <c r="AN436" s="101"/>
      <c r="AO436" s="101"/>
      <c r="AP436" s="101"/>
      <c r="AQ436" s="101"/>
      <c r="AR436" s="101"/>
      <c r="AS436" s="101"/>
      <c r="AT436" s="101"/>
    </row>
    <row r="437" spans="1:46" ht="12.95" customHeight="1">
      <c r="A437" s="383">
        <v>25</v>
      </c>
      <c r="B437" s="158" t="s">
        <v>50</v>
      </c>
      <c r="C437" s="160" t="s">
        <v>295</v>
      </c>
      <c r="D437" s="161" t="s">
        <v>54</v>
      </c>
      <c r="E437" s="162">
        <v>408.95</v>
      </c>
      <c r="F437" s="713" t="s">
        <v>1306</v>
      </c>
      <c r="G437" s="357">
        <v>0</v>
      </c>
      <c r="H437" s="748" t="str">
        <f t="shared" si="1151"/>
        <v/>
      </c>
      <c r="I437" s="592">
        <f t="shared" si="1152"/>
        <v>0</v>
      </c>
      <c r="J437" s="592">
        <f>IF(H437="warranty",0,(I437*($J$1782)))</f>
        <v>0</v>
      </c>
      <c r="K437" s="834">
        <f t="shared" si="1153"/>
        <v>0</v>
      </c>
      <c r="L437" s="834"/>
      <c r="M437" s="832" t="str">
        <f>IF($H$1784=0,"",IF(G437=0,"",IF(F437="Qty=",CONCATENATE("$",ROUND(K437*(1-$H$1784),2)," with ",($H$1784*100),"% discount"),CONCATENATE("$",ROUND(K437*(1-$H$1784),2)," with ",(($H$1784*100+F437*100)-($H$1784*100*F437)),IF(F437&gt;0,"% discounts",IF($H$1781&gt;0,"% discounts","% discount"))))))</f>
        <v/>
      </c>
      <c r="N437" s="832"/>
      <c r="O437" s="832"/>
      <c r="P437" s="832"/>
      <c r="Q437" s="832"/>
      <c r="R437" s="832"/>
      <c r="S437" s="303">
        <f t="shared" si="1154"/>
        <v>0</v>
      </c>
      <c r="T437" s="541">
        <f>VLOOKUP(A437,'Discount Lookup'!D:E,2,FALSE)*G437</f>
        <v>0</v>
      </c>
      <c r="U437" s="83">
        <f>VLOOKUP(A437,'Discount Lookup'!G:H,2,FALSE)*G437</f>
        <v>0</v>
      </c>
      <c r="V437" s="100">
        <f>E437*($J$1782)*G437</f>
        <v>0</v>
      </c>
      <c r="W437" s="100">
        <f t="shared" si="1155"/>
        <v>0</v>
      </c>
      <c r="X437" s="100" t="b">
        <f>IF(G437&gt;0,IF(AD437="me","",G437))</f>
        <v>0</v>
      </c>
      <c r="Y437" s="201"/>
      <c r="Z437" s="829" t="str">
        <f>IF(G437=0,"",IF(AD437="me","",IF($AD$8="me","",IF(AD437="free","warranty",IF($AD$8="yes","NVP planting:","to NVP install:")))))</f>
        <v/>
      </c>
      <c r="AA437" s="829"/>
      <c r="AB437" s="830" t="str">
        <f>IF(G437=0,"",IF(AD437="free","re-planting",IF(AD437="me","not NVP, by",IF($AD$8="yes",(VLOOKUP(A437,'Discount Lookup'!J:K,2)*G437*(1-$AC$1786)*(1+$AC$1788)),IF(AD437="NVP",(VLOOKUP(A437,'Discount Lookup'!J:K,2)*G437*(1-$AC$1786)*(1+$AC$1788)),IF(AD437="free","re-planting",IF(G437=0,"",IF($AD$8="",IF(AD437="me","not NVP, by",IF(AD437="",IF(G437&gt;0,(VLOOKUP(A437,'Discount Lookup'!J:K,2)*G437*(1-$AC$1786)*(1+$AC$1788)),""),"")),"not NVP, by"))))))))</f>
        <v/>
      </c>
      <c r="AC437" s="830"/>
      <c r="AD437" s="375" t="str">
        <f t="shared" si="1121"/>
        <v/>
      </c>
      <c r="AE437" s="833" t="str">
        <f>IF(G437&gt;0,(CONCATENATE((G437)," quantity, ",(A437)," ",B437)),"")</f>
        <v/>
      </c>
      <c r="AF437" s="833"/>
      <c r="AG437" s="833"/>
      <c r="AH437" s="91">
        <f>IF(AD437="free",0,IF(AD437="me",0,IF(G437&gt;0,(VLOOKUP(A437,'Discount Lookup'!J:K,2)*G437),0)))</f>
        <v>0</v>
      </c>
      <c r="AI437" s="92" t="str">
        <f t="shared" si="1015"/>
        <v/>
      </c>
      <c r="AJ437" s="828" t="str">
        <f>IF(G437=0,"",IF(AD437="me","  delivery-only",IF($AD$8="me","  delivery-only",CONCATENATE(" $",ROUND(AI437/G437,2)," each"))))</f>
        <v/>
      </c>
      <c r="AK437" s="828"/>
      <c r="AL437" s="313" t="str">
        <f t="shared" si="1070"/>
        <v/>
      </c>
      <c r="AM437" s="312"/>
      <c r="AN437" s="101"/>
      <c r="AO437" s="101"/>
      <c r="AP437" s="101"/>
      <c r="AQ437" s="101"/>
      <c r="AR437" s="101"/>
      <c r="AS437" s="101"/>
      <c r="AT437" s="101"/>
    </row>
    <row r="438" spans="1:46" ht="12.95" customHeight="1">
      <c r="A438" s="472"/>
      <c r="B438" s="173" t="s">
        <v>314</v>
      </c>
      <c r="C438" s="117"/>
      <c r="D438" s="118"/>
      <c r="E438" s="119"/>
      <c r="F438" s="711"/>
      <c r="G438" s="356"/>
      <c r="H438" s="745"/>
      <c r="I438" s="119"/>
      <c r="J438" s="119"/>
      <c r="K438" s="609"/>
      <c r="L438" s="609"/>
      <c r="M438" s="121"/>
      <c r="N438" s="145"/>
      <c r="O438" s="123"/>
      <c r="P438" s="124"/>
      <c r="Q438" s="124"/>
      <c r="R438" s="83"/>
      <c r="S438" s="82">
        <f>E438*G438</f>
        <v>0</v>
      </c>
      <c r="T438" s="540"/>
      <c r="U438" s="83"/>
      <c r="V438" s="100" t="b">
        <f>IF(G438&gt;0,IF(AD438="me","",G438))</f>
        <v>0</v>
      </c>
      <c r="W438" s="100"/>
      <c r="X438" s="100"/>
      <c r="Y438" s="201"/>
      <c r="Z438" s="829" t="str">
        <f>IF(G438=0,"",IF(AD438="me","",IF($AD$8="me","",IF(AD438="free","warranty",IF($AD$8="yes","NVP planting:","to NVP install:")))))</f>
        <v/>
      </c>
      <c r="AA438" s="829"/>
      <c r="AB438" s="830" t="str">
        <f>IF(G438=0,"",IF(AD438="free","re-planting",IF(AD438="me","not NVP, by",IF($AD$8="yes",(VLOOKUP(A438,'Discount Lookup'!J:K,2)*G438*(1-$AC$1786)*(1+$AC$1788)),IF(AD438="NVP",(VLOOKUP(A438,'Discount Lookup'!J:K,2)*G438*(1-$AC$1786)*(1+$AC$1788)),IF(AD438="free","re-planting",IF(G438=0,"",IF($AD$8="",IF(AD438="me","not NVP, by",IF(AD438="",IF(G438&gt;0,(VLOOKUP(A438,'Discount Lookup'!J:K,2)*G438*(1-$AC$1786)*(1+$AC$1788)),""),"")),"not NVP, by"))))))))</f>
        <v/>
      </c>
      <c r="AC438" s="830"/>
      <c r="AD438" s="375" t="str">
        <f t="shared" si="1121"/>
        <v/>
      </c>
      <c r="AE438" s="833" t="str">
        <f>IF(G438&gt;0,(CONCATENATE((G438)," quantity, ",(A438)," ",B438)),"")</f>
        <v/>
      </c>
      <c r="AF438" s="833"/>
      <c r="AG438" s="833"/>
      <c r="AH438" s="91">
        <f>IF(AD438="free",0,IF(AD438="me",0,IF(G438&gt;0,(VLOOKUP(A438,'Discount Lookup'!J:K,2)*G438),0)))</f>
        <v>0</v>
      </c>
      <c r="AI438" s="92" t="str">
        <f t="shared" si="1015"/>
        <v/>
      </c>
      <c r="AJ438" s="828" t="str">
        <f>IF(G438=0,"",IF(AD438="me","  delivery-only",IF($AD$8="me","  delivery-only",CONCATENATE(" $",ROUND(AI438/G438,2)," each"))))</f>
        <v/>
      </c>
      <c r="AK438" s="828"/>
      <c r="AL438" s="313" t="str">
        <f t="shared" si="1070"/>
        <v/>
      </c>
      <c r="AM438" s="312"/>
      <c r="AN438" s="101"/>
      <c r="AO438" s="101"/>
      <c r="AP438" s="101"/>
      <c r="AQ438" s="101"/>
      <c r="AR438" s="101"/>
      <c r="AS438" s="101"/>
      <c r="AT438" s="101"/>
    </row>
    <row r="439" spans="1:46" ht="12.95" customHeight="1">
      <c r="A439" s="894" t="s">
        <v>325</v>
      </c>
      <c r="B439" s="895"/>
      <c r="C439" s="895"/>
      <c r="D439" s="895"/>
      <c r="E439" s="895"/>
      <c r="F439" s="895"/>
      <c r="G439" s="895"/>
      <c r="H439" s="774" t="s">
        <v>326</v>
      </c>
      <c r="I439" s="164" t="s">
        <v>79</v>
      </c>
      <c r="J439" s="157"/>
      <c r="K439" s="611" t="s">
        <v>45</v>
      </c>
      <c r="L439" s="630" t="s">
        <v>46</v>
      </c>
      <c r="M439" s="157"/>
      <c r="N439" s="158" t="s">
        <v>69</v>
      </c>
      <c r="O439" s="158"/>
      <c r="P439" s="164"/>
      <c r="Q439" s="164"/>
      <c r="R439" s="157"/>
      <c r="S439" s="170"/>
      <c r="T439" s="547"/>
      <c r="U439" s="171"/>
      <c r="V439" s="100" t="b">
        <f>IF(G439&gt;0,IF(AD439="me","",G439))</f>
        <v>0</v>
      </c>
      <c r="W439" s="100"/>
      <c r="X439" s="100"/>
      <c r="Y439" s="201"/>
      <c r="Z439" s="829" t="str">
        <f t="shared" si="1093"/>
        <v/>
      </c>
      <c r="AA439" s="829"/>
      <c r="AB439" s="830" t="str">
        <f>IF(G439=0,"",IF(AD439="free","re-planting",IF(AD439="me","not NVP, by",IF($AD$8="yes",(VLOOKUP(A439,'Discount Lookup'!J:K,2)*G439*(1-$AC$1786)*(1+$AC$1788)),IF(AD439="NVP",(VLOOKUP(A439,'Discount Lookup'!J:K,2)*G439*(1-$AC$1786)*(1+$AC$1788)),IF(AD439="free","re-planting",IF(G439=0,"",IF($AD$8="",IF(AD439="me","not NVP, by",IF(AD439="",IF(G439&gt;0,(VLOOKUP(A439,'Discount Lookup'!J:K,2)*G439*(1-$AC$1786)*(1+$AC$1788)),""),"")),"not NVP, by"))))))))</f>
        <v/>
      </c>
      <c r="AC439" s="830"/>
      <c r="AD439" s="375" t="str">
        <f t="shared" si="1121"/>
        <v/>
      </c>
      <c r="AE439" s="833" t="str">
        <f t="shared" si="1100"/>
        <v/>
      </c>
      <c r="AF439" s="833"/>
      <c r="AG439" s="833"/>
      <c r="AH439" s="91">
        <f>IF(AD439="free",0,IF(AD439="me",0,IF(G439&gt;0,(VLOOKUP(A439,'Discount Lookup'!J:K,2)*G439),0)))</f>
        <v>0</v>
      </c>
      <c r="AI439" s="92" t="str">
        <f t="shared" si="1015"/>
        <v/>
      </c>
      <c r="AJ439" s="828" t="str">
        <f t="shared" si="1094"/>
        <v/>
      </c>
      <c r="AK439" s="828"/>
      <c r="AL439" s="313" t="str">
        <f t="shared" si="1070"/>
        <v/>
      </c>
      <c r="AM439" s="312"/>
      <c r="AN439" s="101"/>
      <c r="AO439" s="101"/>
      <c r="AP439" s="101"/>
      <c r="AQ439" s="101"/>
      <c r="AR439" s="101"/>
      <c r="AS439" s="101"/>
      <c r="AT439" s="101"/>
    </row>
    <row r="440" spans="1:46" ht="12.95" customHeight="1">
      <c r="A440" s="383">
        <v>7</v>
      </c>
      <c r="B440" s="158" t="s">
        <v>50</v>
      </c>
      <c r="C440" s="160" t="s">
        <v>211</v>
      </c>
      <c r="D440" s="161" t="s">
        <v>54</v>
      </c>
      <c r="E440" s="162">
        <v>111.95</v>
      </c>
      <c r="F440" s="713" t="s">
        <v>1306</v>
      </c>
      <c r="G440" s="357">
        <v>0</v>
      </c>
      <c r="H440" s="748" t="str">
        <f t="shared" ref="H440:H443" si="1160">IF(G440=0,"",IF(F440="Qty=",IF(G440=1,"plant","plants"),IF(F440&gt;0.0001,"warranty","Error")))</f>
        <v/>
      </c>
      <c r="I440" s="592">
        <f t="shared" ref="I440:I443" si="1161">IF(F440="Qty=",(E440*G440),((E440*(1-F440))*G440))</f>
        <v>0</v>
      </c>
      <c r="J440" s="592">
        <f>IF(H440="warranty",0,(I440*($J$1782)))</f>
        <v>0</v>
      </c>
      <c r="K440" s="834">
        <f t="shared" ref="K440:K444" si="1162">I440+J440</f>
        <v>0</v>
      </c>
      <c r="L440" s="834"/>
      <c r="M440" s="832" t="str">
        <f>IF($H$1784=0,"",IF(G440=0,"",IF(F440="Qty=",CONCATENATE("$",ROUND(K440*(1-$H$1784),2)," with ",($H$1784*100),"% discount"),CONCATENATE("$",ROUND(K440*(1-$H$1784),2)," with ",(($H$1784*100+F440*100)-($H$1784*100*F440)),IF(F440&gt;0,"% discounts",IF($H$1781&gt;0,"% discounts","% discount"))))))</f>
        <v/>
      </c>
      <c r="N440" s="832"/>
      <c r="O440" s="832"/>
      <c r="P440" s="832"/>
      <c r="Q440" s="832"/>
      <c r="R440" s="832"/>
      <c r="S440" s="303">
        <f t="shared" ref="S440:S443" si="1163">E440*G440</f>
        <v>0</v>
      </c>
      <c r="T440" s="541">
        <f>VLOOKUP(A440,'Discount Lookup'!D:E,2,FALSE)*G440</f>
        <v>0</v>
      </c>
      <c r="U440" s="83">
        <f>VLOOKUP(A440,'Discount Lookup'!G:H,2,FALSE)*G440</f>
        <v>0</v>
      </c>
      <c r="V440" s="100">
        <f>E440*($J$1782)*G440</f>
        <v>0</v>
      </c>
      <c r="W440" s="100">
        <f t="shared" ref="W440:W443" si="1164">I440</f>
        <v>0</v>
      </c>
      <c r="X440" s="100" t="b">
        <f>IF(G440&gt;0,IF(AD440="me","",G440))</f>
        <v>0</v>
      </c>
      <c r="Y440" s="201"/>
      <c r="Z440" s="829" t="str">
        <f t="shared" si="1093"/>
        <v/>
      </c>
      <c r="AA440" s="829"/>
      <c r="AB440" s="830" t="str">
        <f>IF(G440=0,"",IF(AD440="free","re-planting",IF(AD440="me","not NVP, by",IF($AD$8="yes",(VLOOKUP(A440,'Discount Lookup'!J:K,2)*G440*(1-$AC$1786)*(1+$AC$1788)),IF(AD440="NVP",(VLOOKUP(A440,'Discount Lookup'!J:K,2)*G440*(1-$AC$1786)*(1+$AC$1788)),IF(AD440="free","re-planting",IF(G440=0,"",IF($AD$8="",IF(AD440="me","not NVP, by",IF(AD440="",IF(G440&gt;0,(VLOOKUP(A440,'Discount Lookup'!J:K,2)*G440*(1-$AC$1786)*(1+$AC$1788)),""),"")),"not NVP, by"))))))))</f>
        <v/>
      </c>
      <c r="AC440" s="830"/>
      <c r="AD440" s="375" t="str">
        <f t="shared" si="1121"/>
        <v/>
      </c>
      <c r="AE440" s="833" t="str">
        <f t="shared" si="1100"/>
        <v/>
      </c>
      <c r="AF440" s="833"/>
      <c r="AG440" s="833"/>
      <c r="AH440" s="91">
        <f>IF(AD440="free",0,IF(AD440="me",0,IF(G440&gt;0,(VLOOKUP(A440,'Discount Lookup'!J:K,2)*G440),0)))</f>
        <v>0</v>
      </c>
      <c r="AI440" s="92" t="str">
        <f t="shared" si="1015"/>
        <v/>
      </c>
      <c r="AJ440" s="828" t="str">
        <f t="shared" si="1094"/>
        <v/>
      </c>
      <c r="AK440" s="828"/>
      <c r="AL440" s="313" t="str">
        <f t="shared" si="1070"/>
        <v/>
      </c>
      <c r="AM440" s="312"/>
      <c r="AN440" s="101"/>
      <c r="AO440" s="101"/>
      <c r="AP440" s="101"/>
      <c r="AQ440" s="101"/>
      <c r="AR440" s="101"/>
      <c r="AS440" s="101"/>
      <c r="AT440" s="101"/>
    </row>
    <row r="441" spans="1:46" ht="12.95" customHeight="1">
      <c r="A441" s="383">
        <v>15</v>
      </c>
      <c r="B441" s="158" t="s">
        <v>50</v>
      </c>
      <c r="C441" s="160" t="s">
        <v>53</v>
      </c>
      <c r="D441" s="161" t="s">
        <v>87</v>
      </c>
      <c r="E441" s="162">
        <v>178.95</v>
      </c>
      <c r="F441" s="713" t="s">
        <v>1306</v>
      </c>
      <c r="G441" s="357">
        <v>0</v>
      </c>
      <c r="H441" s="748" t="str">
        <f t="shared" si="1160"/>
        <v/>
      </c>
      <c r="I441" s="592">
        <f t="shared" si="1161"/>
        <v>0</v>
      </c>
      <c r="J441" s="592">
        <f>IF(H441="warranty",0,(I441*($J$1782)))</f>
        <v>0</v>
      </c>
      <c r="K441" s="834">
        <f t="shared" si="1162"/>
        <v>0</v>
      </c>
      <c r="L441" s="834"/>
      <c r="M441" s="832" t="str">
        <f>IF($H$1784=0,"",IF(G441=0,"",IF(F441="Qty=",CONCATENATE("$",ROUND(K441*(1-$H$1784),2)," with ",($H$1784*100),"% discount"),CONCATENATE("$",ROUND(K441*(1-$H$1784),2)," with ",(($H$1784*100+F441*100)-($H$1784*100*F441)),IF(F441&gt;0,"% discounts",IF($H$1781&gt;0,"% discounts","% discount"))))))</f>
        <v/>
      </c>
      <c r="N441" s="832"/>
      <c r="O441" s="832"/>
      <c r="P441" s="832"/>
      <c r="Q441" s="832"/>
      <c r="R441" s="832"/>
      <c r="S441" s="303">
        <f t="shared" si="1163"/>
        <v>0</v>
      </c>
      <c r="T441" s="541">
        <f>VLOOKUP(A441,'Discount Lookup'!D:E,2,FALSE)*G441</f>
        <v>0</v>
      </c>
      <c r="U441" s="83">
        <f>VLOOKUP(A441,'Discount Lookup'!G:H,2,FALSE)*G441</f>
        <v>0</v>
      </c>
      <c r="V441" s="100">
        <f>E441*($J$1782)*G441</f>
        <v>0</v>
      </c>
      <c r="W441" s="100">
        <f t="shared" si="1164"/>
        <v>0</v>
      </c>
      <c r="X441" s="100" t="b">
        <f>IF(G441&gt;0,IF(AD441="me","",G441))</f>
        <v>0</v>
      </c>
      <c r="Y441" s="201"/>
      <c r="Z441" s="829" t="str">
        <f t="shared" si="1093"/>
        <v/>
      </c>
      <c r="AA441" s="829"/>
      <c r="AB441" s="830" t="str">
        <f>IF(G441=0,"",IF(AD441="free","re-planting",IF(AD441="me","not NVP, by",IF($AD$8="yes",(VLOOKUP(A441,'Discount Lookup'!J:K,2)*G441*(1-$AC$1786)*(1+$AC$1788)),IF(AD441="NVP",(VLOOKUP(A441,'Discount Lookup'!J:K,2)*G441*(1-$AC$1786)*(1+$AC$1788)),IF(AD441="free","re-planting",IF(G441=0,"",IF($AD$8="",IF(AD441="me","not NVP, by",IF(AD441="",IF(G441&gt;0,(VLOOKUP(A441,'Discount Lookup'!J:K,2)*G441*(1-$AC$1786)*(1+$AC$1788)),""),"")),"not NVP, by"))))))))</f>
        <v/>
      </c>
      <c r="AC441" s="830"/>
      <c r="AD441" s="375" t="str">
        <f t="shared" si="1121"/>
        <v/>
      </c>
      <c r="AE441" s="833" t="str">
        <f t="shared" si="1100"/>
        <v/>
      </c>
      <c r="AF441" s="833"/>
      <c r="AG441" s="833"/>
      <c r="AH441" s="91">
        <f>IF(AD441="free",0,IF(AD441="me",0,IF(G441&gt;0,(VLOOKUP(A441,'Discount Lookup'!J:K,2)*G441),0)))</f>
        <v>0</v>
      </c>
      <c r="AI441" s="92" t="str">
        <f t="shared" si="1015"/>
        <v/>
      </c>
      <c r="AJ441" s="828" t="str">
        <f t="shared" si="1094"/>
        <v/>
      </c>
      <c r="AK441" s="828"/>
      <c r="AL441" s="313" t="str">
        <f t="shared" si="1070"/>
        <v/>
      </c>
      <c r="AM441" s="312"/>
      <c r="AN441" s="101"/>
      <c r="AO441" s="101"/>
      <c r="AP441" s="101"/>
      <c r="AQ441" s="101"/>
      <c r="AR441" s="101"/>
      <c r="AS441" s="101"/>
      <c r="AT441" s="101"/>
    </row>
    <row r="442" spans="1:46" ht="12.95" customHeight="1">
      <c r="A442" s="383">
        <v>15</v>
      </c>
      <c r="B442" s="158" t="s">
        <v>50</v>
      </c>
      <c r="C442" s="160" t="s">
        <v>1319</v>
      </c>
      <c r="D442" s="161" t="s">
        <v>54</v>
      </c>
      <c r="E442" s="162">
        <v>187.95</v>
      </c>
      <c r="F442" s="713" t="s">
        <v>1306</v>
      </c>
      <c r="G442" s="357">
        <v>0</v>
      </c>
      <c r="H442" s="748" t="str">
        <f t="shared" si="1160"/>
        <v/>
      </c>
      <c r="I442" s="592">
        <f t="shared" si="1161"/>
        <v>0</v>
      </c>
      <c r="J442" s="592">
        <f>IF(H442="warranty",0,(I442*($J$1782)))</f>
        <v>0</v>
      </c>
      <c r="K442" s="834">
        <f t="shared" si="1162"/>
        <v>0</v>
      </c>
      <c r="L442" s="834"/>
      <c r="M442" s="832" t="str">
        <f>IF($H$1784=0,"",IF(G442=0,"",IF(F442="Qty=",CONCATENATE("$",ROUND(K442*(1-$H$1784),2)," with ",($H$1784*100),"% discount"),CONCATENATE("$",ROUND(K442*(1-$H$1784),2)," with ",(($H$1784*100+F442*100)-($H$1784*100*F442)),IF(F442&gt;0,"% discounts",IF($H$1781&gt;0,"% discounts","% discount"))))))</f>
        <v/>
      </c>
      <c r="N442" s="832"/>
      <c r="O442" s="832"/>
      <c r="P442" s="832"/>
      <c r="Q442" s="832"/>
      <c r="R442" s="832"/>
      <c r="S442" s="303">
        <f t="shared" ref="S442" si="1165">E442*G442</f>
        <v>0</v>
      </c>
      <c r="T442" s="541">
        <f>VLOOKUP(A442,'Discount Lookup'!D:E,2,FALSE)*G442</f>
        <v>0</v>
      </c>
      <c r="U442" s="83">
        <f>VLOOKUP(A442,'Discount Lookup'!G:H,2,FALSE)*G442</f>
        <v>0</v>
      </c>
      <c r="V442" s="100">
        <f>E442*($J$1782)*G442</f>
        <v>0</v>
      </c>
      <c r="W442" s="100">
        <f t="shared" ref="W442" si="1166">I442</f>
        <v>0</v>
      </c>
      <c r="X442" s="100" t="b">
        <f>IF(G442&gt;0,IF(AD442="me","",G442))</f>
        <v>0</v>
      </c>
      <c r="Y442" s="201"/>
      <c r="Z442" s="829" t="str">
        <f t="shared" si="1093"/>
        <v/>
      </c>
      <c r="AA442" s="829"/>
      <c r="AB442" s="830" t="str">
        <f>IF(G442=0,"",IF(AD442="free","re-planting",IF(AD442="me","not NVP, by",IF($AD$8="yes",(VLOOKUP(A442,'Discount Lookup'!J:K,2)*G442*(1-$AC$1786)*(1+$AC$1788)),IF(AD442="NVP",(VLOOKUP(A442,'Discount Lookup'!J:K,2)*G442*(1-$AC$1786)*(1+$AC$1788)),IF(AD442="free","re-planting",IF(G442=0,"",IF($AD$8="",IF(AD442="me","not NVP, by",IF(AD442="",IF(G442&gt;0,(VLOOKUP(A442,'Discount Lookup'!J:K,2)*G442*(1-$AC$1786)*(1+$AC$1788)),""),"")),"not NVP, by"))))))))</f>
        <v/>
      </c>
      <c r="AC442" s="830"/>
      <c r="AD442" s="375" t="str">
        <f t="shared" si="1121"/>
        <v/>
      </c>
      <c r="AE442" s="833" t="str">
        <f t="shared" si="1100"/>
        <v/>
      </c>
      <c r="AF442" s="833"/>
      <c r="AG442" s="833"/>
      <c r="AH442" s="91">
        <f>IF(AD442="free",0,IF(AD442="me",0,IF(G442&gt;0,(VLOOKUP(A442,'Discount Lookup'!J:K,2)*G442),0)))</f>
        <v>0</v>
      </c>
      <c r="AI442" s="92" t="str">
        <f t="shared" si="1015"/>
        <v/>
      </c>
      <c r="AJ442" s="828" t="str">
        <f t="shared" si="1094"/>
        <v/>
      </c>
      <c r="AK442" s="828"/>
      <c r="AL442" s="313" t="str">
        <f t="shared" si="1070"/>
        <v/>
      </c>
      <c r="AM442" s="312"/>
      <c r="AN442" s="101"/>
      <c r="AO442" s="101"/>
      <c r="AP442" s="101"/>
      <c r="AQ442" s="101"/>
      <c r="AR442" s="101"/>
      <c r="AS442" s="101"/>
      <c r="AT442" s="101"/>
    </row>
    <row r="443" spans="1:46" ht="12.95" customHeight="1">
      <c r="A443" s="383">
        <v>15</v>
      </c>
      <c r="B443" s="158" t="s">
        <v>50</v>
      </c>
      <c r="C443" s="160" t="s">
        <v>274</v>
      </c>
      <c r="D443" s="161" t="s">
        <v>63</v>
      </c>
      <c r="E443" s="162">
        <v>183.95</v>
      </c>
      <c r="F443" s="713" t="s">
        <v>1306</v>
      </c>
      <c r="G443" s="357">
        <v>0</v>
      </c>
      <c r="H443" s="748" t="str">
        <f t="shared" si="1160"/>
        <v/>
      </c>
      <c r="I443" s="592">
        <f t="shared" si="1161"/>
        <v>0</v>
      </c>
      <c r="J443" s="592">
        <f>IF(H443="warranty",0,(I443*($J$1782)))</f>
        <v>0</v>
      </c>
      <c r="K443" s="834">
        <f t="shared" si="1162"/>
        <v>0</v>
      </c>
      <c r="L443" s="834"/>
      <c r="M443" s="832" t="str">
        <f>IF($H$1784=0,"",IF(G443=0,"",IF(F443="Qty=",CONCATENATE("$",ROUND(K443*(1-$H$1784),2)," with ",($H$1784*100),"% discount"),CONCATENATE("$",ROUND(K443*(1-$H$1784),2)," with ",(($H$1784*100+F443*100)-($H$1784*100*F443)),IF(F443&gt;0,"% discounts",IF($H$1781&gt;0,"% discounts","% discount"))))))</f>
        <v/>
      </c>
      <c r="N443" s="832"/>
      <c r="O443" s="832"/>
      <c r="P443" s="832"/>
      <c r="Q443" s="832"/>
      <c r="R443" s="832"/>
      <c r="S443" s="303">
        <f t="shared" si="1163"/>
        <v>0</v>
      </c>
      <c r="T443" s="541">
        <f>VLOOKUP(A443,'Discount Lookup'!D:E,2,FALSE)*G443</f>
        <v>0</v>
      </c>
      <c r="U443" s="83">
        <f>VLOOKUP(A443,'Discount Lookup'!G:H,2,FALSE)*G443</f>
        <v>0</v>
      </c>
      <c r="V443" s="100">
        <f>E443*($J$1782)*G443</f>
        <v>0</v>
      </c>
      <c r="W443" s="100">
        <f t="shared" si="1164"/>
        <v>0</v>
      </c>
      <c r="X443" s="100" t="b">
        <f>IF(G443&gt;0,IF(AD443="me","",G443))</f>
        <v>0</v>
      </c>
      <c r="Y443" s="201"/>
      <c r="Z443" s="829" t="str">
        <f t="shared" si="1093"/>
        <v/>
      </c>
      <c r="AA443" s="829"/>
      <c r="AB443" s="830" t="str">
        <f>IF(G443=0,"",IF(AD443="free","re-planting",IF(AD443="me","not NVP, by",IF($AD$8="yes",(VLOOKUP(A443,'Discount Lookup'!J:K,2)*G443*(1-$AC$1786)*(1+$AC$1788)),IF(AD443="NVP",(VLOOKUP(A443,'Discount Lookup'!J:K,2)*G443*(1-$AC$1786)*(1+$AC$1788)),IF(AD443="free","re-planting",IF(G443=0,"",IF($AD$8="",IF(AD443="me","not NVP, by",IF(AD443="",IF(G443&gt;0,(VLOOKUP(A443,'Discount Lookup'!J:K,2)*G443*(1-$AC$1786)*(1+$AC$1788)),""),"")),"not NVP, by"))))))))</f>
        <v/>
      </c>
      <c r="AC443" s="830"/>
      <c r="AD443" s="375" t="str">
        <f t="shared" si="1121"/>
        <v/>
      </c>
      <c r="AE443" s="833" t="str">
        <f t="shared" si="1100"/>
        <v/>
      </c>
      <c r="AF443" s="833"/>
      <c r="AG443" s="833"/>
      <c r="AH443" s="91">
        <f>IF(AD443="free",0,IF(AD443="me",0,IF(G443&gt;0,(VLOOKUP(A443,'Discount Lookup'!J:K,2)*G443),0)))</f>
        <v>0</v>
      </c>
      <c r="AI443" s="92" t="str">
        <f t="shared" ref="AI443:AI506" si="1167">IF(G443=0,"",IF(AD443="free",(K443*(1-$H$1784)),IF($AD$8="me",(K443*(1-$H$1784)),IF(AD443="me",(K443*(1-$H$1784)),(K443*(1-$H$1784))+AB443))))</f>
        <v/>
      </c>
      <c r="AJ443" s="828" t="str">
        <f t="shared" si="1094"/>
        <v/>
      </c>
      <c r="AK443" s="828"/>
      <c r="AL443" s="313" t="str">
        <f t="shared" si="1070"/>
        <v/>
      </c>
      <c r="AM443" s="312"/>
      <c r="AN443" s="101"/>
      <c r="AO443" s="101"/>
      <c r="AP443" s="101"/>
      <c r="AQ443" s="101"/>
      <c r="AR443" s="101"/>
      <c r="AS443" s="101"/>
      <c r="AT443" s="101"/>
    </row>
    <row r="444" spans="1:46" ht="12.95" customHeight="1">
      <c r="A444" s="383">
        <v>30</v>
      </c>
      <c r="B444" s="158" t="s">
        <v>50</v>
      </c>
      <c r="C444" s="160" t="s">
        <v>1453</v>
      </c>
      <c r="D444" s="161" t="s">
        <v>63</v>
      </c>
      <c r="E444" s="162">
        <v>323.95</v>
      </c>
      <c r="F444" s="713" t="s">
        <v>1306</v>
      </c>
      <c r="G444" s="357">
        <v>0</v>
      </c>
      <c r="H444" s="748" t="str">
        <f t="shared" ref="H444" si="1168">IF(G444=0,"",IF(F444="Qty=",IF(G444=1,"plant","plants"),IF(F444&gt;0.0001,"warranty","Error")))</f>
        <v/>
      </c>
      <c r="I444" s="592">
        <f t="shared" ref="I444" si="1169">IF(F444="Qty=",(E444*G444),((E444*(1-F444))*G444))</f>
        <v>0</v>
      </c>
      <c r="J444" s="592">
        <f>IF(H444="warranty",0,(I444*($J$1782)))</f>
        <v>0</v>
      </c>
      <c r="K444" s="834">
        <f t="shared" si="1162"/>
        <v>0</v>
      </c>
      <c r="L444" s="834"/>
      <c r="M444" s="832" t="str">
        <f>IF($H$1784=0,"",IF(G444=0,"",IF(F444="Qty=",CONCATENATE("$",ROUND(K444*(1-$H$1784),2)," with ",($H$1784*100),"% discount"),CONCATENATE("$",ROUND(K444*(1-$H$1784),2)," with ",(($H$1784*100+F444*100)-($H$1784*100*F444)),IF(F444&gt;0,"% discounts",IF($H$1781&gt;0,"% discounts","% discount"))))))</f>
        <v/>
      </c>
      <c r="N444" s="832"/>
      <c r="O444" s="832"/>
      <c r="P444" s="832"/>
      <c r="Q444" s="832"/>
      <c r="R444" s="832"/>
      <c r="S444" s="303">
        <f t="shared" ref="S444" si="1170">E444*G444</f>
        <v>0</v>
      </c>
      <c r="T444" s="541">
        <f>VLOOKUP(A444,'Discount Lookup'!D:E,2,FALSE)*G444</f>
        <v>0</v>
      </c>
      <c r="U444" s="83">
        <f>VLOOKUP(A444,'Discount Lookup'!G:H,2,FALSE)*G444</f>
        <v>0</v>
      </c>
      <c r="V444" s="100">
        <f>E444*($J$1782)*G444</f>
        <v>0</v>
      </c>
      <c r="W444" s="100">
        <f t="shared" ref="W444" si="1171">I444</f>
        <v>0</v>
      </c>
      <c r="X444" s="100" t="b">
        <f>IF(G444&gt;0,IF(AD444="me","",G444))</f>
        <v>0</v>
      </c>
      <c r="Y444" s="201"/>
      <c r="Z444" s="829" t="str">
        <f t="shared" ref="Z444" si="1172">IF(G444=0,"",IF(AD444="me","",IF($AD$8="me","",IF(AD444="free","warranty",IF($AD$8="yes","NVP planting:","to NVP install:")))))</f>
        <v/>
      </c>
      <c r="AA444" s="829"/>
      <c r="AB444" s="830" t="str">
        <f>IF(G444=0,"",IF(AD444="free","re-planting",IF(AD444="me","not NVP, by",IF($AD$8="yes",(VLOOKUP(A444,'Discount Lookup'!J:K,2)*G444*(1-$AC$1786)*(1+$AC$1788)),IF(AD444="NVP",(VLOOKUP(A444,'Discount Lookup'!J:K,2)*G444*(1-$AC$1786)*(1+$AC$1788)),IF(AD444="free","re-planting",IF(G444=0,"",IF($AD$8="",IF(AD444="me","not NVP, by",IF(AD444="",IF(G444&gt;0,(VLOOKUP(A444,'Discount Lookup'!J:K,2)*G444*(1-$AC$1786)*(1+$AC$1788)),""),"")),"not NVP, by"))))))))</f>
        <v/>
      </c>
      <c r="AC444" s="830"/>
      <c r="AD444" s="375" t="str">
        <f t="shared" si="1121"/>
        <v/>
      </c>
      <c r="AE444" s="833" t="str">
        <f t="shared" ref="AE444" si="1173">IF(G444&gt;0,(CONCATENATE((G444)," quantity, ",(A444)," ",B444)),"")</f>
        <v/>
      </c>
      <c r="AF444" s="833"/>
      <c r="AG444" s="833"/>
      <c r="AH444" s="91">
        <f>IF(AD444="free",0,IF(AD444="me",0,IF(G444&gt;0,(VLOOKUP(A444,'Discount Lookup'!J:K,2)*G444),0)))</f>
        <v>0</v>
      </c>
      <c r="AI444" s="92" t="str">
        <f t="shared" si="1167"/>
        <v/>
      </c>
      <c r="AJ444" s="828" t="str">
        <f t="shared" ref="AJ444" si="1174">IF(G444=0,"",IF(AD444="me","  delivery-only",IF($AD$8="me","  delivery-only",CONCATENATE(" $",ROUND(AI444/G444,2)," each"))))</f>
        <v/>
      </c>
      <c r="AK444" s="828"/>
      <c r="AL444" s="313" t="str">
        <f t="shared" si="1070"/>
        <v/>
      </c>
      <c r="AM444" s="312"/>
      <c r="AN444" s="101"/>
      <c r="AO444" s="101"/>
      <c r="AP444" s="101"/>
      <c r="AQ444" s="101"/>
      <c r="AR444" s="101"/>
      <c r="AS444" s="101"/>
      <c r="AT444" s="101"/>
    </row>
    <row r="445" spans="1:46" ht="12.95" customHeight="1">
      <c r="A445" s="475"/>
      <c r="B445" s="149" t="s">
        <v>327</v>
      </c>
      <c r="G445" s="361"/>
      <c r="H445" s="749"/>
      <c r="J445" s="840"/>
      <c r="K445" s="840"/>
      <c r="L445" s="840"/>
      <c r="M445" s="48"/>
      <c r="N445" s="48"/>
      <c r="O445" s="48"/>
      <c r="P445" s="111"/>
      <c r="Q445" s="111"/>
      <c r="R445" s="48"/>
      <c r="S445" s="48"/>
      <c r="T445" s="546"/>
      <c r="V445" s="100" t="b">
        <f>IF(G445&gt;0,IF(AD445="me","",G445))</f>
        <v>0</v>
      </c>
      <c r="W445" s="100"/>
      <c r="X445" s="100"/>
      <c r="Y445" s="201"/>
      <c r="Z445" s="829" t="str">
        <f t="shared" si="1093"/>
        <v/>
      </c>
      <c r="AA445" s="829"/>
      <c r="AB445" s="830" t="str">
        <f>IF(G445=0,"",IF(AD445="free","re-planting",IF(AD445="me","not NVP, by",IF($AD$8="yes",(VLOOKUP(A445,'Discount Lookup'!J:K,2)*G445*(1-$AC$1786)*(1+$AC$1788)),IF(AD445="NVP",(VLOOKUP(A445,'Discount Lookup'!J:K,2)*G445*(1-$AC$1786)*(1+$AC$1788)),IF(AD445="free","re-planting",IF(G445=0,"",IF($AD$8="",IF(AD445="me","not NVP, by",IF(AD445="",IF(G445&gt;0,(VLOOKUP(A445,'Discount Lookup'!J:K,2)*G445*(1-$AC$1786)*(1+$AC$1788)),""),"")),"not NVP, by"))))))))</f>
        <v/>
      </c>
      <c r="AC445" s="830"/>
      <c r="AD445" s="375" t="str">
        <f t="shared" si="1121"/>
        <v/>
      </c>
      <c r="AE445" s="833" t="str">
        <f t="shared" si="1100"/>
        <v/>
      </c>
      <c r="AF445" s="833"/>
      <c r="AG445" s="833"/>
      <c r="AH445" s="91">
        <f>IF(AD445="free",0,IF(AD445="me",0,IF(G445&gt;0,(VLOOKUP(A445,'Discount Lookup'!J:K,2)*G445),0)))</f>
        <v>0</v>
      </c>
      <c r="AI445" s="92" t="str">
        <f t="shared" si="1167"/>
        <v/>
      </c>
      <c r="AJ445" s="828" t="str">
        <f t="shared" si="1094"/>
        <v/>
      </c>
      <c r="AK445" s="828"/>
      <c r="AL445" s="313" t="str">
        <f t="shared" si="1070"/>
        <v/>
      </c>
      <c r="AM445" s="312"/>
      <c r="AN445" s="101"/>
      <c r="AO445" s="101"/>
      <c r="AP445" s="101"/>
      <c r="AQ445" s="101"/>
      <c r="AR445" s="101"/>
      <c r="AS445" s="101"/>
      <c r="AT445" s="101"/>
    </row>
    <row r="446" spans="1:46" ht="12.95" customHeight="1">
      <c r="A446" s="889" t="s">
        <v>328</v>
      </c>
      <c r="B446" s="890"/>
      <c r="C446" s="890"/>
      <c r="D446" s="890"/>
      <c r="E446" s="890"/>
      <c r="F446" s="890"/>
      <c r="G446" s="890"/>
      <c r="H446" s="774" t="s">
        <v>329</v>
      </c>
      <c r="I446" s="164" t="s">
        <v>79</v>
      </c>
      <c r="J446" s="157"/>
      <c r="K446" s="611" t="s">
        <v>45</v>
      </c>
      <c r="L446" s="630" t="s">
        <v>46</v>
      </c>
      <c r="M446" s="157"/>
      <c r="N446" s="158" t="s">
        <v>69</v>
      </c>
      <c r="O446" s="158"/>
      <c r="P446" s="164"/>
      <c r="Q446" s="164"/>
      <c r="R446" s="157"/>
      <c r="S446" s="170"/>
      <c r="T446" s="547"/>
      <c r="U446" s="171"/>
      <c r="V446" s="100" t="b">
        <f>IF(G446&gt;0,IF(AD446="me","",G446))</f>
        <v>0</v>
      </c>
      <c r="W446" s="100"/>
      <c r="X446" s="100"/>
      <c r="Y446" s="201"/>
      <c r="Z446" s="829" t="str">
        <f t="shared" si="1093"/>
        <v/>
      </c>
      <c r="AA446" s="829"/>
      <c r="AB446" s="830" t="str">
        <f>IF(G446=0,"",IF(AD446="free","re-planting",IF(AD446="me","not NVP, by",IF($AD$8="yes",(VLOOKUP(A446,'Discount Lookup'!J:K,2)*G446*(1-$AC$1786)*(1+$AC$1788)),IF(AD446="NVP",(VLOOKUP(A446,'Discount Lookup'!J:K,2)*G446*(1-$AC$1786)*(1+$AC$1788)),IF(AD446="free","re-planting",IF(G446=0,"",IF($AD$8="",IF(AD446="me","not NVP, by",IF(AD446="",IF(G446&gt;0,(VLOOKUP(A446,'Discount Lookup'!J:K,2)*G446*(1-$AC$1786)*(1+$AC$1788)),""),"")),"not NVP, by"))))))))</f>
        <v/>
      </c>
      <c r="AC446" s="830"/>
      <c r="AD446" s="375" t="str">
        <f t="shared" si="1121"/>
        <v/>
      </c>
      <c r="AE446" s="833" t="str">
        <f t="shared" si="1100"/>
        <v/>
      </c>
      <c r="AF446" s="833"/>
      <c r="AG446" s="833"/>
      <c r="AH446" s="91">
        <f>IF(AD446="free",0,IF(AD446="me",0,IF(G446&gt;0,(VLOOKUP(A446,'Discount Lookup'!J:K,2)*G446),0)))</f>
        <v>0</v>
      </c>
      <c r="AI446" s="92" t="str">
        <f t="shared" si="1167"/>
        <v/>
      </c>
      <c r="AJ446" s="828" t="str">
        <f t="shared" si="1094"/>
        <v/>
      </c>
      <c r="AK446" s="828"/>
      <c r="AL446" s="313" t="str">
        <f t="shared" si="1070"/>
        <v/>
      </c>
      <c r="AM446" s="312"/>
      <c r="AN446" s="101"/>
      <c r="AO446" s="101"/>
      <c r="AP446" s="101"/>
      <c r="AQ446" s="101"/>
      <c r="AR446" s="101"/>
      <c r="AS446" s="101"/>
      <c r="AT446" s="101"/>
    </row>
    <row r="447" spans="1:46" ht="12.95" customHeight="1">
      <c r="A447" s="383">
        <v>7</v>
      </c>
      <c r="B447" s="158" t="s">
        <v>50</v>
      </c>
      <c r="C447" s="160" t="s">
        <v>1273</v>
      </c>
      <c r="D447" s="161" t="s">
        <v>54</v>
      </c>
      <c r="E447" s="162">
        <v>109.95</v>
      </c>
      <c r="F447" s="713" t="s">
        <v>1306</v>
      </c>
      <c r="G447" s="357">
        <v>0</v>
      </c>
      <c r="H447" s="748" t="str">
        <f>IF(G447=0,"",IF(F447="Qty=",IF(G447=1,"plant","plants"),IF(F447&gt;0.0001,"warranty","Error")))</f>
        <v/>
      </c>
      <c r="I447" s="592">
        <f>IF(F447="Qty=",(E447*G447),((E447*(1-F447))*G447))</f>
        <v>0</v>
      </c>
      <c r="J447" s="592">
        <f>IF(H447="warranty",0,(I447*($J$1782)))</f>
        <v>0</v>
      </c>
      <c r="K447" s="834">
        <f t="shared" ref="K447:K449" si="1175">I447+J447</f>
        <v>0</v>
      </c>
      <c r="L447" s="834"/>
      <c r="M447" s="832" t="str">
        <f>IF($H$1784=0,"",IF(G447=0,"",IF(F447="Qty=",CONCATENATE("$",ROUND(K447*(1-$H$1784),2)," with ",($H$1784*100),"% discount"),CONCATENATE("$",ROUND(K447*(1-$H$1784),2)," with ",(($H$1784*100+F447*100)-($H$1784*100*F447)),IF(F447&gt;0,"% discounts",IF($H$1781&gt;0,"% discounts","% discount"))))))</f>
        <v/>
      </c>
      <c r="N447" s="832"/>
      <c r="O447" s="832"/>
      <c r="P447" s="832"/>
      <c r="Q447" s="832"/>
      <c r="R447" s="832"/>
      <c r="S447" s="303">
        <f>E447*G447</f>
        <v>0</v>
      </c>
      <c r="T447" s="541">
        <f>VLOOKUP(A447,'Discount Lookup'!D:E,2,FALSE)*G447</f>
        <v>0</v>
      </c>
      <c r="U447" s="83">
        <f>VLOOKUP(A447,'Discount Lookup'!G:H,2,FALSE)*G447</f>
        <v>0</v>
      </c>
      <c r="V447" s="100">
        <f>E447*($J$1782)*G447</f>
        <v>0</v>
      </c>
      <c r="W447" s="100">
        <f>I447</f>
        <v>0</v>
      </c>
      <c r="X447" s="100" t="b">
        <f>IF(G447&gt;0,IF(AD447="me","",G447))</f>
        <v>0</v>
      </c>
      <c r="Y447" s="201"/>
      <c r="Z447" s="829" t="str">
        <f>IF(G447=0,"",IF(AD447="me","",IF($AD$8="me","",IF(AD447="free","warranty",IF($AD$8="yes","NVP planting:","to NVP install:")))))</f>
        <v/>
      </c>
      <c r="AA447" s="829"/>
      <c r="AB447" s="830" t="str">
        <f>IF(G447=0,"",IF(AD447="free","re-planting",IF(AD447="me","not NVP, by",IF($AD$8="yes",(VLOOKUP(A447,'Discount Lookup'!J:K,2)*G447*(1-$AC$1786)*(1+$AC$1788)),IF(AD447="NVP",(VLOOKUP(A447,'Discount Lookup'!J:K,2)*G447*(1-$AC$1786)*(1+$AC$1788)),IF(AD447="free","re-planting",IF(G447=0,"",IF($AD$8="",IF(AD447="me","not NVP, by",IF(AD447="",IF(G447&gt;0,(VLOOKUP(A447,'Discount Lookup'!J:K,2)*G447*(1-$AC$1786)*(1+$AC$1788)),""),"")),"not NVP, by"))))))))</f>
        <v/>
      </c>
      <c r="AC447" s="830"/>
      <c r="AD447" s="375" t="str">
        <f t="shared" si="1121"/>
        <v/>
      </c>
      <c r="AE447" s="833" t="str">
        <f>IF(G447&gt;0,(CONCATENATE((G447)," quantity, ",(A447)," ",B447)),"")</f>
        <v/>
      </c>
      <c r="AF447" s="833"/>
      <c r="AG447" s="833"/>
      <c r="AH447" s="91">
        <f>IF(AD447="free",0,IF(AD447="me",0,IF(G447&gt;0,(VLOOKUP(A447,'Discount Lookup'!J:K,2)*G447),0)))</f>
        <v>0</v>
      </c>
      <c r="AI447" s="92" t="str">
        <f t="shared" si="1167"/>
        <v/>
      </c>
      <c r="AJ447" s="828" t="str">
        <f>IF(G447=0,"",IF(AD447="me","  delivery-only",IF($AD$8="me","  delivery-only",CONCATENATE(" $",ROUND(AI447/G447,2)," each"))))</f>
        <v/>
      </c>
      <c r="AK447" s="828"/>
      <c r="AL447" s="313" t="str">
        <f t="shared" si="1070"/>
        <v/>
      </c>
      <c r="AM447" s="312"/>
      <c r="AN447" s="101"/>
      <c r="AO447" s="101"/>
      <c r="AP447" s="101"/>
      <c r="AQ447" s="101"/>
      <c r="AR447" s="101"/>
      <c r="AS447" s="101"/>
      <c r="AT447" s="101"/>
    </row>
    <row r="448" spans="1:46" ht="12.95" customHeight="1">
      <c r="A448" s="383">
        <v>15</v>
      </c>
      <c r="B448" s="158" t="s">
        <v>50</v>
      </c>
      <c r="C448" s="160" t="s">
        <v>1290</v>
      </c>
      <c r="D448" s="161" t="s">
        <v>54</v>
      </c>
      <c r="E448" s="162">
        <v>192.95</v>
      </c>
      <c r="F448" s="713" t="s">
        <v>1306</v>
      </c>
      <c r="G448" s="357">
        <v>0</v>
      </c>
      <c r="H448" s="748" t="str">
        <f>IF(G448=0,"",IF(F448="Qty=",IF(G448=1,"plant","plants"),IF(F448&gt;0.0001,"warranty","Error")))</f>
        <v/>
      </c>
      <c r="I448" s="592">
        <f>IF(F448="Qty=",(E448*G448),((E448*(1-F448))*G448))</f>
        <v>0</v>
      </c>
      <c r="J448" s="592">
        <f>IF(H448="warranty",0,(I448*($J$1782)))</f>
        <v>0</v>
      </c>
      <c r="K448" s="834">
        <f t="shared" ref="K448" si="1176">I448+J448</f>
        <v>0</v>
      </c>
      <c r="L448" s="834"/>
      <c r="M448" s="832" t="str">
        <f>IF($H$1784=0,"",IF(G448=0,"",IF(F448="Qty=",CONCATENATE("$",ROUND(K448*(1-$H$1784),2)," with ",($H$1784*100),"% discount"),CONCATENATE("$",ROUND(K448*(1-$H$1784),2)," with ",(($H$1784*100+F448*100)-($H$1784*100*F448)),IF(F448&gt;0,"% discounts",IF($H$1781&gt;0,"% discounts","% discount"))))))</f>
        <v/>
      </c>
      <c r="N448" s="832"/>
      <c r="O448" s="832"/>
      <c r="P448" s="832"/>
      <c r="Q448" s="832"/>
      <c r="R448" s="832"/>
      <c r="S448" s="303">
        <f>E448*G448</f>
        <v>0</v>
      </c>
      <c r="T448" s="541">
        <f>VLOOKUP(A448,'Discount Lookup'!D:E,2,FALSE)*G448</f>
        <v>0</v>
      </c>
      <c r="U448" s="83">
        <f>VLOOKUP(A448,'Discount Lookup'!G:H,2,FALSE)*G448</f>
        <v>0</v>
      </c>
      <c r="V448" s="100">
        <f>E448*($J$1782)*G448</f>
        <v>0</v>
      </c>
      <c r="W448" s="100">
        <f>I448</f>
        <v>0</v>
      </c>
      <c r="X448" s="100" t="b">
        <f>IF(G448&gt;0,IF(AD448="me","",G448))</f>
        <v>0</v>
      </c>
      <c r="Y448" s="201"/>
      <c r="Z448" s="829" t="str">
        <f>IF(G448=0,"",IF(AD448="me","",IF($AD$8="me","",IF(AD448="free","warranty",IF($AD$8="yes","NVP planting:","to NVP install:")))))</f>
        <v/>
      </c>
      <c r="AA448" s="829"/>
      <c r="AB448" s="830" t="str">
        <f>IF(G448=0,"",IF(AD448="free","re-planting",IF(AD448="me","not NVP, by",IF($AD$8="yes",(VLOOKUP(A448,'Discount Lookup'!J:K,2)*G448*(1-$AC$1786)*(1+$AC$1788)),IF(AD448="NVP",(VLOOKUP(A448,'Discount Lookup'!J:K,2)*G448*(1-$AC$1786)*(1+$AC$1788)),IF(AD448="free","re-planting",IF(G448=0,"",IF($AD$8="",IF(AD448="me","not NVP, by",IF(AD448="",IF(G448&gt;0,(VLOOKUP(A448,'Discount Lookup'!J:K,2)*G448*(1-$AC$1786)*(1+$AC$1788)),""),"")),"not NVP, by"))))))))</f>
        <v/>
      </c>
      <c r="AC448" s="830"/>
      <c r="AD448" s="375" t="str">
        <f t="shared" ref="AD448" si="1177">IF(G448=0,"",IF($AD$8="me","me",IF(H448="warranty","free",IF($AD$8="yes","NVP",""))))</f>
        <v/>
      </c>
      <c r="AE448" s="833" t="str">
        <f>IF(G448&gt;0,(CONCATENATE((G448)," quantity, ",(A448)," ",B448)),"")</f>
        <v/>
      </c>
      <c r="AF448" s="833"/>
      <c r="AG448" s="833"/>
      <c r="AH448" s="91">
        <f>IF(AD448="free",0,IF(AD448="me",0,IF(G448&gt;0,(VLOOKUP(A448,'Discount Lookup'!J:K,2)*G448),0)))</f>
        <v>0</v>
      </c>
      <c r="AI448" s="92" t="str">
        <f t="shared" si="1167"/>
        <v/>
      </c>
      <c r="AJ448" s="828" t="str">
        <f>IF(G448=0,"",IF(AD448="me","  delivery-only",IF($AD$8="me","  delivery-only",CONCATENATE(" $",ROUND(AI448/G448,2)," each"))))</f>
        <v/>
      </c>
      <c r="AK448" s="828"/>
      <c r="AL448" s="313" t="str">
        <f t="shared" si="1070"/>
        <v/>
      </c>
      <c r="AM448" s="312"/>
      <c r="AN448" s="101"/>
      <c r="AO448" s="101"/>
      <c r="AP448" s="101"/>
      <c r="AQ448" s="101"/>
      <c r="AR448" s="101"/>
      <c r="AS448" s="101"/>
      <c r="AT448" s="101"/>
    </row>
    <row r="449" spans="1:46" ht="12.95" customHeight="1">
      <c r="A449" s="383">
        <v>15</v>
      </c>
      <c r="B449" s="158" t="s">
        <v>50</v>
      </c>
      <c r="C449" s="160" t="s">
        <v>1671</v>
      </c>
      <c r="D449" s="161" t="s">
        <v>54</v>
      </c>
      <c r="E449" s="162">
        <v>192.95</v>
      </c>
      <c r="F449" s="713" t="s">
        <v>1306</v>
      </c>
      <c r="G449" s="357">
        <v>0</v>
      </c>
      <c r="H449" s="748" t="str">
        <f>IF(G449=0,"",IF(F449="Qty=",IF(G449=1,"plant","plants"),IF(F449&gt;0.0001,"warranty","Error")))</f>
        <v/>
      </c>
      <c r="I449" s="592">
        <f>IF(F449="Qty=",(E449*G449),((E449*(1-F449))*G449))</f>
        <v>0</v>
      </c>
      <c r="J449" s="592">
        <f>IF(H449="warranty",0,(I449*($J$1782)))</f>
        <v>0</v>
      </c>
      <c r="K449" s="834">
        <f t="shared" si="1175"/>
        <v>0</v>
      </c>
      <c r="L449" s="834"/>
      <c r="M449" s="832" t="str">
        <f>IF($H$1784=0,"",IF(G449=0,"",IF(F449="Qty=",CONCATENATE("$",ROUND(K449*(1-$H$1784),2)," with ",($H$1784*100),"% discount"),CONCATENATE("$",ROUND(K449*(1-$H$1784),2)," with ",(($H$1784*100+F449*100)-($H$1784*100*F449)),IF(F449&gt;0,"% discounts",IF($H$1781&gt;0,"% discounts","% discount"))))))</f>
        <v/>
      </c>
      <c r="N449" s="832"/>
      <c r="O449" s="832"/>
      <c r="P449" s="832"/>
      <c r="Q449" s="832"/>
      <c r="R449" s="832"/>
      <c r="S449" s="303">
        <f>E449*G449</f>
        <v>0</v>
      </c>
      <c r="T449" s="541">
        <f>VLOOKUP(A449,'Discount Lookup'!D:E,2,FALSE)*G449</f>
        <v>0</v>
      </c>
      <c r="U449" s="83">
        <f>VLOOKUP(A449,'Discount Lookup'!G:H,2,FALSE)*G449</f>
        <v>0</v>
      </c>
      <c r="V449" s="100">
        <f>E449*($J$1782)*G449</f>
        <v>0</v>
      </c>
      <c r="W449" s="100">
        <f>I449</f>
        <v>0</v>
      </c>
      <c r="X449" s="100" t="b">
        <f>IF(G449&gt;0,IF(AD449="me","",G449))</f>
        <v>0</v>
      </c>
      <c r="Y449" s="201"/>
      <c r="Z449" s="829" t="str">
        <f>IF(G449=0,"",IF(AD449="me","",IF($AD$8="me","",IF(AD449="free","warranty",IF($AD$8="yes","NVP planting:","to NVP install:")))))</f>
        <v/>
      </c>
      <c r="AA449" s="829"/>
      <c r="AB449" s="830" t="str">
        <f>IF(G449=0,"",IF(AD449="free","re-planting",IF(AD449="me","not NVP, by",IF($AD$8="yes",(VLOOKUP(A449,'Discount Lookup'!J:K,2)*G449*(1-$AC$1786)*(1+$AC$1788)),IF(AD449="NVP",(VLOOKUP(A449,'Discount Lookup'!J:K,2)*G449*(1-$AC$1786)*(1+$AC$1788)),IF(AD449="free","re-planting",IF(G449=0,"",IF($AD$8="",IF(AD449="me","not NVP, by",IF(AD449="",IF(G449&gt;0,(VLOOKUP(A449,'Discount Lookup'!J:K,2)*G449*(1-$AC$1786)*(1+$AC$1788)),""),"")),"not NVP, by"))))))))</f>
        <v/>
      </c>
      <c r="AC449" s="830"/>
      <c r="AD449" s="375" t="str">
        <f t="shared" si="1121"/>
        <v/>
      </c>
      <c r="AE449" s="833" t="str">
        <f>IF(G449&gt;0,(CONCATENATE((G449)," quantity, ",(A449)," ",B449)),"")</f>
        <v/>
      </c>
      <c r="AF449" s="833"/>
      <c r="AG449" s="833"/>
      <c r="AH449" s="91">
        <f>IF(AD449="free",0,IF(AD449="me",0,IF(G449&gt;0,(VLOOKUP(A449,'Discount Lookup'!J:K,2)*G449),0)))</f>
        <v>0</v>
      </c>
      <c r="AI449" s="92" t="str">
        <f t="shared" si="1167"/>
        <v/>
      </c>
      <c r="AJ449" s="828" t="str">
        <f>IF(G449=0,"",IF(AD449="me","  delivery-only",IF($AD$8="me","  delivery-only",CONCATENATE(" $",ROUND(AI449/G449,2)," each"))))</f>
        <v/>
      </c>
      <c r="AK449" s="828"/>
      <c r="AL449" s="313" t="str">
        <f t="shared" si="1070"/>
        <v/>
      </c>
      <c r="AM449" s="312"/>
      <c r="AN449" s="101"/>
      <c r="AO449" s="101"/>
      <c r="AP449" s="101"/>
      <c r="AQ449" s="101"/>
      <c r="AR449" s="101"/>
      <c r="AS449" s="101"/>
      <c r="AT449" s="101"/>
    </row>
    <row r="450" spans="1:46" ht="12.95" customHeight="1">
      <c r="A450" s="477"/>
      <c r="B450" s="149" t="s">
        <v>330</v>
      </c>
      <c r="C450" s="181"/>
      <c r="D450" s="403"/>
      <c r="E450" s="119"/>
      <c r="F450" s="711"/>
      <c r="G450" s="356"/>
      <c r="H450" s="745"/>
      <c r="I450" s="119"/>
      <c r="J450" s="119"/>
      <c r="K450" s="609"/>
      <c r="L450" s="609"/>
      <c r="M450" s="121"/>
      <c r="N450" s="122" t="s">
        <v>331</v>
      </c>
      <c r="O450" s="123"/>
      <c r="P450" s="124"/>
      <c r="Y450" s="132"/>
      <c r="Z450" s="829" t="str">
        <f t="shared" si="1093"/>
        <v/>
      </c>
      <c r="AA450" s="829"/>
      <c r="AB450" s="830" t="str">
        <f>IF(G450=0,"",IF(AD450="free","re-planting",IF(AD450="me","not NVP, by",IF($AD$8="yes",(VLOOKUP(A450,'Discount Lookup'!J:K,2)*G450*(1-$AC$1786)*(1+$AC$1788)),IF(AD450="NVP",(VLOOKUP(A450,'Discount Lookup'!J:K,2)*G450*(1-$AC$1786)*(1+$AC$1788)),IF(AD450="free","re-planting",IF(G450=0,"",IF($AD$8="",IF(AD450="me","not NVP, by",IF(AD450="",IF(G450&gt;0,(VLOOKUP(A450,'Discount Lookup'!J:K,2)*G450*(1-$AC$1786)*(1+$AC$1788)),""),"")),"not NVP, by"))))))))</f>
        <v/>
      </c>
      <c r="AC450" s="830"/>
      <c r="AD450" s="375" t="str">
        <f t="shared" si="1121"/>
        <v/>
      </c>
      <c r="AE450" s="833" t="str">
        <f t="shared" si="1100"/>
        <v/>
      </c>
      <c r="AF450" s="833"/>
      <c r="AG450" s="833"/>
      <c r="AH450" s="91">
        <f>IF(AD450="free",0,IF(AD450="me",0,IF(G450&gt;0,(VLOOKUP(A450,'Discount Lookup'!J:K,2)*G450),0)))</f>
        <v>0</v>
      </c>
      <c r="AI450" s="92" t="str">
        <f t="shared" si="1167"/>
        <v/>
      </c>
      <c r="AJ450" s="828" t="str">
        <f t="shared" si="1094"/>
        <v/>
      </c>
      <c r="AK450" s="828"/>
      <c r="AL450" s="313" t="str">
        <f t="shared" si="1070"/>
        <v/>
      </c>
      <c r="AM450" s="312"/>
      <c r="AN450" s="101"/>
      <c r="AO450" s="101"/>
      <c r="AP450" s="101"/>
      <c r="AQ450" s="101"/>
      <c r="AR450" s="101"/>
      <c r="AS450" s="101"/>
      <c r="AT450" s="101"/>
    </row>
    <row r="451" spans="1:46" ht="12.95" customHeight="1">
      <c r="A451" s="836" t="s">
        <v>1553</v>
      </c>
      <c r="B451" s="837"/>
      <c r="C451" s="837"/>
      <c r="D451" s="837"/>
      <c r="E451" s="837"/>
      <c r="F451" s="837"/>
      <c r="G451" s="837"/>
      <c r="H451" s="774" t="s">
        <v>332</v>
      </c>
      <c r="I451" s="164" t="s">
        <v>79</v>
      </c>
      <c r="J451" s="157"/>
      <c r="K451" s="611" t="s">
        <v>45</v>
      </c>
      <c r="L451" s="630" t="s">
        <v>46</v>
      </c>
      <c r="M451" s="157"/>
      <c r="N451" s="158" t="s">
        <v>69</v>
      </c>
      <c r="O451" s="158"/>
      <c r="P451" s="158"/>
      <c r="Q451" s="158"/>
      <c r="R451" s="835" t="s">
        <v>49</v>
      </c>
      <c r="S451" s="835"/>
      <c r="T451" s="835"/>
      <c r="U451" s="835"/>
      <c r="V451" s="100" t="b">
        <f>IF(G451&gt;0,IF(AD451="me","",G451))</f>
        <v>0</v>
      </c>
      <c r="W451" s="100"/>
      <c r="X451" s="100"/>
      <c r="Y451" s="201"/>
      <c r="Z451" s="829" t="str">
        <f t="shared" si="1093"/>
        <v/>
      </c>
      <c r="AA451" s="829"/>
      <c r="AB451" s="830" t="str">
        <f>IF(G451=0,"",IF(AD451="free","re-planting",IF(AD451="me","not NVP, by",IF($AD$8="yes",(VLOOKUP(A451,'Discount Lookup'!J:K,2)*G451*(1-$AC$1786)*(1+$AC$1788)),IF(AD451="NVP",(VLOOKUP(A451,'Discount Lookup'!J:K,2)*G451*(1-$AC$1786)*(1+$AC$1788)),IF(AD451="free","re-planting",IF(G451=0,"",IF($AD$8="",IF(AD451="me","not NVP, by",IF(AD451="",IF(G451&gt;0,(VLOOKUP(A451,'Discount Lookup'!J:K,2)*G451*(1-$AC$1786)*(1+$AC$1788)),""),"")),"not NVP, by"))))))))</f>
        <v/>
      </c>
      <c r="AC451" s="830"/>
      <c r="AD451" s="375" t="str">
        <f t="shared" si="1121"/>
        <v/>
      </c>
      <c r="AE451" s="833" t="str">
        <f t="shared" si="1100"/>
        <v/>
      </c>
      <c r="AF451" s="833"/>
      <c r="AG451" s="833"/>
      <c r="AH451" s="91">
        <f>IF(AD451="free",0,IF(AD451="me",0,IF(G451&gt;0,(VLOOKUP(A451,'Discount Lookup'!J:K,2)*G451),0)))</f>
        <v>0</v>
      </c>
      <c r="AI451" s="92" t="str">
        <f t="shared" si="1167"/>
        <v/>
      </c>
      <c r="AJ451" s="828" t="str">
        <f t="shared" si="1094"/>
        <v/>
      </c>
      <c r="AK451" s="828"/>
      <c r="AL451" s="313" t="str">
        <f t="shared" si="1070"/>
        <v/>
      </c>
      <c r="AM451" s="312"/>
      <c r="AN451" s="101"/>
      <c r="AO451" s="101"/>
      <c r="AP451" s="101"/>
      <c r="AQ451" s="101"/>
      <c r="AR451" s="101"/>
      <c r="AS451" s="101"/>
      <c r="AT451" s="101"/>
    </row>
    <row r="452" spans="1:46" ht="12.95" customHeight="1">
      <c r="A452" s="383">
        <v>7</v>
      </c>
      <c r="B452" s="158" t="s">
        <v>50</v>
      </c>
      <c r="C452" s="172" t="s">
        <v>91</v>
      </c>
      <c r="D452" s="161" t="s">
        <v>54</v>
      </c>
      <c r="E452" s="162">
        <v>125.95</v>
      </c>
      <c r="F452" s="713" t="s">
        <v>1306</v>
      </c>
      <c r="G452" s="357">
        <v>0</v>
      </c>
      <c r="H452" s="748" t="str">
        <f t="shared" ref="H452:H454" si="1178">IF(G452=0,"",IF(F452="Qty=",IF(G452=1,"plant","plants"),IF(F452&gt;0.0001,"warranty","Error")))</f>
        <v/>
      </c>
      <c r="I452" s="592">
        <f t="shared" ref="I452:I454" si="1179">IF(F452="Qty=",(E452*G452),((E452*(1-F452))*G452))</f>
        <v>0</v>
      </c>
      <c r="J452" s="592">
        <f>IF(H452="warranty",0,(I452*($J$1782)))</f>
        <v>0</v>
      </c>
      <c r="K452" s="834">
        <f t="shared" ref="K452:K454" si="1180">I452+J452</f>
        <v>0</v>
      </c>
      <c r="L452" s="834"/>
      <c r="M452" s="832" t="str">
        <f>IF($H$1784=0,"",IF(G452=0,"",IF(F452="Qty=",CONCATENATE("$",ROUND(K452*(1-$H$1784),2)," with ",($H$1784*100),"% discount"),CONCATENATE("$",ROUND(K452*(1-$H$1784),2)," with ",(($H$1784*100+F452*100)-($H$1784*100*F452)),IF(F452&gt;0,"% discounts",IF($H$1781&gt;0,"% discounts","% discount"))))))</f>
        <v/>
      </c>
      <c r="N452" s="832"/>
      <c r="O452" s="832"/>
      <c r="P452" s="832"/>
      <c r="Q452" s="832"/>
      <c r="R452" s="832"/>
      <c r="S452" s="303">
        <f t="shared" ref="S452" si="1181">E452*G452</f>
        <v>0</v>
      </c>
      <c r="T452" s="541">
        <f>VLOOKUP(A452,'Discount Lookup'!D:E,2,FALSE)*G452</f>
        <v>0</v>
      </c>
      <c r="U452" s="83">
        <f>VLOOKUP(A452,'Discount Lookup'!G:H,2,FALSE)*G452</f>
        <v>0</v>
      </c>
      <c r="V452" s="100">
        <f>E452*($J$1782)*G452</f>
        <v>0</v>
      </c>
      <c r="W452" s="100">
        <f t="shared" ref="W452" si="1182">I452</f>
        <v>0</v>
      </c>
      <c r="X452" s="100" t="b">
        <f>IF(G452&gt;0,IF(AD452="me","",G452))</f>
        <v>0</v>
      </c>
      <c r="Y452" s="201"/>
      <c r="Z452" s="829" t="str">
        <f t="shared" si="1093"/>
        <v/>
      </c>
      <c r="AA452" s="829"/>
      <c r="AB452" s="830" t="str">
        <f>IF(G452=0,"",IF(AD452="free","re-planting",IF(AD452="me","not NVP, by",IF($AD$8="yes",(VLOOKUP(A452,'Discount Lookup'!J:K,2)*G452*(1-$AC$1786)*(1+$AC$1788)),IF(AD452="NVP",(VLOOKUP(A452,'Discount Lookup'!J:K,2)*G452*(1-$AC$1786)*(1+$AC$1788)),IF(AD452="free","re-planting",IF(G452=0,"",IF($AD$8="",IF(AD452="me","not NVP, by",IF(AD452="",IF(G452&gt;0,(VLOOKUP(A452,'Discount Lookup'!J:K,2)*G452*(1-$AC$1786)*(1+$AC$1788)),""),"")),"not NVP, by"))))))))</f>
        <v/>
      </c>
      <c r="AC452" s="830"/>
      <c r="AD452" s="375" t="str">
        <f t="shared" si="1121"/>
        <v/>
      </c>
      <c r="AE452" s="833" t="str">
        <f t="shared" si="1100"/>
        <v/>
      </c>
      <c r="AF452" s="833"/>
      <c r="AG452" s="833"/>
      <c r="AH452" s="91">
        <f>IF(AD452="free",0,IF(AD452="me",0,IF(G452&gt;0,(VLOOKUP(A452,'Discount Lookup'!J:K,2)*G452),0)))</f>
        <v>0</v>
      </c>
      <c r="AI452" s="92" t="str">
        <f t="shared" si="1167"/>
        <v/>
      </c>
      <c r="AJ452" s="828" t="str">
        <f t="shared" si="1094"/>
        <v/>
      </c>
      <c r="AK452" s="828"/>
      <c r="AL452" s="313" t="str">
        <f t="shared" si="1070"/>
        <v/>
      </c>
      <c r="AM452" s="312"/>
      <c r="AN452" s="101"/>
      <c r="AO452" s="101"/>
      <c r="AP452" s="101"/>
      <c r="AQ452" s="101"/>
      <c r="AR452" s="101"/>
      <c r="AS452" s="101"/>
      <c r="AT452" s="101"/>
    </row>
    <row r="453" spans="1:46" ht="12.95" customHeight="1">
      <c r="A453" s="383">
        <v>15</v>
      </c>
      <c r="B453" s="158" t="s">
        <v>50</v>
      </c>
      <c r="C453" s="160" t="s">
        <v>1460</v>
      </c>
      <c r="D453" s="161" t="s">
        <v>54</v>
      </c>
      <c r="E453" s="162">
        <v>187.95</v>
      </c>
      <c r="F453" s="713" t="s">
        <v>1306</v>
      </c>
      <c r="G453" s="357">
        <v>0</v>
      </c>
      <c r="H453" s="748" t="str">
        <f t="shared" si="1178"/>
        <v/>
      </c>
      <c r="I453" s="592">
        <f t="shared" si="1179"/>
        <v>0</v>
      </c>
      <c r="J453" s="592">
        <f>IF(H453="warranty",0,(I453*($J$1782)))</f>
        <v>0</v>
      </c>
      <c r="K453" s="834">
        <f t="shared" si="1180"/>
        <v>0</v>
      </c>
      <c r="L453" s="834"/>
      <c r="M453" s="832" t="str">
        <f>IF($H$1784=0,"",IF(G453=0,"",IF(F453="Qty=",CONCATENATE("$",ROUND(K453*(1-$H$1784),2)," with ",($H$1784*100),"% discount"),CONCATENATE("$",ROUND(K453*(1-$H$1784),2)," with ",(($H$1784*100+F453*100)-($H$1784*100*F453)),IF(F453&gt;0,"% discounts",IF($H$1781&gt;0,"% discounts","% discount"))))))</f>
        <v/>
      </c>
      <c r="N453" s="832"/>
      <c r="O453" s="832"/>
      <c r="P453" s="832"/>
      <c r="Q453" s="832"/>
      <c r="R453" s="832"/>
      <c r="S453" s="303">
        <f t="shared" ref="S453:S454" si="1183">E453*G453</f>
        <v>0</v>
      </c>
      <c r="T453" s="541">
        <f>VLOOKUP(A453,'Discount Lookup'!D:E,2,FALSE)*G453</f>
        <v>0</v>
      </c>
      <c r="U453" s="83">
        <f>VLOOKUP(A453,'Discount Lookup'!G:H,2,FALSE)*G453</f>
        <v>0</v>
      </c>
      <c r="V453" s="100">
        <f>E453*($J$1782)*G453</f>
        <v>0</v>
      </c>
      <c r="W453" s="100">
        <f t="shared" ref="W453:W454" si="1184">I453</f>
        <v>0</v>
      </c>
      <c r="X453" s="100" t="b">
        <f t="shared" ref="X453:X454" si="1185">IF(G453&gt;0,IF(AD453="me","",G453))</f>
        <v>0</v>
      </c>
      <c r="Y453" s="201"/>
      <c r="Z453" s="829" t="str">
        <f t="shared" si="1093"/>
        <v/>
      </c>
      <c r="AA453" s="829"/>
      <c r="AB453" s="830" t="str">
        <f>IF(G453=0,"",IF(AD453="free","re-planting",IF(AD453="me","not NVP, by",IF($AD$8="yes",(VLOOKUP(A453,'Discount Lookup'!J:K,2)*G453*(1-$AC$1786)*(1+$AC$1788)),IF(AD453="NVP",(VLOOKUP(A453,'Discount Lookup'!J:K,2)*G453*(1-$AC$1786)*(1+$AC$1788)),IF(AD453="free","re-planting",IF(G453=0,"",IF($AD$8="",IF(AD453="me","not NVP, by",IF(AD453="",IF(G453&gt;0,(VLOOKUP(A453,'Discount Lookup'!J:K,2)*G453*(1-$AC$1786)*(1+$AC$1788)),""),"")),"not NVP, by"))))))))</f>
        <v/>
      </c>
      <c r="AC453" s="830"/>
      <c r="AD453" s="375" t="str">
        <f t="shared" si="1121"/>
        <v/>
      </c>
      <c r="AE453" s="833" t="str">
        <f t="shared" ref="AE453:AE454" si="1186">IF(G453&gt;0,(CONCATENATE((G453)," quantity, ",(A453)," ",B453)),"")</f>
        <v/>
      </c>
      <c r="AF453" s="833"/>
      <c r="AG453" s="833"/>
      <c r="AH453" s="91">
        <f>IF(AD453="free",0,IF(AD453="me",0,IF(G453&gt;0,(VLOOKUP(A453,'Discount Lookup'!J:K,2)*G453),0)))</f>
        <v>0</v>
      </c>
      <c r="AI453" s="92" t="str">
        <f t="shared" si="1167"/>
        <v/>
      </c>
      <c r="AJ453" s="828" t="str">
        <f t="shared" si="1094"/>
        <v/>
      </c>
      <c r="AK453" s="828"/>
      <c r="AL453" s="313" t="str">
        <f t="shared" si="1070"/>
        <v/>
      </c>
      <c r="AM453" s="312"/>
      <c r="AN453" s="101"/>
      <c r="AO453" s="101"/>
      <c r="AP453" s="101"/>
      <c r="AQ453" s="101"/>
      <c r="AR453" s="101"/>
      <c r="AS453" s="101"/>
      <c r="AT453" s="101"/>
    </row>
    <row r="454" spans="1:46" ht="12.95" customHeight="1">
      <c r="A454" s="383">
        <v>25</v>
      </c>
      <c r="B454" s="158" t="s">
        <v>50</v>
      </c>
      <c r="C454" s="172" t="s">
        <v>1379</v>
      </c>
      <c r="D454" s="161" t="s">
        <v>90</v>
      </c>
      <c r="E454" s="162">
        <v>367.95</v>
      </c>
      <c r="F454" s="713" t="s">
        <v>1306</v>
      </c>
      <c r="G454" s="357">
        <v>0</v>
      </c>
      <c r="H454" s="748" t="str">
        <f t="shared" si="1178"/>
        <v/>
      </c>
      <c r="I454" s="592">
        <f t="shared" si="1179"/>
        <v>0</v>
      </c>
      <c r="J454" s="592">
        <f>IF(H454="warranty",0,(I454*($J$1782)))</f>
        <v>0</v>
      </c>
      <c r="K454" s="834">
        <f t="shared" si="1180"/>
        <v>0</v>
      </c>
      <c r="L454" s="834"/>
      <c r="M454" s="832" t="str">
        <f>IF($H$1784=0,"",IF(G454=0,"",IF(F454="Qty=",CONCATENATE("$",ROUND(K454*(1-$H$1784),2)," with ",($H$1784*100),"% discount"),CONCATENATE("$",ROUND(K454*(1-$H$1784),2)," with ",(($H$1784*100+F454*100)-($H$1784*100*F454)),IF(F454&gt;0,"% discounts",IF($H$1781&gt;0,"% discounts","% discount"))))))</f>
        <v/>
      </c>
      <c r="N454" s="832"/>
      <c r="O454" s="832"/>
      <c r="P454" s="832"/>
      <c r="Q454" s="832"/>
      <c r="R454" s="832"/>
      <c r="S454" s="303">
        <f t="shared" si="1183"/>
        <v>0</v>
      </c>
      <c r="T454" s="541">
        <f>VLOOKUP(A454,'Discount Lookup'!D:E,2,FALSE)*G454</f>
        <v>0</v>
      </c>
      <c r="U454" s="83">
        <f>VLOOKUP(A454,'Discount Lookup'!G:H,2,FALSE)*G454</f>
        <v>0</v>
      </c>
      <c r="V454" s="100">
        <f>E454*($J$1782)*G454</f>
        <v>0</v>
      </c>
      <c r="W454" s="100">
        <f t="shared" si="1184"/>
        <v>0</v>
      </c>
      <c r="X454" s="100" t="b">
        <f t="shared" si="1185"/>
        <v>0</v>
      </c>
      <c r="Y454" s="201"/>
      <c r="Z454" s="829" t="str">
        <f t="shared" si="1093"/>
        <v/>
      </c>
      <c r="AA454" s="829"/>
      <c r="AB454" s="830" t="str">
        <f>IF(G454=0,"",IF(AD454="free","re-planting",IF(AD454="me","not NVP, by",IF($AD$8="yes",(VLOOKUP(A454,'Discount Lookup'!J:K,2)*G454*(1-$AC$1786)*(1+$AC$1788)),IF(AD454="NVP",(VLOOKUP(A454,'Discount Lookup'!J:K,2)*G454*(1-$AC$1786)*(1+$AC$1788)),IF(AD454="free","re-planting",IF(G454=0,"",IF($AD$8="",IF(AD454="me","not NVP, by",IF(AD454="",IF(G454&gt;0,(VLOOKUP(A454,'Discount Lookup'!J:K,2)*G454*(1-$AC$1786)*(1+$AC$1788)),""),"")),"not NVP, by"))))))))</f>
        <v/>
      </c>
      <c r="AC454" s="830"/>
      <c r="AD454" s="375" t="str">
        <f t="shared" si="1121"/>
        <v/>
      </c>
      <c r="AE454" s="833" t="str">
        <f t="shared" si="1186"/>
        <v/>
      </c>
      <c r="AF454" s="833"/>
      <c r="AG454" s="833"/>
      <c r="AH454" s="91">
        <f>IF(AD454="free",0,IF(AD454="me",0,IF(G454&gt;0,(VLOOKUP(A454,'Discount Lookup'!J:K,2)*G454),0)))</f>
        <v>0</v>
      </c>
      <c r="AI454" s="92" t="str">
        <f t="shared" si="1167"/>
        <v/>
      </c>
      <c r="AJ454" s="828" t="str">
        <f t="shared" si="1094"/>
        <v/>
      </c>
      <c r="AK454" s="828"/>
      <c r="AL454" s="313" t="str">
        <f t="shared" si="1070"/>
        <v/>
      </c>
      <c r="AM454" s="312"/>
      <c r="AN454" s="101"/>
      <c r="AO454" s="101"/>
      <c r="AP454" s="101"/>
      <c r="AQ454" s="101"/>
      <c r="AR454" s="101"/>
      <c r="AS454" s="101"/>
      <c r="AT454" s="101"/>
    </row>
    <row r="455" spans="1:46" ht="12.95" customHeight="1">
      <c r="A455" s="472"/>
      <c r="B455" s="103" t="s">
        <v>333</v>
      </c>
      <c r="C455" s="117"/>
      <c r="D455" s="118"/>
      <c r="E455" s="119"/>
      <c r="F455" s="711"/>
      <c r="G455" s="356"/>
      <c r="H455" s="745"/>
      <c r="I455" s="119"/>
      <c r="J455" s="119"/>
      <c r="K455" s="609"/>
      <c r="L455" s="609"/>
      <c r="M455" s="121"/>
      <c r="N455" s="122" t="s">
        <v>277</v>
      </c>
      <c r="O455" s="123"/>
      <c r="P455" s="124"/>
      <c r="Q455" s="841" t="s">
        <v>125</v>
      </c>
      <c r="R455" s="841"/>
      <c r="S455" s="841"/>
      <c r="T455" s="841"/>
      <c r="U455" s="841"/>
      <c r="V455" s="841"/>
      <c r="Y455" s="132"/>
      <c r="Z455" s="829" t="str">
        <f t="shared" si="1093"/>
        <v/>
      </c>
      <c r="AA455" s="829"/>
      <c r="AB455" s="830" t="str">
        <f>IF(G455=0,"",IF(AD455="free","re-planting",IF(AD455="me","not NVP, by",IF($AD$8="yes",(VLOOKUP(A455,'Discount Lookup'!J:K,2)*G455*(1-$AC$1786)*(1+$AC$1788)),IF(AD455="NVP",(VLOOKUP(A455,'Discount Lookup'!J:K,2)*G455*(1-$AC$1786)*(1+$AC$1788)),IF(AD455="free","re-planting",IF(G455=0,"",IF($AD$8="",IF(AD455="me","not NVP, by",IF(AD455="",IF(G455&gt;0,(VLOOKUP(A455,'Discount Lookup'!J:K,2)*G455*(1-$AC$1786)*(1+$AC$1788)),""),"")),"not NVP, by"))))))))</f>
        <v/>
      </c>
      <c r="AC455" s="830"/>
      <c r="AD455" s="375" t="str">
        <f t="shared" si="1121"/>
        <v/>
      </c>
      <c r="AE455" s="833" t="str">
        <f t="shared" si="1100"/>
        <v/>
      </c>
      <c r="AF455" s="833"/>
      <c r="AG455" s="833"/>
      <c r="AH455" s="91">
        <f>IF(AD455="free",0,IF(AD455="me",0,IF(G455&gt;0,(VLOOKUP(A455,'Discount Lookup'!J:K,2)*G455),0)))</f>
        <v>0</v>
      </c>
      <c r="AI455" s="92" t="str">
        <f t="shared" si="1167"/>
        <v/>
      </c>
      <c r="AJ455" s="828" t="str">
        <f t="shared" si="1094"/>
        <v/>
      </c>
      <c r="AK455" s="828"/>
      <c r="AL455" s="313" t="str">
        <f t="shared" si="1070"/>
        <v/>
      </c>
      <c r="AM455" s="312"/>
      <c r="AN455" s="101"/>
      <c r="AO455" s="101"/>
      <c r="AP455" s="101"/>
      <c r="AQ455" s="101"/>
      <c r="AR455" s="101"/>
      <c r="AS455" s="101"/>
      <c r="AT455" s="101"/>
    </row>
    <row r="456" spans="1:46" ht="12.95" customHeight="1">
      <c r="A456" s="899" t="s">
        <v>334</v>
      </c>
      <c r="B456" s="895"/>
      <c r="C456" s="895"/>
      <c r="D456" s="895"/>
      <c r="E456" s="895"/>
      <c r="F456" s="895"/>
      <c r="G456" s="895"/>
      <c r="H456" s="774" t="s">
        <v>332</v>
      </c>
      <c r="I456" s="164" t="s">
        <v>79</v>
      </c>
      <c r="J456" s="157"/>
      <c r="K456" s="611" t="s">
        <v>45</v>
      </c>
      <c r="L456" s="631" t="s">
        <v>46</v>
      </c>
      <c r="M456" s="157"/>
      <c r="N456" s="158" t="s">
        <v>69</v>
      </c>
      <c r="O456" s="158"/>
      <c r="P456" s="164"/>
      <c r="Q456" s="164"/>
      <c r="R456" s="835" t="s">
        <v>49</v>
      </c>
      <c r="S456" s="835"/>
      <c r="T456" s="835"/>
      <c r="U456" s="835"/>
      <c r="V456" s="100" t="b">
        <f>IF(G456&gt;0,IF(AD456="me","",G456))</f>
        <v>0</v>
      </c>
      <c r="W456" s="100"/>
      <c r="X456" s="100"/>
      <c r="Y456" s="201"/>
      <c r="Z456" s="829" t="str">
        <f t="shared" ref="Z456:Z458" si="1187">IF(G456=0,"",IF(AD456="me","",IF($AD$8="me","",IF(AD456="free","warranty",IF($AD$8="yes","NVP planting:","to NVP install:")))))</f>
        <v/>
      </c>
      <c r="AA456" s="829"/>
      <c r="AB456" s="830" t="str">
        <f>IF(G456=0,"",IF(AD456="free","re-planting",IF(AD456="me","not NVP, by",IF($AD$8="yes",(VLOOKUP(A456,'Discount Lookup'!J:K,2)*G456*(1-$AC$1786)*(1+$AC$1788)),IF(AD456="NVP",(VLOOKUP(A456,'Discount Lookup'!J:K,2)*G456*(1-$AC$1786)*(1+$AC$1788)),IF(AD456="free","re-planting",IF(G456=0,"",IF($AD$8="",IF(AD456="me","not NVP, by",IF(AD456="",IF(G456&gt;0,(VLOOKUP(A456,'Discount Lookup'!J:K,2)*G456*(1-$AC$1786)*(1+$AC$1788)),""),"")),"not NVP, by"))))))))</f>
        <v/>
      </c>
      <c r="AC456" s="830"/>
      <c r="AD456" s="375" t="str">
        <f t="shared" ref="AD456:AD458" si="1188">IF(G456=0,"",IF($AD$8="me","me",IF(H456="warranty","free",IF($AD$8="yes","NVP",""))))</f>
        <v/>
      </c>
      <c r="AE456" s="833" t="str">
        <f t="shared" ref="AE456:AE458" si="1189">IF(G456&gt;0,(CONCATENATE((G456)," quantity, ",(A456)," ",B456)),"")</f>
        <v/>
      </c>
      <c r="AF456" s="833"/>
      <c r="AG456" s="833"/>
      <c r="AH456" s="91" t="s">
        <v>109</v>
      </c>
      <c r="AI456" s="92" t="str">
        <f t="shared" si="1167"/>
        <v/>
      </c>
      <c r="AJ456" s="828" t="str">
        <f t="shared" ref="AJ456:AJ458" si="1190">IF(G456=0,"",IF(AD456="me","  delivery-only",CONCATENATE(" $",ROUND(AI456/G456,2)," each")))</f>
        <v/>
      </c>
      <c r="AK456" s="828"/>
      <c r="AL456" s="313" t="str">
        <f t="shared" si="1070"/>
        <v/>
      </c>
      <c r="AM456" s="312"/>
      <c r="AN456" s="101"/>
      <c r="AO456" s="101"/>
      <c r="AP456" s="101"/>
      <c r="AQ456" s="101"/>
      <c r="AR456" s="101"/>
      <c r="AS456" s="101"/>
      <c r="AT456" s="101"/>
    </row>
    <row r="457" spans="1:46" ht="12.95" customHeight="1">
      <c r="A457" s="448">
        <v>5</v>
      </c>
      <c r="B457" s="158" t="s">
        <v>50</v>
      </c>
      <c r="C457" s="168" t="s">
        <v>1208</v>
      </c>
      <c r="D457" s="161" t="s">
        <v>87</v>
      </c>
      <c r="E457" s="162">
        <v>79.95</v>
      </c>
      <c r="F457" s="713" t="s">
        <v>1306</v>
      </c>
      <c r="G457" s="357">
        <v>0</v>
      </c>
      <c r="H457" s="748" t="str">
        <f t="shared" ref="H457" si="1191">IF(G457=0,"",IF(F457="Qty=",IF(G457=1,"plant","plants"),IF(F457&gt;0.0001,"warranty","Error")))</f>
        <v/>
      </c>
      <c r="I457" s="592">
        <f t="shared" ref="I457" si="1192">IF(F457="Qty=",(E457*G457),((E457*(1-F457))*G457))</f>
        <v>0</v>
      </c>
      <c r="J457" s="592">
        <f>IF(H457="warranty",0,(I457*($J$1782)))</f>
        <v>0</v>
      </c>
      <c r="K457" s="834">
        <f t="shared" ref="K457" si="1193">I457+J457</f>
        <v>0</v>
      </c>
      <c r="L457" s="834"/>
      <c r="M457" s="832" t="str">
        <f>IF($H$1784=0,"",IF(G457=0,"",IF(F457="Qty=",CONCATENATE("$",ROUND(K457*(1-$H$1784),2)," with ",($H$1784*100),"% discount"),CONCATENATE("$",ROUND(K457*(1-$H$1784),2)," with ",(($H$1784*100+F457*100)-($H$1784*100*F457)),IF(F457&gt;0,"% discounts",IF($H$1781&gt;0,"% discounts","% discount"))))))</f>
        <v/>
      </c>
      <c r="N457" s="832"/>
      <c r="O457" s="832"/>
      <c r="P457" s="832"/>
      <c r="Q457" s="832"/>
      <c r="R457" s="832"/>
      <c r="S457" s="303">
        <f t="shared" ref="S457" si="1194">E457*G457</f>
        <v>0</v>
      </c>
      <c r="T457" s="541">
        <f>VLOOKUP(A457,'Discount Lookup'!D:E,2,FALSE)*G457</f>
        <v>0</v>
      </c>
      <c r="U457" s="83">
        <f>VLOOKUP(A457,'Discount Lookup'!G:H,2,FALSE)*G457</f>
        <v>0</v>
      </c>
      <c r="V457" s="100">
        <f>E457*($J$1782)*G457</f>
        <v>0</v>
      </c>
      <c r="W457" s="100">
        <f t="shared" ref="W457" si="1195">I457</f>
        <v>0</v>
      </c>
      <c r="X457" s="100" t="b">
        <f>IF(G457&gt;0,IF(AD457="me","",G457))</f>
        <v>0</v>
      </c>
      <c r="Y457" s="201"/>
      <c r="Z457" s="829" t="str">
        <f t="shared" si="1187"/>
        <v/>
      </c>
      <c r="AA457" s="829"/>
      <c r="AB457" s="830" t="str">
        <f>IF(G457=0,"",IF(AD457="free","re-planting",IF(AD457="me","not NVP, by",IF($AD$8="yes",(VLOOKUP(A457,'Discount Lookup'!J:K,2)*G457*(1-$AC$1786)*(1+$AC$1788)),IF(AD457="NVP",(VLOOKUP(A457,'Discount Lookup'!J:K,2)*G457*(1-$AC$1786)*(1+$AC$1788)),IF(AD457="free","re-planting",IF(G457=0,"",IF($AD$8="",IF(AD457="me","not NVP, by",IF(AD457="",IF(G457&gt;0,(VLOOKUP(A457,'Discount Lookup'!J:K,2)*G457*(1-$AC$1786)*(1+$AC$1788)),""),"")),"not NVP, by"))))))))</f>
        <v/>
      </c>
      <c r="AC457" s="830"/>
      <c r="AD457" s="375" t="str">
        <f t="shared" si="1188"/>
        <v/>
      </c>
      <c r="AE457" s="833" t="str">
        <f t="shared" ref="AE457" si="1196">IF(G457&gt;0,(CONCATENATE((G457)," quantity, ",(A457)," ",B457)),"")</f>
        <v/>
      </c>
      <c r="AF457" s="833"/>
      <c r="AG457" s="833"/>
      <c r="AH457" s="91" t="str">
        <f>IF(AD457="free",0,IF(AD457="me","",IF(G457&gt;0,(VLOOKUP(A457,'Discount Lookup'!J:K,2)*G457),"")))</f>
        <v/>
      </c>
      <c r="AI457" s="92" t="str">
        <f t="shared" si="1167"/>
        <v/>
      </c>
      <c r="AJ457" s="828" t="str">
        <f t="shared" ref="AJ457" si="1197">IF(G457=0,"",IF(AD457="me","  delivery-only",CONCATENATE(" $",ROUND(AI457/G457,2)," each")))</f>
        <v/>
      </c>
      <c r="AK457" s="828"/>
      <c r="AL457" s="313" t="str">
        <f t="shared" si="1070"/>
        <v/>
      </c>
      <c r="AM457" s="312"/>
      <c r="AN457" s="101"/>
      <c r="AO457" s="101"/>
      <c r="AP457" s="101"/>
      <c r="AQ457" s="101"/>
      <c r="AR457" s="101"/>
      <c r="AS457" s="101"/>
      <c r="AT457" s="101"/>
    </row>
    <row r="458" spans="1:46" ht="12.95" customHeight="1">
      <c r="A458" s="476"/>
      <c r="B458" s="451" t="s">
        <v>335</v>
      </c>
      <c r="D458" s="118"/>
      <c r="E458" s="119"/>
      <c r="F458" s="711"/>
      <c r="G458" s="358"/>
      <c r="H458" s="745"/>
      <c r="I458" s="119"/>
      <c r="J458" s="119"/>
      <c r="K458" s="609"/>
      <c r="L458" s="609"/>
      <c r="M458" s="121"/>
      <c r="N458" s="122" t="s">
        <v>336</v>
      </c>
      <c r="O458" s="123"/>
      <c r="P458" s="124"/>
      <c r="Q458" s="124"/>
      <c r="R458" s="83"/>
      <c r="S458" s="82"/>
      <c r="T458" s="540"/>
      <c r="U458" s="83"/>
      <c r="V458" s="100"/>
      <c r="W458" s="100"/>
      <c r="X458" s="100"/>
      <c r="Y458" s="201"/>
      <c r="Z458" s="829" t="str">
        <f t="shared" si="1187"/>
        <v/>
      </c>
      <c r="AA458" s="829"/>
      <c r="AB458" s="830" t="str">
        <f>IF(G458=0,"",IF(AD458="free","re-planting",IF(AD458="me","not NVP, by",IF($AD$8="yes",(VLOOKUP(A458,'Discount Lookup'!J:K,2)*G458*(1-$AC$1786)*(1+$AC$1788)),IF(AD458="NVP",(VLOOKUP(A458,'Discount Lookup'!J:K,2)*G458*(1-$AC$1786)*(1+$AC$1788)),IF(AD458="free","re-planting",IF(G458=0,"",IF($AD$8="",IF(AD458="me","not NVP, by",IF(AD458="",IF(G458&gt;0,(VLOOKUP(A458,'Discount Lookup'!J:K,2)*G458*(1-$AC$1786)*(1+$AC$1788)),""),"")),"not NVP, by"))))))))</f>
        <v/>
      </c>
      <c r="AC458" s="830"/>
      <c r="AD458" s="375" t="str">
        <f t="shared" si="1188"/>
        <v/>
      </c>
      <c r="AE458" s="833" t="str">
        <f t="shared" si="1189"/>
        <v/>
      </c>
      <c r="AF458" s="833"/>
      <c r="AG458" s="833"/>
      <c r="AH458" s="91" t="s">
        <v>109</v>
      </c>
      <c r="AI458" s="92" t="str">
        <f t="shared" si="1167"/>
        <v/>
      </c>
      <c r="AJ458" s="828" t="str">
        <f t="shared" si="1190"/>
        <v/>
      </c>
      <c r="AK458" s="828"/>
      <c r="AL458" s="313" t="str">
        <f t="shared" si="1070"/>
        <v/>
      </c>
      <c r="AM458" s="312"/>
      <c r="AN458" s="101"/>
      <c r="AO458" s="101"/>
      <c r="AP458" s="101"/>
      <c r="AQ458" s="101"/>
      <c r="AR458" s="101"/>
      <c r="AS458" s="101"/>
      <c r="AT458" s="101"/>
    </row>
    <row r="459" spans="1:46" ht="12.95" customHeight="1">
      <c r="A459" s="903" t="s">
        <v>1031</v>
      </c>
      <c r="B459" s="890"/>
      <c r="C459" s="890"/>
      <c r="D459" s="890"/>
      <c r="E459" s="890"/>
      <c r="F459" s="890"/>
      <c r="G459" s="890"/>
      <c r="H459" s="774" t="s">
        <v>332</v>
      </c>
      <c r="I459" s="164" t="s">
        <v>79</v>
      </c>
      <c r="J459" s="157"/>
      <c r="K459" s="611" t="s">
        <v>45</v>
      </c>
      <c r="L459" s="630" t="s">
        <v>46</v>
      </c>
      <c r="M459" s="157"/>
      <c r="N459" s="158" t="s">
        <v>69</v>
      </c>
      <c r="O459" s="158"/>
      <c r="P459" s="164"/>
      <c r="Q459" s="164"/>
      <c r="R459" s="835" t="s">
        <v>49</v>
      </c>
      <c r="S459" s="835"/>
      <c r="T459" s="835"/>
      <c r="U459" s="835"/>
      <c r="V459" s="100" t="b">
        <f>IF(G459&gt;0,IF(AD459="me","",G459))</f>
        <v>0</v>
      </c>
      <c r="W459" s="100"/>
      <c r="X459" s="100"/>
      <c r="Y459" s="201"/>
      <c r="Z459" s="838" t="str">
        <f>IF(G459=0,"",IF(AD459="me","",IF($AD$8="me","",IF(AD459="free","warranty",IF($AD$8="yes","NVP planting:","to NVP install:")))))</f>
        <v/>
      </c>
      <c r="AA459" s="838"/>
      <c r="AB459" s="830" t="str">
        <f>IF(G459=0,"",IF(AD459="free","re-planting",IF(AD459="me","not NVP, by",IF($AD$8="yes",(VLOOKUP(A459,'Discount Lookup'!J:K,2)*G459*(1-$AC$1786)*(1+$AC$1788)),IF(AD459="NVP",(VLOOKUP(A459,'Discount Lookup'!J:K,2)*G459*(1-$AC$1786)*(1+$AC$1788)),IF(AD459="free","re-planting",IF(G459=0,"",IF($AD$8="",IF(AD459="me","not NVP, by",IF(AD459="",IF(G459&gt;0,(VLOOKUP(A459,'Discount Lookup'!J:K,2)*G459*(1-$AC$1786)*(1+$AC$1788)),""),"")),"not NVP, by"))))))))</f>
        <v/>
      </c>
      <c r="AC459" s="830"/>
      <c r="AD459" s="375" t="str">
        <f t="shared" si="1121"/>
        <v/>
      </c>
      <c r="AE459" s="833" t="str">
        <f t="shared" ref="AE459:AE465" si="1198">IF(G459&gt;0,(CONCATENATE((G459)," quantity, ",(A459)," ",B459)),"")</f>
        <v/>
      </c>
      <c r="AF459" s="833"/>
      <c r="AG459" s="833"/>
      <c r="AH459" s="91" t="s">
        <v>109</v>
      </c>
      <c r="AI459" s="92" t="str">
        <f t="shared" si="1167"/>
        <v/>
      </c>
      <c r="AJ459" s="828" t="str">
        <f>IF(G459=0,"",IF(AD459="me","  delivery-only",CONCATENATE(" $",ROUND(AI459/G459,2)," each")))</f>
        <v/>
      </c>
      <c r="AK459" s="828"/>
      <c r="AL459" s="313" t="str">
        <f t="shared" ref="AL459:AL522" si="1199">IF(AD459="free","      ~ discounts included, no tax or planting fee applies ~",IF(G459=0,"",IF($AD$8="me",CONCATENATE(" $",ROUND(AI459/G459,2)," per plant, with tax &amp; discount"),IF(AD459="me",CONCATENATE(" $",ROUND(AI459/G459,2)," per plant, with tax &amp; discount"),CONCATENATE("= $",ROUND((K459*(1-$H$1784))/G459,2)," per plant + $",AB459/G459,(" per planting      ~ includes tax &amp; discounts ~"))))))</f>
        <v/>
      </c>
      <c r="AM459" s="312"/>
      <c r="AN459" s="101"/>
      <c r="AO459" s="101"/>
      <c r="AP459" s="101"/>
      <c r="AQ459" s="101"/>
      <c r="AR459" s="101"/>
      <c r="AS459" s="101"/>
      <c r="AT459" s="101"/>
    </row>
    <row r="460" spans="1:46" ht="12.95" customHeight="1">
      <c r="A460" s="448">
        <v>10</v>
      </c>
      <c r="B460" s="158" t="s">
        <v>50</v>
      </c>
      <c r="C460" s="172" t="s">
        <v>88</v>
      </c>
      <c r="D460" s="161" t="s">
        <v>94</v>
      </c>
      <c r="E460" s="162">
        <v>119.95</v>
      </c>
      <c r="F460" s="713" t="s">
        <v>1306</v>
      </c>
      <c r="G460" s="357">
        <v>0</v>
      </c>
      <c r="H460" s="748" t="str">
        <f t="shared" ref="H460" si="1200">IF(G460=0,"",IF(F460="Qty=",IF(G460=1,"plant","plants"),IF(F460&gt;0.0001,"warranty","Error")))</f>
        <v/>
      </c>
      <c r="I460" s="592">
        <f t="shared" ref="I460" si="1201">IF(F460="Qty=",(E460*G460),((E460*(1-F460))*G460))</f>
        <v>0</v>
      </c>
      <c r="J460" s="592">
        <f>IF(H460="warranty",0,(I460*($J$1782)))</f>
        <v>0</v>
      </c>
      <c r="K460" s="834">
        <f t="shared" ref="K460" si="1202">I460+J460</f>
        <v>0</v>
      </c>
      <c r="L460" s="834"/>
      <c r="M460" s="832" t="str">
        <f>IF($H$1784=0,"",IF(G460=0,"",IF(F460="Qty=",CONCATENATE("$",ROUND(K460*(1-$H$1784),2)," with ",($H$1784*100),"% discount"),CONCATENATE("$",ROUND(K460*(1-$H$1784),2)," with ",(($H$1784*100+F460*100)-($H$1784*100*F460)),IF(F460&gt;0,"% discounts",IF($H$1781&gt;0,"% discounts","% discount"))))))</f>
        <v/>
      </c>
      <c r="N460" s="832"/>
      <c r="O460" s="832"/>
      <c r="P460" s="832"/>
      <c r="Q460" s="832"/>
      <c r="R460" s="832"/>
      <c r="S460" s="303">
        <f t="shared" ref="S460" si="1203">E460*G460</f>
        <v>0</v>
      </c>
      <c r="T460" s="541">
        <f>VLOOKUP(A460,'Discount Lookup'!D:E,2,FALSE)*G460</f>
        <v>0</v>
      </c>
      <c r="U460" s="83">
        <f>VLOOKUP(A460,'Discount Lookup'!G:H,2,FALSE)*G460</f>
        <v>0</v>
      </c>
      <c r="V460" s="100">
        <f>E460*($J$1782)*G460</f>
        <v>0</v>
      </c>
      <c r="W460" s="100">
        <f t="shared" ref="W460" si="1204">I460</f>
        <v>0</v>
      </c>
      <c r="X460" s="100" t="b">
        <f>IF(G460&gt;0,IF(AD460="me","",G460))</f>
        <v>0</v>
      </c>
      <c r="Y460" s="201"/>
      <c r="Z460" s="838" t="str">
        <f>IF(G460=0,"",IF(AD460="me","",IF($AD$8="me","",IF(AD460="free","warranty",IF($AD$8="yes","NVP planting:","to NVP install:")))))</f>
        <v/>
      </c>
      <c r="AA460" s="838"/>
      <c r="AB460" s="830" t="str">
        <f>IF(G460=0,"",IF(AD460="free","re-planting",IF(AD460="me","not NVP, by",IF($AD$8="yes",(VLOOKUP(A460,'Discount Lookup'!J:K,2)*G460*(1-$AC$1786)*(1+$AC$1788)),IF(AD460="NVP",(VLOOKUP(A460,'Discount Lookup'!J:K,2)*G460*(1-$AC$1786)*(1+$AC$1788)),IF(AD460="free","re-planting",IF(G460=0,"",IF($AD$8="",IF(AD460="me","not NVP, by",IF(AD460="",IF(G460&gt;0,(VLOOKUP(A460,'Discount Lookup'!J:K,2)*G460*(1-$AC$1786)*(1+$AC$1788)),""),"")),"not NVP, by"))))))))</f>
        <v/>
      </c>
      <c r="AC460" s="830"/>
      <c r="AD460" s="375" t="str">
        <f t="shared" si="1121"/>
        <v/>
      </c>
      <c r="AE460" s="833" t="str">
        <f t="shared" si="1198"/>
        <v/>
      </c>
      <c r="AF460" s="833"/>
      <c r="AG460" s="833"/>
      <c r="AH460" s="91" t="str">
        <f>IF(AD460="free",0,IF(AD460="me","",IF(G460&gt;0,(VLOOKUP(A460,'Discount Lookup'!J:K,2)*G460),"")))</f>
        <v/>
      </c>
      <c r="AI460" s="92" t="str">
        <f t="shared" si="1167"/>
        <v/>
      </c>
      <c r="AJ460" s="828" t="str">
        <f>IF(G460=0,"",IF(AD460="me","  delivery-only",CONCATENATE(" $",ROUND(AI460/G460,2)," each")))</f>
        <v/>
      </c>
      <c r="AK460" s="828"/>
      <c r="AL460" s="313" t="str">
        <f t="shared" si="1199"/>
        <v/>
      </c>
      <c r="AM460" s="312"/>
      <c r="AN460" s="101"/>
      <c r="AO460" s="101"/>
      <c r="AP460" s="101"/>
      <c r="AQ460" s="101"/>
      <c r="AR460" s="101"/>
      <c r="AS460" s="101"/>
      <c r="AT460" s="101"/>
    </row>
    <row r="461" spans="1:46" ht="12.95" customHeight="1">
      <c r="A461" s="478"/>
      <c r="B461" s="103" t="s">
        <v>1032</v>
      </c>
      <c r="G461" s="361"/>
      <c r="H461" s="746"/>
      <c r="M461" s="48"/>
      <c r="N461" s="122" t="s">
        <v>336</v>
      </c>
      <c r="O461" s="48"/>
      <c r="P461" s="48"/>
      <c r="Q461" s="48"/>
      <c r="R461" s="48"/>
      <c r="S461" s="82"/>
      <c r="T461" s="540"/>
      <c r="U461" s="83"/>
      <c r="V461" s="100" t="b">
        <f>IF(G461&gt;0,IF(AD461="me","",G461))</f>
        <v>0</v>
      </c>
      <c r="W461" s="100"/>
      <c r="X461" s="100"/>
      <c r="Y461" s="201"/>
      <c r="Z461" s="838" t="str">
        <f>IF(G461=0,"",IF(AD461="me","",IF($AD$8="me","",IF(AD461="free","warranty",IF($AD$8="yes","NVP planting:","to NVP install:")))))</f>
        <v/>
      </c>
      <c r="AA461" s="838"/>
      <c r="AB461" s="830" t="str">
        <f>IF(G461=0,"",IF(AD461="free","re-planting",IF(AD461="me","not NVP, by",IF($AD$8="yes",(VLOOKUP(A461,'Discount Lookup'!J:K,2)*G461*(1-$AC$1786)*(1+$AC$1788)),IF(AD461="NVP",(VLOOKUP(A461,'Discount Lookup'!J:K,2)*G461*(1-$AC$1786)*(1+$AC$1788)),IF(AD461="free","re-planting",IF(G461=0,"",IF($AD$8="",IF(AD461="me","not NVP, by",IF(AD461="",IF(G461&gt;0,(VLOOKUP(A461,'Discount Lookup'!J:K,2)*G461*(1-$AC$1786)*(1+$AC$1788)),""),"")),"not NVP, by"))))))))</f>
        <v/>
      </c>
      <c r="AC461" s="830"/>
      <c r="AD461" s="375" t="str">
        <f t="shared" si="1121"/>
        <v/>
      </c>
      <c r="AE461" s="833" t="str">
        <f t="shared" si="1198"/>
        <v/>
      </c>
      <c r="AF461" s="833"/>
      <c r="AG461" s="833"/>
      <c r="AH461" s="91" t="s">
        <v>109</v>
      </c>
      <c r="AI461" s="92" t="str">
        <f t="shared" si="1167"/>
        <v/>
      </c>
      <c r="AJ461" s="828" t="str">
        <f>IF(G461=0,"",IF(AD461="me","  delivery-only",CONCATENATE(" $",ROUND(AI461/G461,2)," each")))</f>
        <v/>
      </c>
      <c r="AK461" s="828"/>
      <c r="AL461" s="313" t="str">
        <f t="shared" si="1199"/>
        <v/>
      </c>
      <c r="AM461" s="312"/>
      <c r="AN461" s="101"/>
      <c r="AO461" s="101"/>
      <c r="AP461" s="101"/>
      <c r="AQ461" s="101"/>
      <c r="AR461" s="101"/>
      <c r="AS461" s="101"/>
      <c r="AT461" s="101"/>
    </row>
    <row r="462" spans="1:46" ht="12.95" customHeight="1">
      <c r="A462" s="894" t="s">
        <v>337</v>
      </c>
      <c r="B462" s="895"/>
      <c r="C462" s="895"/>
      <c r="D462" s="895"/>
      <c r="E462" s="895"/>
      <c r="F462" s="895"/>
      <c r="G462" s="895"/>
      <c r="H462" s="774" t="s">
        <v>332</v>
      </c>
      <c r="I462" s="164" t="s">
        <v>79</v>
      </c>
      <c r="J462" s="157"/>
      <c r="K462" s="611" t="s">
        <v>45</v>
      </c>
      <c r="L462" s="630" t="s">
        <v>46</v>
      </c>
      <c r="M462" s="157"/>
      <c r="N462" s="158" t="s">
        <v>130</v>
      </c>
      <c r="O462" s="158"/>
      <c r="P462" s="164"/>
      <c r="Q462" s="164"/>
      <c r="R462" s="835" t="s">
        <v>49</v>
      </c>
      <c r="S462" s="835"/>
      <c r="T462" s="835"/>
      <c r="U462" s="835"/>
      <c r="V462" s="100" t="b">
        <f>IF(G462&gt;0,IF(AD462="me","",G462))</f>
        <v>0</v>
      </c>
      <c r="W462" s="100"/>
      <c r="X462" s="100"/>
      <c r="Y462" s="201"/>
      <c r="Z462" s="829" t="str">
        <f t="shared" si="1093"/>
        <v/>
      </c>
      <c r="AA462" s="829"/>
      <c r="AB462" s="830" t="str">
        <f>IF(G462=0,"",IF(AD462="free","re-planting",IF(AD462="me","not NVP, by",IF($AD$8="yes",(VLOOKUP(A462,'Discount Lookup'!J:K,2)*G462*(1-$AC$1786)*(1+$AC$1788)),IF(AD462="NVP",(VLOOKUP(A462,'Discount Lookup'!J:K,2)*G462*(1-$AC$1786)*(1+$AC$1788)),IF(AD462="free","re-planting",IF(G462=0,"",IF($AD$8="",IF(AD462="me","not NVP, by",IF(AD462="",IF(G462&gt;0,(VLOOKUP(A462,'Discount Lookup'!J:K,2)*G462*(1-$AC$1786)*(1+$AC$1788)),""),"")),"not NVP, by"))))))))</f>
        <v/>
      </c>
      <c r="AC462" s="830"/>
      <c r="AD462" s="375" t="str">
        <f t="shared" si="1121"/>
        <v/>
      </c>
      <c r="AE462" s="833" t="str">
        <f t="shared" si="1198"/>
        <v/>
      </c>
      <c r="AF462" s="833"/>
      <c r="AG462" s="833"/>
      <c r="AH462" s="91">
        <f>IF(AD462="free",0,IF(AD462="me",0,IF(G462&gt;0,(VLOOKUP(A462,'Discount Lookup'!J:K,2)*G462),0)))</f>
        <v>0</v>
      </c>
      <c r="AI462" s="92" t="str">
        <f t="shared" si="1167"/>
        <v/>
      </c>
      <c r="AJ462" s="828" t="str">
        <f t="shared" si="1094"/>
        <v/>
      </c>
      <c r="AK462" s="828"/>
      <c r="AL462" s="313" t="str">
        <f t="shared" si="1199"/>
        <v/>
      </c>
      <c r="AM462" s="312"/>
      <c r="AN462" s="101"/>
      <c r="AO462" s="101"/>
      <c r="AP462" s="101"/>
      <c r="AQ462" s="101"/>
      <c r="AR462" s="101"/>
      <c r="AS462" s="101"/>
      <c r="AT462" s="101"/>
    </row>
    <row r="463" spans="1:46" ht="12.95" customHeight="1">
      <c r="A463" s="383">
        <v>7</v>
      </c>
      <c r="B463" s="158" t="s">
        <v>50</v>
      </c>
      <c r="C463" s="168" t="s">
        <v>136</v>
      </c>
      <c r="D463" s="161" t="s">
        <v>87</v>
      </c>
      <c r="E463" s="162">
        <v>115.95</v>
      </c>
      <c r="F463" s="713" t="s">
        <v>1306</v>
      </c>
      <c r="G463" s="357">
        <v>0</v>
      </c>
      <c r="H463" s="748" t="str">
        <f t="shared" ref="H463" si="1205">IF(G463=0,"",IF(F463="Qty=",IF(G463=1,"plant","plants"),IF(F463&gt;0.0001,"warranty","Error")))</f>
        <v/>
      </c>
      <c r="I463" s="592">
        <f t="shared" ref="I463" si="1206">IF(F463="Qty=",(E463*G463),((E463*(1-F463))*G463))</f>
        <v>0</v>
      </c>
      <c r="J463" s="592">
        <f>IF(H463="warranty",0,(I463*($J$1782)))</f>
        <v>0</v>
      </c>
      <c r="K463" s="834">
        <f t="shared" ref="K463" si="1207">I463+J463</f>
        <v>0</v>
      </c>
      <c r="L463" s="834"/>
      <c r="M463" s="832" t="str">
        <f>IF($H$1784=0,"",IF(G463=0,"",IF(F463="Qty=",CONCATENATE("$",ROUND(K463*(1-$H$1784),2)," with ",($H$1784*100),"% discount"),CONCATENATE("$",ROUND(K463*(1-$H$1784),2)," with ",(($H$1784*100+F463*100)-($H$1784*100*F463)),IF(F463&gt;0,"% discounts",IF($H$1781&gt;0,"% discounts","% discount"))))))</f>
        <v/>
      </c>
      <c r="N463" s="832"/>
      <c r="O463" s="832"/>
      <c r="P463" s="832"/>
      <c r="Q463" s="832"/>
      <c r="R463" s="832"/>
      <c r="S463" s="303">
        <f t="shared" ref="S463" si="1208">E463*G463</f>
        <v>0</v>
      </c>
      <c r="T463" s="541">
        <f>VLOOKUP(A463,'Discount Lookup'!D:E,2,FALSE)*G463</f>
        <v>0</v>
      </c>
      <c r="U463" s="83">
        <f>VLOOKUP(A463,'Discount Lookup'!G:H,2,FALSE)*G463</f>
        <v>0</v>
      </c>
      <c r="V463" s="100">
        <f>E463*($J$1782)*G463</f>
        <v>0</v>
      </c>
      <c r="W463" s="100">
        <f t="shared" ref="W463" si="1209">I463</f>
        <v>0</v>
      </c>
      <c r="X463" s="100" t="b">
        <f>IF(G463&gt;0,IF(AD463="me","",G463))</f>
        <v>0</v>
      </c>
      <c r="Y463" s="201"/>
      <c r="Z463" s="829" t="str">
        <f t="shared" ref="Z463" si="1210">IF(G463=0,"",IF(AD463="me","",IF($AD$8="me","",IF(AD463="free","warranty",IF($AD$8="yes","NVP planting:","to NVP install:")))))</f>
        <v/>
      </c>
      <c r="AA463" s="829"/>
      <c r="AB463" s="830" t="str">
        <f>IF(G463=0,"",IF(AD463="free","re-planting",IF(AD463="me","not NVP, by",IF($AD$8="yes",(VLOOKUP(A463,'Discount Lookup'!J:K,2)*G463*(1-$AC$1786)*(1+$AC$1788)),IF(AD463="NVP",(VLOOKUP(A463,'Discount Lookup'!J:K,2)*G463*(1-$AC$1786)*(1+$AC$1788)),IF(AD463="free","re-planting",IF(G463=0,"",IF($AD$8="",IF(AD463="me","not NVP, by",IF(AD463="",IF(G463&gt;0,(VLOOKUP(A463,'Discount Lookup'!J:K,2)*G463*(1-$AC$1786)*(1+$AC$1788)),""),"")),"not NVP, by"))))))))</f>
        <v/>
      </c>
      <c r="AC463" s="830"/>
      <c r="AD463" s="375" t="str">
        <f t="shared" ref="AD463" si="1211">IF(G463=0,"",IF($AD$8="me","me",IF(H463="warranty","free",IF($AD$8="yes","NVP",""))))</f>
        <v/>
      </c>
      <c r="AE463" s="833" t="str">
        <f t="shared" ref="AE463" si="1212">IF(G463&gt;0,(CONCATENATE((G463)," quantity, ",(A463)," ",B463)),"")</f>
        <v/>
      </c>
      <c r="AF463" s="833"/>
      <c r="AG463" s="833"/>
      <c r="AH463" s="91">
        <f>IF(AD463="free",0,IF(AD463="me",0,IF(G463&gt;0,(VLOOKUP(A463,'Discount Lookup'!J:K,2)*G463),0)))</f>
        <v>0</v>
      </c>
      <c r="AI463" s="92" t="str">
        <f t="shared" si="1167"/>
        <v/>
      </c>
      <c r="AJ463" s="828" t="str">
        <f t="shared" ref="AJ463" si="1213">IF(G463=0,"",IF(AD463="me","  delivery-only",IF($AD$8="me","  delivery-only",CONCATENATE(" $",ROUND(AI463/G463,2)," each"))))</f>
        <v/>
      </c>
      <c r="AK463" s="828"/>
      <c r="AL463" s="313" t="str">
        <f t="shared" si="1199"/>
        <v/>
      </c>
      <c r="AM463" s="312"/>
      <c r="AN463" s="101"/>
      <c r="AO463" s="101"/>
      <c r="AP463" s="101"/>
      <c r="AQ463" s="101"/>
      <c r="AR463" s="101"/>
      <c r="AS463" s="101"/>
      <c r="AT463" s="101"/>
    </row>
    <row r="464" spans="1:46" ht="12.95" customHeight="1">
      <c r="A464" s="383">
        <v>15</v>
      </c>
      <c r="B464" s="158" t="s">
        <v>50</v>
      </c>
      <c r="C464" s="160" t="s">
        <v>53</v>
      </c>
      <c r="D464" s="161" t="s">
        <v>90</v>
      </c>
      <c r="E464" s="162">
        <v>260.95</v>
      </c>
      <c r="F464" s="713" t="s">
        <v>1306</v>
      </c>
      <c r="G464" s="357">
        <v>0</v>
      </c>
      <c r="H464" s="748" t="str">
        <f t="shared" ref="H464" si="1214">IF(G464=0,"",IF(F464="Qty=",IF(G464=1,"plant","plants"),IF(F464&gt;0.0001,"warranty","Error")))</f>
        <v/>
      </c>
      <c r="I464" s="592">
        <f t="shared" ref="I464" si="1215">IF(F464="Qty=",(E464*G464),((E464*(1-F464))*G464))</f>
        <v>0</v>
      </c>
      <c r="J464" s="592">
        <f>IF(H464="warranty",0,(I464*($J$1782)))</f>
        <v>0</v>
      </c>
      <c r="K464" s="834">
        <f t="shared" ref="K464" si="1216">I464+J464</f>
        <v>0</v>
      </c>
      <c r="L464" s="834"/>
      <c r="M464" s="832" t="str">
        <f>IF($H$1784=0,"",IF(G464=0,"",IF(F464="Qty=",CONCATENATE("$",ROUND(K464*(1-$H$1784),2)," with ",($H$1784*100),"% discount"),CONCATENATE("$",ROUND(K464*(1-$H$1784),2)," with ",(($H$1784*100+F464*100)-($H$1784*100*F464)),IF(F464&gt;0,"% discounts",IF($H$1781&gt;0,"% discounts","% discount"))))))</f>
        <v/>
      </c>
      <c r="N464" s="832"/>
      <c r="O464" s="832"/>
      <c r="P464" s="832"/>
      <c r="Q464" s="832"/>
      <c r="R464" s="832"/>
      <c r="S464" s="303">
        <f t="shared" ref="S464" si="1217">E464*G464</f>
        <v>0</v>
      </c>
      <c r="T464" s="541">
        <f>VLOOKUP(A464,'Discount Lookup'!D:E,2,FALSE)*G464</f>
        <v>0</v>
      </c>
      <c r="U464" s="83">
        <f>VLOOKUP(A464,'Discount Lookup'!G:H,2,FALSE)*G464</f>
        <v>0</v>
      </c>
      <c r="V464" s="100">
        <f>E464*($J$1782)*G464</f>
        <v>0</v>
      </c>
      <c r="W464" s="100">
        <f t="shared" ref="W464" si="1218">I464</f>
        <v>0</v>
      </c>
      <c r="X464" s="100" t="b">
        <f>IF(G464&gt;0,IF(AD464="me","",G464))</f>
        <v>0</v>
      </c>
      <c r="Y464" s="201"/>
      <c r="Z464" s="829" t="str">
        <f t="shared" si="1093"/>
        <v/>
      </c>
      <c r="AA464" s="829"/>
      <c r="AB464" s="830" t="str">
        <f>IF(G464=0,"",IF(AD464="free","re-planting",IF(AD464="me","not NVP, by",IF($AD$8="yes",(VLOOKUP(A464,'Discount Lookup'!J:K,2)*G464*(1-$AC$1786)*(1+$AC$1788)),IF(AD464="NVP",(VLOOKUP(A464,'Discount Lookup'!J:K,2)*G464*(1-$AC$1786)*(1+$AC$1788)),IF(AD464="free","re-planting",IF(G464=0,"",IF($AD$8="",IF(AD464="me","not NVP, by",IF(AD464="",IF(G464&gt;0,(VLOOKUP(A464,'Discount Lookup'!J:K,2)*G464*(1-$AC$1786)*(1+$AC$1788)),""),"")),"not NVP, by"))))))))</f>
        <v/>
      </c>
      <c r="AC464" s="830"/>
      <c r="AD464" s="375" t="str">
        <f t="shared" si="1121"/>
        <v/>
      </c>
      <c r="AE464" s="833" t="str">
        <f t="shared" si="1198"/>
        <v/>
      </c>
      <c r="AF464" s="833"/>
      <c r="AG464" s="833"/>
      <c r="AH464" s="91">
        <f>IF(AD464="free",0,IF(AD464="me",0,IF(G464&gt;0,(VLOOKUP(A464,'Discount Lookup'!J:K,2)*G464),0)))</f>
        <v>0</v>
      </c>
      <c r="AI464" s="92" t="str">
        <f t="shared" si="1167"/>
        <v/>
      </c>
      <c r="AJ464" s="828" t="str">
        <f t="shared" si="1094"/>
        <v/>
      </c>
      <c r="AK464" s="828"/>
      <c r="AL464" s="313" t="str">
        <f t="shared" si="1199"/>
        <v/>
      </c>
      <c r="AM464" s="312"/>
      <c r="AN464" s="101"/>
      <c r="AO464" s="101"/>
      <c r="AP464" s="101"/>
      <c r="AQ464" s="101"/>
      <c r="AR464" s="101"/>
      <c r="AS464" s="101"/>
      <c r="AT464" s="101"/>
    </row>
    <row r="465" spans="1:48" ht="12.95" customHeight="1">
      <c r="A465" s="472"/>
      <c r="B465" s="103" t="s">
        <v>338</v>
      </c>
      <c r="C465" s="118"/>
      <c r="D465" s="118"/>
      <c r="E465" s="119"/>
      <c r="F465" s="711"/>
      <c r="G465" s="358"/>
      <c r="H465" s="745"/>
      <c r="I465" s="119"/>
      <c r="J465" s="119"/>
      <c r="K465" s="609"/>
      <c r="L465" s="609"/>
      <c r="M465" s="121"/>
      <c r="N465" s="122" t="s">
        <v>331</v>
      </c>
      <c r="O465" s="123"/>
      <c r="P465" s="124"/>
      <c r="Y465" s="132"/>
      <c r="Z465" s="829" t="str">
        <f t="shared" si="1093"/>
        <v/>
      </c>
      <c r="AA465" s="829"/>
      <c r="AB465" s="830" t="str">
        <f>IF(G465=0,"",IF(AD465="free","re-planting",IF(AD465="me","not NVP, by",IF($AD$8="yes",(VLOOKUP(A465,'Discount Lookup'!J:K,2)*G465*(1-$AC$1786)*(1+$AC$1788)),IF(AD465="NVP",(VLOOKUP(A465,'Discount Lookup'!J:K,2)*G465*(1-$AC$1786)*(1+$AC$1788)),IF(AD465="free","re-planting",IF(G465=0,"",IF($AD$8="",IF(AD465="me","not NVP, by",IF(AD465="",IF(G465&gt;0,(VLOOKUP(A465,'Discount Lookup'!J:K,2)*G465*(1-$AC$1786)*(1+$AC$1788)),""),"")),"not NVP, by"))))))))</f>
        <v/>
      </c>
      <c r="AC465" s="830"/>
      <c r="AD465" s="375" t="str">
        <f t="shared" si="1121"/>
        <v/>
      </c>
      <c r="AE465" s="833" t="str">
        <f t="shared" si="1198"/>
        <v/>
      </c>
      <c r="AF465" s="833"/>
      <c r="AG465" s="833"/>
      <c r="AH465" s="91">
        <f>IF(AD465="free",0,IF(AD465="me",0,IF(G465&gt;0,(VLOOKUP(A465,'Discount Lookup'!J:K,2)*G465),0)))</f>
        <v>0</v>
      </c>
      <c r="AI465" s="92" t="str">
        <f t="shared" si="1167"/>
        <v/>
      </c>
      <c r="AJ465" s="828" t="str">
        <f t="shared" si="1094"/>
        <v/>
      </c>
      <c r="AK465" s="828"/>
      <c r="AL465" s="313" t="str">
        <f t="shared" si="1199"/>
        <v/>
      </c>
      <c r="AM465" s="312"/>
      <c r="AN465" s="101"/>
      <c r="AO465" s="101"/>
      <c r="AP465" s="101"/>
      <c r="AQ465" s="101"/>
      <c r="AR465" s="101"/>
      <c r="AS465" s="101"/>
      <c r="AT465" s="101"/>
    </row>
    <row r="466" spans="1:48" ht="12.95" customHeight="1">
      <c r="A466" s="894" t="s">
        <v>339</v>
      </c>
      <c r="B466" s="895"/>
      <c r="C466" s="895"/>
      <c r="D466" s="895"/>
      <c r="E466" s="895"/>
      <c r="F466" s="895"/>
      <c r="G466" s="895"/>
      <c r="H466" s="774" t="s">
        <v>332</v>
      </c>
      <c r="I466" s="164" t="s">
        <v>79</v>
      </c>
      <c r="J466" s="157"/>
      <c r="K466" s="611" t="s">
        <v>45</v>
      </c>
      <c r="L466" s="630" t="s">
        <v>46</v>
      </c>
      <c r="M466" s="157"/>
      <c r="N466" s="158" t="s">
        <v>98</v>
      </c>
      <c r="O466" s="158"/>
      <c r="P466" s="164"/>
      <c r="Q466" s="164"/>
      <c r="R466" s="157"/>
      <c r="S466" s="170"/>
      <c r="T466" s="547"/>
      <c r="U466" s="171"/>
      <c r="V466" s="100" t="b">
        <f>IF(G466&gt;0,IF(AD466="me","",G466))</f>
        <v>0</v>
      </c>
      <c r="W466" s="100"/>
      <c r="X466" s="100"/>
      <c r="Y466" s="201"/>
      <c r="Z466" s="829" t="str">
        <f t="shared" si="1093"/>
        <v/>
      </c>
      <c r="AA466" s="829"/>
      <c r="AB466" s="830" t="str">
        <f>IF(G466=0,"",IF(AD466="free","re-planting",IF(AD466="me","not NVP, by",IF($AD$8="yes",(VLOOKUP(A466,'Discount Lookup'!J:K,2)*G466*(1-$AC$1786)*(1+$AC$1788)),IF(AD466="NVP",(VLOOKUP(A466,'Discount Lookup'!J:K,2)*G466*(1-$AC$1786)*(1+$AC$1788)),IF(AD466="free","re-planting",IF(G466=0,"",IF($AD$8="",IF(AD466="me","not NVP, by",IF(AD466="",IF(G466&gt;0,(VLOOKUP(A466,'Discount Lookup'!J:K,2)*G466*(1-$AC$1786)*(1+$AC$1788)),""),"")),"not NVP, by"))))))))</f>
        <v/>
      </c>
      <c r="AC466" s="830"/>
      <c r="AD466" s="375" t="str">
        <f t="shared" si="1121"/>
        <v/>
      </c>
      <c r="AE466" s="833" t="str">
        <f t="shared" si="1100"/>
        <v/>
      </c>
      <c r="AF466" s="833"/>
      <c r="AG466" s="833"/>
      <c r="AH466" s="91">
        <f>IF(AD466="free",0,IF(AD466="me",0,IF(G466&gt;0,(VLOOKUP(A466,'Discount Lookup'!J:K,2)*G466),0)))</f>
        <v>0</v>
      </c>
      <c r="AI466" s="92" t="str">
        <f t="shared" si="1167"/>
        <v/>
      </c>
      <c r="AJ466" s="828" t="str">
        <f t="shared" si="1094"/>
        <v/>
      </c>
      <c r="AK466" s="828"/>
      <c r="AL466" s="313" t="str">
        <f t="shared" si="1199"/>
        <v/>
      </c>
      <c r="AM466" s="312"/>
      <c r="AN466" s="101"/>
      <c r="AO466" s="101"/>
      <c r="AP466" s="101"/>
      <c r="AQ466" s="101"/>
      <c r="AR466" s="101"/>
      <c r="AS466" s="101"/>
      <c r="AT466" s="101"/>
    </row>
    <row r="467" spans="1:48" ht="12.95" customHeight="1">
      <c r="A467" s="383">
        <v>7</v>
      </c>
      <c r="B467" s="158" t="s">
        <v>50</v>
      </c>
      <c r="C467" s="160" t="s">
        <v>89</v>
      </c>
      <c r="D467" s="161" t="s">
        <v>54</v>
      </c>
      <c r="E467" s="162">
        <v>91.95</v>
      </c>
      <c r="F467" s="713" t="s">
        <v>1306</v>
      </c>
      <c r="G467" s="357">
        <v>0</v>
      </c>
      <c r="H467" s="748" t="str">
        <f t="shared" ref="H467:H469" si="1219">IF(G467=0,"",IF(F467="Qty=",IF(G467=1,"plant","plants"),IF(F467&gt;0.0001,"warranty","Error")))</f>
        <v/>
      </c>
      <c r="I467" s="592">
        <f t="shared" ref="I467:I469" si="1220">IF(F467="Qty=",(E467*G467),((E467*(1-F467))*G467))</f>
        <v>0</v>
      </c>
      <c r="J467" s="592">
        <f>IF(H467="warranty",0,(I467*($J$1782)))</f>
        <v>0</v>
      </c>
      <c r="K467" s="834">
        <f t="shared" ref="K467:K469" si="1221">I467+J467</f>
        <v>0</v>
      </c>
      <c r="L467" s="834"/>
      <c r="M467" s="832" t="str">
        <f>IF($H$1784=0,"",IF(G467=0,"",IF(F467="Qty=",CONCATENATE("$",ROUND(K467*(1-$H$1784),2)," with ",($H$1784*100),"% discount"),CONCATENATE("$",ROUND(K467*(1-$H$1784),2)," with ",(($H$1784*100+F467*100)-($H$1784*100*F467)),IF(F467&gt;0,"% discounts",IF($H$1781&gt;0,"% discounts","% discount"))))))</f>
        <v/>
      </c>
      <c r="N467" s="832"/>
      <c r="O467" s="832"/>
      <c r="P467" s="832"/>
      <c r="Q467" s="832"/>
      <c r="R467" s="832"/>
      <c r="S467" s="303">
        <f t="shared" ref="S467:S469" si="1222">E467*G467</f>
        <v>0</v>
      </c>
      <c r="T467" s="541">
        <f>VLOOKUP(A467,'Discount Lookup'!D:E,2,FALSE)*G467</f>
        <v>0</v>
      </c>
      <c r="U467" s="83">
        <f>VLOOKUP(A467,'Discount Lookup'!G:H,2,FALSE)*G467</f>
        <v>0</v>
      </c>
      <c r="V467" s="100">
        <f>E467*($J$1782)*G467</f>
        <v>0</v>
      </c>
      <c r="W467" s="100">
        <f t="shared" ref="W467:W469" si="1223">I467</f>
        <v>0</v>
      </c>
      <c r="X467" s="100" t="b">
        <f>IF(G467&gt;0,IF(AD467="me","",G467))</f>
        <v>0</v>
      </c>
      <c r="Y467" s="201"/>
      <c r="Z467" s="829" t="str">
        <f t="shared" si="1093"/>
        <v/>
      </c>
      <c r="AA467" s="829"/>
      <c r="AB467" s="830" t="str">
        <f>IF(G467=0,"",IF(AD467="free","re-planting",IF(AD467="me","not NVP, by",IF($AD$8="yes",(VLOOKUP(A467,'Discount Lookup'!J:K,2)*G467*(1-$AC$1786)*(1+$AC$1788)),IF(AD467="NVP",(VLOOKUP(A467,'Discount Lookup'!J:K,2)*G467*(1-$AC$1786)*(1+$AC$1788)),IF(AD467="free","re-planting",IF(G467=0,"",IF($AD$8="",IF(AD467="me","not NVP, by",IF(AD467="",IF(G467&gt;0,(VLOOKUP(A467,'Discount Lookup'!J:K,2)*G467*(1-$AC$1786)*(1+$AC$1788)),""),"")),"not NVP, by"))))))))</f>
        <v/>
      </c>
      <c r="AC467" s="830"/>
      <c r="AD467" s="375" t="str">
        <f t="shared" si="1121"/>
        <v/>
      </c>
      <c r="AE467" s="833" t="str">
        <f t="shared" si="1100"/>
        <v/>
      </c>
      <c r="AF467" s="833"/>
      <c r="AG467" s="833"/>
      <c r="AH467" s="91">
        <f>IF(AD467="free",0,IF(AD467="me",0,IF(G467&gt;0,(VLOOKUP(A467,'Discount Lookup'!J:K,2)*G467),0)))</f>
        <v>0</v>
      </c>
      <c r="AI467" s="92" t="str">
        <f t="shared" si="1167"/>
        <v/>
      </c>
      <c r="AJ467" s="828" t="str">
        <f t="shared" si="1094"/>
        <v/>
      </c>
      <c r="AK467" s="828"/>
      <c r="AL467" s="313" t="str">
        <f t="shared" si="1199"/>
        <v/>
      </c>
      <c r="AM467" s="312"/>
      <c r="AN467" s="101"/>
      <c r="AO467" s="101"/>
      <c r="AP467" s="101"/>
      <c r="AQ467" s="101"/>
      <c r="AR467" s="101"/>
      <c r="AS467" s="101"/>
      <c r="AT467" s="101"/>
    </row>
    <row r="468" spans="1:48" ht="12.95" customHeight="1">
      <c r="A468" s="383">
        <v>15</v>
      </c>
      <c r="B468" s="158" t="s">
        <v>50</v>
      </c>
      <c r="C468" s="160" t="s">
        <v>1480</v>
      </c>
      <c r="D468" s="161" t="s">
        <v>54</v>
      </c>
      <c r="E468" s="162">
        <v>173.95</v>
      </c>
      <c r="F468" s="713" t="s">
        <v>1306</v>
      </c>
      <c r="G468" s="357">
        <v>0</v>
      </c>
      <c r="H468" s="748" t="str">
        <f t="shared" ref="H468" si="1224">IF(G468=0,"",IF(F468="Qty=",IF(G468=1,"plant","plants"),IF(F468&gt;0.0001,"warranty","Error")))</f>
        <v/>
      </c>
      <c r="I468" s="592">
        <f t="shared" ref="I468" si="1225">IF(F468="Qty=",(E468*G468),((E468*(1-F468))*G468))</f>
        <v>0</v>
      </c>
      <c r="J468" s="592">
        <f>IF(H468="warranty",0,(I468*($J$1782)))</f>
        <v>0</v>
      </c>
      <c r="K468" s="834">
        <f t="shared" si="1221"/>
        <v>0</v>
      </c>
      <c r="L468" s="834"/>
      <c r="M468" s="832" t="str">
        <f>IF($H$1784=0,"",IF(G468=0,"",IF(F468="Qty=",CONCATENATE("$",ROUND(K468*(1-$H$1784),2)," with ",($H$1784*100),"% discount"),CONCATENATE("$",ROUND(K468*(1-$H$1784),2)," with ",(($H$1784*100+F468*100)-($H$1784*100*F468)),IF(F468&gt;0,"% discounts",IF($H$1781&gt;0,"% discounts","% discount"))))))</f>
        <v/>
      </c>
      <c r="N468" s="832"/>
      <c r="O468" s="832"/>
      <c r="P468" s="832"/>
      <c r="Q468" s="832"/>
      <c r="R468" s="832"/>
      <c r="S468" s="303">
        <f t="shared" ref="S468" si="1226">E468*G468</f>
        <v>0</v>
      </c>
      <c r="T468" s="541">
        <f>VLOOKUP(A468,'Discount Lookup'!D:E,2,FALSE)*G468</f>
        <v>0</v>
      </c>
      <c r="U468" s="83">
        <f>VLOOKUP(A468,'Discount Lookup'!G:H,2,FALSE)*G468</f>
        <v>0</v>
      </c>
      <c r="V468" s="100">
        <f>E468*($J$1782)*G468</f>
        <v>0</v>
      </c>
      <c r="W468" s="100">
        <f t="shared" ref="W468" si="1227">I468</f>
        <v>0</v>
      </c>
      <c r="X468" s="100" t="b">
        <f>IF(G468&gt;0,IF(AD468="me","",G468))</f>
        <v>0</v>
      </c>
      <c r="Y468" s="201"/>
      <c r="Z468" s="829" t="str">
        <f t="shared" ref="Z468" si="1228">IF(G468=0,"",IF(AD468="me","",IF($AD$8="me","",IF(AD468="free","warranty",IF($AD$8="yes","NVP planting:","to NVP install:")))))</f>
        <v/>
      </c>
      <c r="AA468" s="829"/>
      <c r="AB468" s="830" t="str">
        <f>IF(G468=0,"",IF(AD468="free","re-planting",IF(AD468="me","not NVP, by",IF($AD$8="yes",(VLOOKUP(A468,'Discount Lookup'!J:K,2)*G468*(1-$AC$1786)*(1+$AC$1788)),IF(AD468="NVP",(VLOOKUP(A468,'Discount Lookup'!J:K,2)*G468*(1-$AC$1786)*(1+$AC$1788)),IF(AD468="free","re-planting",IF(G468=0,"",IF($AD$8="",IF(AD468="me","not NVP, by",IF(AD468="",IF(G468&gt;0,(VLOOKUP(A468,'Discount Lookup'!J:K,2)*G468*(1-$AC$1786)*(1+$AC$1788)),""),"")),"not NVP, by"))))))))</f>
        <v/>
      </c>
      <c r="AC468" s="830"/>
      <c r="AD468" s="375" t="str">
        <f t="shared" si="1121"/>
        <v/>
      </c>
      <c r="AE468" s="833" t="str">
        <f t="shared" ref="AE468" si="1229">IF(G468&gt;0,(CONCATENATE((G468)," quantity, ",(A468)," ",B468)),"")</f>
        <v/>
      </c>
      <c r="AF468" s="833"/>
      <c r="AG468" s="833"/>
      <c r="AH468" s="91">
        <f>IF(AD468="free",0,IF(AD468="me",0,IF(G468&gt;0,(VLOOKUP(A468,'Discount Lookup'!J:K,2)*G468),0)))</f>
        <v>0</v>
      </c>
      <c r="AI468" s="92" t="str">
        <f t="shared" si="1167"/>
        <v/>
      </c>
      <c r="AJ468" s="828" t="str">
        <f t="shared" ref="AJ468" si="1230">IF(G468=0,"",IF(AD468="me","  delivery-only",IF($AD$8="me","  delivery-only",CONCATENATE(" $",ROUND(AI468/G468,2)," each"))))</f>
        <v/>
      </c>
      <c r="AK468" s="828"/>
      <c r="AL468" s="313" t="str">
        <f t="shared" si="1199"/>
        <v/>
      </c>
      <c r="AM468" s="312"/>
      <c r="AN468" s="101"/>
      <c r="AO468" s="101"/>
      <c r="AP468" s="101"/>
      <c r="AQ468" s="101"/>
      <c r="AR468" s="101"/>
      <c r="AS468" s="101"/>
      <c r="AT468" s="101"/>
    </row>
    <row r="469" spans="1:48" ht="12.95" customHeight="1">
      <c r="A469" s="383">
        <v>15</v>
      </c>
      <c r="B469" s="158" t="s">
        <v>50</v>
      </c>
      <c r="C469" s="160" t="s">
        <v>1380</v>
      </c>
      <c r="D469" s="161" t="s">
        <v>90</v>
      </c>
      <c r="E469" s="162">
        <v>261.95</v>
      </c>
      <c r="F469" s="713" t="s">
        <v>1306</v>
      </c>
      <c r="G469" s="357">
        <v>0</v>
      </c>
      <c r="H469" s="748" t="str">
        <f t="shared" si="1219"/>
        <v/>
      </c>
      <c r="I469" s="592">
        <f t="shared" si="1220"/>
        <v>0</v>
      </c>
      <c r="J469" s="592">
        <f>IF(H469="warranty",0,(I469*($J$1782)))</f>
        <v>0</v>
      </c>
      <c r="K469" s="834">
        <f t="shared" si="1221"/>
        <v>0</v>
      </c>
      <c r="L469" s="834"/>
      <c r="M469" s="832" t="str">
        <f>IF($H$1784=0,"",IF(G469=0,"",IF(F469="Qty=",CONCATENATE("$",ROUND(K469*(1-$H$1784),2)," with ",($H$1784*100),"% discount"),CONCATENATE("$",ROUND(K469*(1-$H$1784),2)," with ",(($H$1784*100+F469*100)-($H$1784*100*F469)),IF(F469&gt;0,"% discounts",IF($H$1781&gt;0,"% discounts","% discount"))))))</f>
        <v/>
      </c>
      <c r="N469" s="832"/>
      <c r="O469" s="832"/>
      <c r="P469" s="832"/>
      <c r="Q469" s="832"/>
      <c r="R469" s="832"/>
      <c r="S469" s="303">
        <f t="shared" si="1222"/>
        <v>0</v>
      </c>
      <c r="T469" s="541">
        <f>VLOOKUP(A469,'Discount Lookup'!D:E,2,FALSE)*G469</f>
        <v>0</v>
      </c>
      <c r="U469" s="83">
        <f>VLOOKUP(A469,'Discount Lookup'!G:H,2,FALSE)*G469</f>
        <v>0</v>
      </c>
      <c r="V469" s="100">
        <f>E469*($J$1782)*G469</f>
        <v>0</v>
      </c>
      <c r="W469" s="100">
        <f t="shared" si="1223"/>
        <v>0</v>
      </c>
      <c r="X469" s="100" t="b">
        <f>IF(G469&gt;0,IF(AD469="me","",G469))</f>
        <v>0</v>
      </c>
      <c r="Y469" s="201"/>
      <c r="Z469" s="829" t="str">
        <f t="shared" si="1093"/>
        <v/>
      </c>
      <c r="AA469" s="829"/>
      <c r="AB469" s="830" t="str">
        <f>IF(G469=0,"",IF(AD469="free","re-planting",IF(AD469="me","not NVP, by",IF($AD$8="yes",(VLOOKUP(A469,'Discount Lookup'!J:K,2)*G469*(1-$AC$1786)*(1+$AC$1788)),IF(AD469="NVP",(VLOOKUP(A469,'Discount Lookup'!J:K,2)*G469*(1-$AC$1786)*(1+$AC$1788)),IF(AD469="free","re-planting",IF(G469=0,"",IF($AD$8="",IF(AD469="me","not NVP, by",IF(AD469="",IF(G469&gt;0,(VLOOKUP(A469,'Discount Lookup'!J:K,2)*G469*(1-$AC$1786)*(1+$AC$1788)),""),"")),"not NVP, by"))))))))</f>
        <v/>
      </c>
      <c r="AC469" s="830"/>
      <c r="AD469" s="375" t="str">
        <f t="shared" si="1121"/>
        <v/>
      </c>
      <c r="AE469" s="833" t="str">
        <f t="shared" si="1100"/>
        <v/>
      </c>
      <c r="AF469" s="833"/>
      <c r="AG469" s="833"/>
      <c r="AH469" s="91">
        <f>IF(AD469="free",0,IF(AD469="me",0,IF(G469&gt;0,(VLOOKUP(A469,'Discount Lookup'!J:K,2)*G469),0)))</f>
        <v>0</v>
      </c>
      <c r="AI469" s="92" t="str">
        <f t="shared" si="1167"/>
        <v/>
      </c>
      <c r="AJ469" s="828" t="str">
        <f t="shared" si="1094"/>
        <v/>
      </c>
      <c r="AK469" s="828"/>
      <c r="AL469" s="313" t="str">
        <f t="shared" si="1199"/>
        <v/>
      </c>
      <c r="AM469" s="312"/>
      <c r="AN469" s="101"/>
      <c r="AO469" s="101"/>
      <c r="AP469" s="101"/>
      <c r="AQ469" s="101"/>
      <c r="AR469" s="101"/>
      <c r="AS469" s="101"/>
      <c r="AT469" s="101"/>
    </row>
    <row r="470" spans="1:48" ht="12.95" customHeight="1">
      <c r="A470" s="472"/>
      <c r="B470" s="103" t="s">
        <v>340</v>
      </c>
      <c r="C470" s="118"/>
      <c r="D470" s="118"/>
      <c r="E470" s="119"/>
      <c r="G470" s="358"/>
      <c r="H470" s="745"/>
      <c r="I470" s="119"/>
      <c r="J470" s="119"/>
      <c r="K470" s="609"/>
      <c r="L470" s="609"/>
      <c r="M470" s="121"/>
      <c r="N470" s="122" t="s">
        <v>277</v>
      </c>
      <c r="O470" s="123"/>
      <c r="P470" s="124"/>
      <c r="Q470" s="841"/>
      <c r="R470" s="841"/>
      <c r="S470" s="841"/>
      <c r="T470" s="841"/>
      <c r="U470" s="841"/>
      <c r="V470" s="841"/>
      <c r="Y470" s="132"/>
      <c r="Z470" s="829" t="str">
        <f t="shared" si="1093"/>
        <v/>
      </c>
      <c r="AA470" s="829"/>
      <c r="AB470" s="830" t="str">
        <f>IF(G470=0,"",IF(AD470="free","re-planting",IF(AD470="me","not NVP, by",IF($AD$8="yes",(VLOOKUP(A470,'Discount Lookup'!J:K,2)*G470*(1-$AC$1786)*(1+$AC$1788)),IF(AD470="NVP",(VLOOKUP(A470,'Discount Lookup'!J:K,2)*G470*(1-$AC$1786)*(1+$AC$1788)),IF(AD470="free","re-planting",IF(G470=0,"",IF($AD$8="",IF(AD470="me","not NVP, by",IF(AD470="",IF(G470&gt;0,(VLOOKUP(A470,'Discount Lookup'!J:K,2)*G470*(1-$AC$1786)*(1+$AC$1788)),""),"")),"not NVP, by"))))))))</f>
        <v/>
      </c>
      <c r="AC470" s="830"/>
      <c r="AD470" s="375" t="str">
        <f t="shared" si="1121"/>
        <v/>
      </c>
      <c r="AE470" s="833" t="str">
        <f t="shared" si="1100"/>
        <v/>
      </c>
      <c r="AF470" s="833"/>
      <c r="AG470" s="833"/>
      <c r="AH470" s="91">
        <f>IF(AD470="free",0,IF(AD470="me",0,IF(G470&gt;0,(VLOOKUP(A470,'Discount Lookup'!J:K,2)*G470),0)))</f>
        <v>0</v>
      </c>
      <c r="AI470" s="92" t="str">
        <f t="shared" si="1167"/>
        <v/>
      </c>
      <c r="AJ470" s="828" t="str">
        <f t="shared" si="1094"/>
        <v/>
      </c>
      <c r="AK470" s="828"/>
      <c r="AL470" s="313" t="str">
        <f t="shared" si="1199"/>
        <v/>
      </c>
      <c r="AM470" s="312"/>
      <c r="AN470" s="101"/>
      <c r="AO470" s="101"/>
      <c r="AP470" s="101"/>
      <c r="AQ470" s="101"/>
      <c r="AR470" s="101"/>
      <c r="AS470" s="101"/>
      <c r="AT470" s="101"/>
    </row>
    <row r="471" spans="1:48" ht="12.95" customHeight="1">
      <c r="A471" s="889" t="s">
        <v>341</v>
      </c>
      <c r="B471" s="890"/>
      <c r="C471" s="890"/>
      <c r="D471" s="890"/>
      <c r="E471" s="890"/>
      <c r="F471" s="890"/>
      <c r="G471" s="890"/>
      <c r="H471" s="775" t="s">
        <v>332</v>
      </c>
      <c r="I471" s="164" t="s">
        <v>79</v>
      </c>
      <c r="J471" s="157"/>
      <c r="K471" s="611" t="s">
        <v>45</v>
      </c>
      <c r="L471" s="630" t="s">
        <v>46</v>
      </c>
      <c r="M471" s="157"/>
      <c r="N471" s="158" t="s">
        <v>69</v>
      </c>
      <c r="O471" s="158"/>
      <c r="P471" s="164"/>
      <c r="Q471" s="164"/>
      <c r="R471" s="835" t="s">
        <v>49</v>
      </c>
      <c r="S471" s="835"/>
      <c r="T471" s="835"/>
      <c r="U471" s="835"/>
      <c r="V471" s="100" t="b">
        <f>IF(G471&gt;0,IF(AD471="me","",G471))</f>
        <v>0</v>
      </c>
      <c r="W471" s="100"/>
      <c r="X471" s="100"/>
      <c r="Y471" s="790"/>
      <c r="Z471" s="838" t="str">
        <f>IF(G471=0,"",IF(AD471="me","",IF($AD$8="me","",IF(AD471="free","warranty",IF($AD$8="yes","NVP planting:","to NVP install:")))))</f>
        <v/>
      </c>
      <c r="AA471" s="838"/>
      <c r="AB471" s="830" t="str">
        <f>IF(G471=0,"",IF(AD471="free","re-planting",IF(AD471="me","not NVP, by",IF($AD$8="yes",(VLOOKUP(A471,'Discount Lookup'!J:K,2)*G471*(1-$AC$1786)*(1+$AC$1788)),IF(AD471="NVP",(VLOOKUP(A471,'Discount Lookup'!J:K,2)*G471*(1-$AC$1786)*(1+$AC$1788)),IF(AD471="free","re-planting",IF(G471=0,"",IF($AD$8="",IF(AD471="me","not NVP, by",IF(AD471="",IF(G471&gt;0,(VLOOKUP(A471,'Discount Lookup'!J:K,2)*G471*(1-$AC$1786)*(1+$AC$1788)),""),"")),"not NVP, by"))))))))</f>
        <v/>
      </c>
      <c r="AC471" s="830"/>
      <c r="AD471" s="375" t="str">
        <f>IF(G471=0,"",IF($AD$8="me","me",IF(H471="warranty","free",IF($AD$8="yes","NVP",""))))</f>
        <v/>
      </c>
      <c r="AE471" s="833" t="str">
        <f t="shared" ref="AE471:AE473" si="1231">IF(G471&gt;0,(CONCATENATE((G471)," quantity, ",(A471)," ",B471)),"")</f>
        <v/>
      </c>
      <c r="AF471" s="833"/>
      <c r="AG471" s="833"/>
      <c r="AH471" s="91" t="str">
        <f>IF(AD471="free",0,IF(AD471="me","",IF(G471&gt;0,(VLOOKUP(A471,'Discount Lookup'!J:K,2)*G471),"")))</f>
        <v/>
      </c>
      <c r="AI471" s="92" t="str">
        <f t="shared" si="1167"/>
        <v/>
      </c>
      <c r="AJ471" s="828" t="str">
        <f t="shared" ref="AJ471:AJ473" si="1232">IF(G471=0,"",IF(AD471="me","  delivery-only",CONCATENATE(" $",ROUND(AI471/G471,2)," each")))</f>
        <v/>
      </c>
      <c r="AK471" s="828"/>
      <c r="AL471" s="313" t="str">
        <f t="shared" si="1199"/>
        <v/>
      </c>
      <c r="AM471" s="312"/>
      <c r="AN471" s="101"/>
      <c r="AO471" s="101"/>
      <c r="AP471" s="101"/>
      <c r="AQ471" s="101"/>
      <c r="AR471" s="101"/>
      <c r="AS471" s="101"/>
      <c r="AT471" s="101"/>
    </row>
    <row r="472" spans="1:48" ht="12.95" customHeight="1">
      <c r="A472" s="383">
        <v>5</v>
      </c>
      <c r="B472" s="158" t="s">
        <v>50</v>
      </c>
      <c r="C472" s="168" t="s">
        <v>1208</v>
      </c>
      <c r="D472" s="161" t="s">
        <v>87</v>
      </c>
      <c r="E472" s="162">
        <v>79.95</v>
      </c>
      <c r="F472" s="713" t="s">
        <v>1306</v>
      </c>
      <c r="G472" s="357">
        <v>0</v>
      </c>
      <c r="H472" s="748" t="str">
        <f t="shared" ref="H472" si="1233">IF(G472=0,"",IF(F472="Qty=",IF(G472=1,"plant","plants"),IF(F472&gt;0.0001,"warranty","Error")))</f>
        <v/>
      </c>
      <c r="I472" s="592">
        <f t="shared" ref="I472" si="1234">IF(F472="Qty=",(E472*G472),((E472*(1-F472))*G472))</f>
        <v>0</v>
      </c>
      <c r="J472" s="592">
        <f>IF(H472="warranty",0,(I472*($J$1782)))</f>
        <v>0</v>
      </c>
      <c r="K472" s="834">
        <f t="shared" ref="K472" si="1235">I472+J472</f>
        <v>0</v>
      </c>
      <c r="L472" s="834"/>
      <c r="M472" s="832" t="str">
        <f>IF($H$1784=0,"",IF(G472=0,"",IF(F472="Qty=",CONCATENATE("$",ROUND(K472*(1-$H$1784),2)," with ",($H$1784*100),"% discount"),CONCATENATE("$",ROUND(K472*(1-$H$1784),2)," with ",(($H$1784*100+F472*100)-($H$1784*100*F472)),IF(F472&gt;0,"% discounts",IF($H$1781&gt;0,"% discounts","% discount"))))))</f>
        <v/>
      </c>
      <c r="N472" s="832"/>
      <c r="O472" s="832"/>
      <c r="P472" s="832"/>
      <c r="Q472" s="832"/>
      <c r="R472" s="832"/>
      <c r="S472" s="303">
        <f t="shared" ref="S472" si="1236">E472*G472</f>
        <v>0</v>
      </c>
      <c r="T472" s="541">
        <f>VLOOKUP(A472,'Discount Lookup'!D:E,2,FALSE)*G472</f>
        <v>0</v>
      </c>
      <c r="U472" s="83">
        <f>VLOOKUP(A472,'Discount Lookup'!G:H,2,FALSE)*G472</f>
        <v>0</v>
      </c>
      <c r="V472" s="100">
        <f>E472*($J$1782)*G472</f>
        <v>0</v>
      </c>
      <c r="W472" s="100">
        <f t="shared" ref="W472" si="1237">I472</f>
        <v>0</v>
      </c>
      <c r="X472" s="100" t="b">
        <f>IF(G472&gt;0,IF(AD472="me","",G472))</f>
        <v>0</v>
      </c>
      <c r="Y472" s="790"/>
      <c r="Z472" s="838" t="str">
        <f>IF(G472=0,"",IF(AD472="me","",IF($AD$8="me","",IF(AD472="free","warranty",IF($AD$8="yes","NVP planting:","to NVP install:")))))</f>
        <v/>
      </c>
      <c r="AA472" s="838"/>
      <c r="AB472" s="830" t="str">
        <f>IF(G472=0,"",IF(AD472="free","re-planting",IF(AD472="me","not NVP, by",IF($AD$8="yes",(VLOOKUP(A472,'Discount Lookup'!J:K,2)*G472*(1-$AC$1786)*(1+$AC$1788)),IF(AD472="NVP",(VLOOKUP(A472,'Discount Lookup'!J:K,2)*G472*(1-$AC$1786)*(1+$AC$1788)),IF(AD472="free","re-planting",IF(G472=0,"",IF($AD$8="",IF(AD472="me","not NVP, by",IF(AD472="",IF(G472&gt;0,(VLOOKUP(A472,'Discount Lookup'!J:K,2)*G472*(1-$AC$1786)*(1+$AC$1788)),""),"")),"not NVP, by"))))))))</f>
        <v/>
      </c>
      <c r="AC472" s="830"/>
      <c r="AD472" s="375" t="str">
        <f>IF(G472=0,"",IF($AD$8="me","me",IF(H472="warranty","free",IF($AD$8="yes","NVP",""))))</f>
        <v/>
      </c>
      <c r="AE472" s="833" t="str">
        <f t="shared" si="1231"/>
        <v/>
      </c>
      <c r="AF472" s="833"/>
      <c r="AG472" s="833"/>
      <c r="AH472" s="91" t="str">
        <f>IF(AD472="free",0,IF(AD472="me","",IF(G472&gt;0,(VLOOKUP(A472,'Discount Lookup'!J:K,2)*G472),"")))</f>
        <v/>
      </c>
      <c r="AI472" s="92" t="str">
        <f t="shared" si="1167"/>
        <v/>
      </c>
      <c r="AJ472" s="828" t="str">
        <f t="shared" si="1232"/>
        <v/>
      </c>
      <c r="AK472" s="828"/>
      <c r="AL472" s="313" t="str">
        <f t="shared" si="1199"/>
        <v/>
      </c>
      <c r="AM472" s="312"/>
      <c r="AN472" s="101"/>
      <c r="AO472" s="101"/>
      <c r="AP472" s="101"/>
      <c r="AQ472" s="101"/>
      <c r="AR472" s="101"/>
      <c r="AS472" s="101"/>
      <c r="AT472" s="101"/>
    </row>
    <row r="473" spans="1:48" ht="12.75" customHeight="1">
      <c r="A473" s="475"/>
      <c r="B473" s="103" t="s">
        <v>342</v>
      </c>
      <c r="G473" s="361"/>
      <c r="H473" s="746"/>
      <c r="M473" s="48"/>
      <c r="N473" s="163" t="s">
        <v>343</v>
      </c>
      <c r="O473" s="48"/>
      <c r="P473" s="48"/>
      <c r="Q473" s="48"/>
      <c r="R473" s="48"/>
      <c r="S473" s="82"/>
      <c r="T473" s="540"/>
      <c r="U473" s="83"/>
      <c r="V473" s="100" t="b">
        <f>IF(G473&gt;0,IF(AD473="me","",G473))</f>
        <v>0</v>
      </c>
      <c r="W473" s="100"/>
      <c r="X473" s="100"/>
      <c r="Y473" s="790"/>
      <c r="Z473" s="838" t="str">
        <f>IF(G473=0,"",IF(AD473="me","",IF($AD$8="me","",IF(AD473="free","warranty",IF($AD$8="yes","NVP planting:","to NVP install:")))))</f>
        <v/>
      </c>
      <c r="AA473" s="838"/>
      <c r="AB473" s="830" t="str">
        <f>IF(G473=0,"",IF(AD473="free","re-planting",IF(AD473="me","not NVP, by",IF($AD$8="yes",(VLOOKUP(A473,'Discount Lookup'!J:K,2)*G473*(1-$AC$1786)*(1+$AC$1788)),IF(AD473="NVP",(VLOOKUP(A473,'Discount Lookup'!J:K,2)*G473*(1-$AC$1786)*(1+$AC$1788)),IF(AD473="free","re-planting",IF(G473=0,"",IF($AD$8="",IF(AD473="me","not NVP, by",IF(AD473="",IF(G473&gt;0,(VLOOKUP(A473,'Discount Lookup'!J:K,2)*G473*(1-$AC$1786)*(1+$AC$1788)),""),"")),"not NVP, by"))))))))</f>
        <v/>
      </c>
      <c r="AC473" s="830"/>
      <c r="AD473" s="375" t="str">
        <f>IF(G473=0,"",IF($AD$8="me","me",IF(H473="warranty","free",IF($AD$8="yes","NVP",""))))</f>
        <v/>
      </c>
      <c r="AE473" s="833" t="str">
        <f t="shared" si="1231"/>
        <v/>
      </c>
      <c r="AF473" s="833"/>
      <c r="AG473" s="833"/>
      <c r="AH473" s="91" t="str">
        <f>IF(AD473="free",0,IF(AD473="me","",IF(G473&gt;0,(VLOOKUP(A473,'Discount Lookup'!J:K,2)*G473),"")))</f>
        <v/>
      </c>
      <c r="AI473" s="92" t="str">
        <f t="shared" si="1167"/>
        <v/>
      </c>
      <c r="AJ473" s="828" t="str">
        <f t="shared" si="1232"/>
        <v/>
      </c>
      <c r="AK473" s="828"/>
      <c r="AL473" s="313" t="str">
        <f t="shared" si="1199"/>
        <v/>
      </c>
      <c r="AM473" s="312"/>
      <c r="AN473" s="101"/>
      <c r="AO473" s="101"/>
      <c r="AP473" s="101"/>
      <c r="AQ473" s="101"/>
      <c r="AR473" s="101"/>
      <c r="AS473" s="101"/>
      <c r="AT473" s="101"/>
      <c r="AV473" s="132"/>
    </row>
    <row r="474" spans="1:48" ht="12.95" customHeight="1">
      <c r="A474" s="889" t="s">
        <v>345</v>
      </c>
      <c r="B474" s="890"/>
      <c r="C474" s="890"/>
      <c r="D474" s="890"/>
      <c r="E474" s="890"/>
      <c r="F474" s="890"/>
      <c r="G474" s="890"/>
      <c r="H474" s="774" t="s">
        <v>344</v>
      </c>
      <c r="I474" s="164" t="s">
        <v>79</v>
      </c>
      <c r="J474" s="157"/>
      <c r="K474" s="611" t="s">
        <v>45</v>
      </c>
      <c r="L474" s="630" t="s">
        <v>46</v>
      </c>
      <c r="M474" s="157"/>
      <c r="N474" s="158" t="s">
        <v>69</v>
      </c>
      <c r="O474" s="165"/>
      <c r="P474" s="166"/>
      <c r="Q474" s="166"/>
      <c r="R474" s="157"/>
      <c r="S474" s="170">
        <f>E474*G474</f>
        <v>0</v>
      </c>
      <c r="T474" s="547"/>
      <c r="U474" s="157"/>
      <c r="V474" s="100" t="b">
        <f>IF(G474&gt;0,IF(AD474="me","",G474))</f>
        <v>0</v>
      </c>
      <c r="W474" s="100"/>
      <c r="X474" s="100"/>
      <c r="Y474" s="201"/>
      <c r="Z474" s="829" t="str">
        <f t="shared" ref="Z474:Z524" si="1238">IF(G474=0,"",IF(AD474="me","",IF($AD$8="me","",IF(AD474="free","warranty",IF($AD$8="yes","NVP planting:","to NVP install:")))))</f>
        <v/>
      </c>
      <c r="AA474" s="829"/>
      <c r="AB474" s="830" t="str">
        <f>IF(G474=0,"",IF(AD474="free","re-planting",IF(AD474="me","not NVP, by",IF($AD$8="yes",(VLOOKUP(A474,'Discount Lookup'!J:K,2)*G474*(1-$AC$1786)*(1+$AC$1788)),IF(AD474="NVP",(VLOOKUP(A474,'Discount Lookup'!J:K,2)*G474*(1-$AC$1786)*(1+$AC$1788)),IF(AD474="free","re-planting",IF(G474=0,"",IF($AD$8="",IF(AD474="me","not NVP, by",IF(AD474="",IF(G474&gt;0,(VLOOKUP(A474,'Discount Lookup'!J:K,2)*G474*(1-$AC$1786)*(1+$AC$1788)),""),"")),"not NVP, by"))))))))</f>
        <v/>
      </c>
      <c r="AC474" s="830"/>
      <c r="AD474" s="375" t="str">
        <f t="shared" ref="AD474:AD517" si="1239">IF(G474=0,"",IF($AD$8="me","me",IF(H474="warranty","free",IF($AD$8="yes","NVP",""))))</f>
        <v/>
      </c>
      <c r="AE474" s="833" t="str">
        <f t="shared" si="1100"/>
        <v/>
      </c>
      <c r="AF474" s="833"/>
      <c r="AG474" s="833"/>
      <c r="AH474" s="91">
        <f>IF(AD474="free",0,IF(AD474="me",0,IF(G474&gt;0,(VLOOKUP(A474,'Discount Lookup'!J:K,2)*G474),0)))</f>
        <v>0</v>
      </c>
      <c r="AI474" s="92" t="str">
        <f t="shared" si="1167"/>
        <v/>
      </c>
      <c r="AJ474" s="828" t="str">
        <f t="shared" ref="AJ474:AJ524" si="1240">IF(G474=0,"",IF(AD474="me","  delivery-only",IF($AD$8="me","  delivery-only",CONCATENATE(" $",ROUND(AI474/G474,2)," each"))))</f>
        <v/>
      </c>
      <c r="AK474" s="828"/>
      <c r="AL474" s="313" t="str">
        <f t="shared" si="1199"/>
        <v/>
      </c>
      <c r="AM474" s="312"/>
      <c r="AN474" s="101"/>
      <c r="AO474" s="101"/>
      <c r="AP474" s="101"/>
      <c r="AQ474" s="101"/>
      <c r="AR474" s="101"/>
      <c r="AS474" s="101"/>
      <c r="AT474" s="101"/>
    </row>
    <row r="475" spans="1:48" ht="12.95" customHeight="1">
      <c r="A475" s="383">
        <v>7</v>
      </c>
      <c r="B475" s="158" t="s">
        <v>50</v>
      </c>
      <c r="C475" s="449" t="s">
        <v>1217</v>
      </c>
      <c r="D475" s="161" t="s">
        <v>54</v>
      </c>
      <c r="E475" s="162">
        <v>132.94999999999999</v>
      </c>
      <c r="F475" s="713" t="s">
        <v>1306</v>
      </c>
      <c r="G475" s="357">
        <v>0</v>
      </c>
      <c r="H475" s="748" t="str">
        <f t="shared" ref="H475:H477" si="1241">IF(G475=0,"",IF(F475="Qty=",IF(G475=1,"plant","plants"),IF(F475&gt;0.0001,"warranty","Error")))</f>
        <v/>
      </c>
      <c r="I475" s="592">
        <f t="shared" ref="I475:I477" si="1242">IF(F475="Qty=",(E475*G475),((E475*(1-F475))*G475))</f>
        <v>0</v>
      </c>
      <c r="J475" s="592">
        <f>IF(H475="warranty",0,(I475*($J$1782)))</f>
        <v>0</v>
      </c>
      <c r="K475" s="834">
        <f t="shared" ref="K475:K477" si="1243">I475+J475</f>
        <v>0</v>
      </c>
      <c r="L475" s="834"/>
      <c r="M475" s="832" t="str">
        <f>IF($H$1784=0,"",IF(G475=0,"",IF(F475="Qty=",CONCATENATE("$",ROUND(K475*(1-$H$1784),2)," with ",($H$1784*100),"% discount"),CONCATENATE("$",ROUND(K475*(1-$H$1784),2)," with ",(($H$1784*100+F475*100)-($H$1784*100*F475)),IF(F475&gt;0,"% discounts",IF($H$1781&gt;0,"% discounts","% discount"))))))</f>
        <v/>
      </c>
      <c r="N475" s="832"/>
      <c r="O475" s="832"/>
      <c r="P475" s="832"/>
      <c r="Q475" s="832"/>
      <c r="R475" s="832"/>
      <c r="S475" s="303">
        <f t="shared" ref="S475:S477" si="1244">E475*G475</f>
        <v>0</v>
      </c>
      <c r="T475" s="541">
        <f>VLOOKUP(A475,'Discount Lookup'!D:E,2,FALSE)*G475</f>
        <v>0</v>
      </c>
      <c r="U475" s="83">
        <f>VLOOKUP(A475,'Discount Lookup'!G:H,2,FALSE)*G475</f>
        <v>0</v>
      </c>
      <c r="V475" s="100">
        <f>E475*($J$1782)*G475</f>
        <v>0</v>
      </c>
      <c r="W475" s="100">
        <f t="shared" ref="W475:W477" si="1245">I475</f>
        <v>0</v>
      </c>
      <c r="X475" s="100" t="b">
        <f>IF(G475&gt;0,IF(AD475="me","",G475))</f>
        <v>0</v>
      </c>
      <c r="Y475" s="201"/>
      <c r="Z475" s="829" t="str">
        <f t="shared" si="1238"/>
        <v/>
      </c>
      <c r="AA475" s="829"/>
      <c r="AB475" s="830" t="str">
        <f>IF(G475=0,"",IF(AD475="free","re-planting",IF(AD475="me","not NVP, by",IF($AD$8="yes",(VLOOKUP(A475,'Discount Lookup'!J:K,2)*G475*(1-$AC$1786)*(1+$AC$1788)),IF(AD475="NVP",(VLOOKUP(A475,'Discount Lookup'!J:K,2)*G475*(1-$AC$1786)*(1+$AC$1788)),IF(AD475="free","re-planting",IF(G475=0,"",IF($AD$8="",IF(AD475="me","not NVP, by",IF(AD475="",IF(G475&gt;0,(VLOOKUP(A475,'Discount Lookup'!J:K,2)*G475*(1-$AC$1786)*(1+$AC$1788)),""),"")),"not NVP, by"))))))))</f>
        <v/>
      </c>
      <c r="AC475" s="830"/>
      <c r="AD475" s="375" t="str">
        <f t="shared" si="1239"/>
        <v/>
      </c>
      <c r="AE475" s="833" t="str">
        <f t="shared" si="1100"/>
        <v/>
      </c>
      <c r="AF475" s="833"/>
      <c r="AG475" s="833"/>
      <c r="AH475" s="91">
        <f>IF(AD475="free",0,IF(AD475="me",0,IF(G475&gt;0,(VLOOKUP(A475,'Discount Lookup'!J:K,2)*G475),0)))</f>
        <v>0</v>
      </c>
      <c r="AI475" s="92" t="str">
        <f t="shared" si="1167"/>
        <v/>
      </c>
      <c r="AJ475" s="828" t="str">
        <f t="shared" si="1240"/>
        <v/>
      </c>
      <c r="AK475" s="828"/>
      <c r="AL475" s="313" t="str">
        <f t="shared" si="1199"/>
        <v/>
      </c>
      <c r="AM475" s="312"/>
      <c r="AN475" s="101"/>
      <c r="AO475" s="101"/>
      <c r="AP475" s="101"/>
      <c r="AQ475" s="101"/>
      <c r="AR475" s="101"/>
      <c r="AS475" s="101"/>
      <c r="AT475" s="101"/>
    </row>
    <row r="476" spans="1:48" ht="12.95" customHeight="1">
      <c r="A476" s="383">
        <v>10</v>
      </c>
      <c r="B476" s="158" t="s">
        <v>50</v>
      </c>
      <c r="C476" s="168" t="s">
        <v>346</v>
      </c>
      <c r="D476" s="161" t="s">
        <v>54</v>
      </c>
      <c r="E476" s="162">
        <v>155.94999999999999</v>
      </c>
      <c r="F476" s="713" t="s">
        <v>1306</v>
      </c>
      <c r="G476" s="357">
        <v>0</v>
      </c>
      <c r="H476" s="748" t="str">
        <f t="shared" si="1241"/>
        <v/>
      </c>
      <c r="I476" s="592">
        <f t="shared" si="1242"/>
        <v>0</v>
      </c>
      <c r="J476" s="592">
        <f>IF(H476="warranty",0,(I476*($J$1782)))</f>
        <v>0</v>
      </c>
      <c r="K476" s="834">
        <f t="shared" si="1243"/>
        <v>0</v>
      </c>
      <c r="L476" s="834"/>
      <c r="M476" s="832" t="str">
        <f>IF($H$1784=0,"",IF(G476=0,"",IF(F476="Qty=",CONCATENATE("$",ROUND(K476*(1-$H$1784),2)," with ",($H$1784*100),"% discount"),CONCATENATE("$",ROUND(K476*(1-$H$1784),2)," with ",(($H$1784*100+F476*100)-($H$1784*100*F476)),IF(F476&gt;0,"% discounts",IF($H$1781&gt;0,"% discounts","% discount"))))))</f>
        <v/>
      </c>
      <c r="N476" s="832"/>
      <c r="O476" s="832"/>
      <c r="P476" s="832"/>
      <c r="Q476" s="832"/>
      <c r="R476" s="832"/>
      <c r="S476" s="303">
        <f t="shared" si="1244"/>
        <v>0</v>
      </c>
      <c r="T476" s="541">
        <f>VLOOKUP(A476,'Discount Lookup'!D:E,2,FALSE)*G476</f>
        <v>0</v>
      </c>
      <c r="U476" s="83">
        <f>VLOOKUP(A476,'Discount Lookup'!G:H,2,FALSE)*G476</f>
        <v>0</v>
      </c>
      <c r="V476" s="100">
        <f>E476*($J$1782)*G476</f>
        <v>0</v>
      </c>
      <c r="W476" s="100">
        <f t="shared" si="1245"/>
        <v>0</v>
      </c>
      <c r="X476" s="100" t="b">
        <f>IF(G476&gt;0,IF(AD476="me","",G476))</f>
        <v>0</v>
      </c>
      <c r="Y476" s="201"/>
      <c r="Z476" s="829" t="str">
        <f t="shared" si="1238"/>
        <v/>
      </c>
      <c r="AA476" s="829"/>
      <c r="AB476" s="830" t="str">
        <f>IF(G476=0,"",IF(AD476="free","re-planting",IF(AD476="me","not NVP, by",IF($AD$8="yes",(VLOOKUP(A476,'Discount Lookup'!J:K,2)*G476*(1-$AC$1786)*(1+$AC$1788)),IF(AD476="NVP",(VLOOKUP(A476,'Discount Lookup'!J:K,2)*G476*(1-$AC$1786)*(1+$AC$1788)),IF(AD476="free","re-planting",IF(G476=0,"",IF($AD$8="",IF(AD476="me","not NVP, by",IF(AD476="",IF(G476&gt;0,(VLOOKUP(A476,'Discount Lookup'!J:K,2)*G476*(1-$AC$1786)*(1+$AC$1788)),""),"")),"not NVP, by"))))))))</f>
        <v/>
      </c>
      <c r="AC476" s="830"/>
      <c r="AD476" s="375" t="str">
        <f t="shared" si="1239"/>
        <v/>
      </c>
      <c r="AE476" s="833" t="str">
        <f t="shared" si="1100"/>
        <v/>
      </c>
      <c r="AF476" s="833"/>
      <c r="AG476" s="833"/>
      <c r="AH476" s="91">
        <f>IF(AD476="free",0,IF(AD476="me",0,IF(G476&gt;0,(VLOOKUP(A476,'Discount Lookup'!J:K,2)*G476),0)))</f>
        <v>0</v>
      </c>
      <c r="AI476" s="92" t="str">
        <f t="shared" si="1167"/>
        <v/>
      </c>
      <c r="AJ476" s="828" t="str">
        <f t="shared" si="1240"/>
        <v/>
      </c>
      <c r="AK476" s="828"/>
      <c r="AL476" s="313" t="str">
        <f t="shared" si="1199"/>
        <v/>
      </c>
      <c r="AM476" s="312"/>
      <c r="AN476" s="101"/>
      <c r="AO476" s="101"/>
      <c r="AP476" s="101"/>
      <c r="AQ476" s="101"/>
      <c r="AR476" s="101"/>
      <c r="AS476" s="101"/>
      <c r="AT476" s="101"/>
    </row>
    <row r="477" spans="1:48" ht="12.95" customHeight="1">
      <c r="A477" s="383">
        <v>15</v>
      </c>
      <c r="B477" s="158" t="s">
        <v>50</v>
      </c>
      <c r="C477" s="168" t="s">
        <v>1476</v>
      </c>
      <c r="D477" s="161" t="s">
        <v>54</v>
      </c>
      <c r="E477" s="162">
        <v>194.95</v>
      </c>
      <c r="F477" s="713" t="s">
        <v>1306</v>
      </c>
      <c r="G477" s="357">
        <v>0</v>
      </c>
      <c r="H477" s="748" t="str">
        <f t="shared" si="1241"/>
        <v/>
      </c>
      <c r="I477" s="592">
        <f t="shared" si="1242"/>
        <v>0</v>
      </c>
      <c r="J477" s="592">
        <f>IF(H477="warranty",0,(I477*($J$1782)))</f>
        <v>0</v>
      </c>
      <c r="K477" s="834">
        <f t="shared" si="1243"/>
        <v>0</v>
      </c>
      <c r="L477" s="834"/>
      <c r="M477" s="832" t="str">
        <f>IF($H$1784=0,"",IF(G477=0,"",IF(F477="Qty=",CONCATENATE("$",ROUND(K477*(1-$H$1784),2)," with ",($H$1784*100),"% discount"),CONCATENATE("$",ROUND(K477*(1-$H$1784),2)," with ",(($H$1784*100+F477*100)-($H$1784*100*F477)),IF(F477&gt;0,"% discounts",IF($H$1781&gt;0,"% discounts","% discount"))))))</f>
        <v/>
      </c>
      <c r="N477" s="832"/>
      <c r="O477" s="832"/>
      <c r="P477" s="832"/>
      <c r="Q477" s="832"/>
      <c r="R477" s="832"/>
      <c r="S477" s="303">
        <f t="shared" si="1244"/>
        <v>0</v>
      </c>
      <c r="T477" s="541">
        <f>VLOOKUP(A477,'Discount Lookup'!D:E,2,FALSE)*G477</f>
        <v>0</v>
      </c>
      <c r="U477" s="83">
        <f>VLOOKUP(A477,'Discount Lookup'!G:H,2,FALSE)*G477</f>
        <v>0</v>
      </c>
      <c r="V477" s="100">
        <f>E477*($J$1782)*G477</f>
        <v>0</v>
      </c>
      <c r="W477" s="100">
        <f t="shared" si="1245"/>
        <v>0</v>
      </c>
      <c r="X477" s="100" t="b">
        <f>IF(G477&gt;0,IF(AD477="me","",G477))</f>
        <v>0</v>
      </c>
      <c r="Y477" s="201"/>
      <c r="Z477" s="829" t="str">
        <f t="shared" si="1238"/>
        <v/>
      </c>
      <c r="AA477" s="829"/>
      <c r="AB477" s="830" t="str">
        <f>IF(G477=0,"",IF(AD477="free","re-planting",IF(AD477="me","not NVP, by",IF($AD$8="yes",(VLOOKUP(A477,'Discount Lookup'!J:K,2)*G477*(1-$AC$1786)*(1+$AC$1788)),IF(AD477="NVP",(VLOOKUP(A477,'Discount Lookup'!J:K,2)*G477*(1-$AC$1786)*(1+$AC$1788)),IF(AD477="free","re-planting",IF(G477=0,"",IF($AD$8="",IF(AD477="me","not NVP, by",IF(AD477="",IF(G477&gt;0,(VLOOKUP(A477,'Discount Lookup'!J:K,2)*G477*(1-$AC$1786)*(1+$AC$1788)),""),"")),"not NVP, by"))))))))</f>
        <v/>
      </c>
      <c r="AC477" s="830"/>
      <c r="AD477" s="375" t="str">
        <f t="shared" si="1239"/>
        <v/>
      </c>
      <c r="AE477" s="833" t="str">
        <f t="shared" si="1100"/>
        <v/>
      </c>
      <c r="AF477" s="833"/>
      <c r="AG477" s="833"/>
      <c r="AH477" s="91">
        <f>IF(AD477="free",0,IF(AD477="me",0,IF(G477&gt;0,(VLOOKUP(A477,'Discount Lookup'!J:K,2)*G477),0)))</f>
        <v>0</v>
      </c>
      <c r="AI477" s="92" t="str">
        <f t="shared" si="1167"/>
        <v/>
      </c>
      <c r="AJ477" s="828" t="str">
        <f t="shared" si="1240"/>
        <v/>
      </c>
      <c r="AK477" s="828"/>
      <c r="AL477" s="313" t="str">
        <f t="shared" si="1199"/>
        <v/>
      </c>
      <c r="AM477" s="312"/>
      <c r="AN477" s="101"/>
      <c r="AO477" s="101"/>
      <c r="AP477" s="101"/>
      <c r="AQ477" s="101"/>
      <c r="AR477" s="101"/>
      <c r="AS477" s="101"/>
      <c r="AT477" s="101"/>
    </row>
    <row r="478" spans="1:48" ht="12.95" customHeight="1">
      <c r="A478" s="477"/>
      <c r="B478" s="148" t="s">
        <v>347</v>
      </c>
      <c r="D478" s="118"/>
      <c r="E478" s="119"/>
      <c r="G478" s="358"/>
      <c r="H478" s="745"/>
      <c r="I478" s="119"/>
      <c r="J478" s="119"/>
      <c r="K478" s="609"/>
      <c r="L478" s="609"/>
      <c r="M478" s="121"/>
      <c r="N478" s="122" t="s">
        <v>176</v>
      </c>
      <c r="O478" s="123"/>
      <c r="P478" s="124"/>
      <c r="Q478" s="124"/>
      <c r="R478" s="83"/>
      <c r="S478" s="82">
        <f>E478*G478</f>
        <v>0</v>
      </c>
      <c r="T478" s="540"/>
      <c r="U478" s="83"/>
      <c r="V478" s="100" t="b">
        <f>IF(G478&gt;0,IF(AD478="me","",G478))</f>
        <v>0</v>
      </c>
      <c r="W478" s="100"/>
      <c r="X478" s="100"/>
      <c r="Y478" s="201"/>
      <c r="Z478" s="829" t="str">
        <f t="shared" si="1238"/>
        <v/>
      </c>
      <c r="AA478" s="829"/>
      <c r="AB478" s="830" t="str">
        <f>IF(G478=0,"",IF(AD478="free","re-planting",IF(AD478="me","not NVP, by",IF($AD$8="yes",(VLOOKUP(A478,'Discount Lookup'!J:K,2)*G478*(1-$AC$1786)*(1+$AC$1788)),IF(AD478="NVP",(VLOOKUP(A478,'Discount Lookup'!J:K,2)*G478*(1-$AC$1786)*(1+$AC$1788)),IF(AD478="free","re-planting",IF(G478=0,"",IF($AD$8="",IF(AD478="me","not NVP, by",IF(AD478="",IF(G478&gt;0,(VLOOKUP(A478,'Discount Lookup'!J:K,2)*G478*(1-$AC$1786)*(1+$AC$1788)),""),"")),"not NVP, by"))))))))</f>
        <v/>
      </c>
      <c r="AC478" s="830"/>
      <c r="AD478" s="375" t="str">
        <f t="shared" si="1239"/>
        <v/>
      </c>
      <c r="AE478" s="833" t="str">
        <f t="shared" si="1100"/>
        <v/>
      </c>
      <c r="AF478" s="833"/>
      <c r="AG478" s="833"/>
      <c r="AH478" s="91">
        <f>IF(AD478="free",0,IF(AD478="me",0,IF(G478&gt;0,(VLOOKUP(A478,'Discount Lookup'!J:K,2)*G478),0)))</f>
        <v>0</v>
      </c>
      <c r="AI478" s="92" t="str">
        <f t="shared" si="1167"/>
        <v/>
      </c>
      <c r="AJ478" s="828" t="str">
        <f t="shared" si="1240"/>
        <v/>
      </c>
      <c r="AK478" s="828"/>
      <c r="AL478" s="313" t="str">
        <f t="shared" si="1199"/>
        <v/>
      </c>
      <c r="AM478" s="312"/>
      <c r="AN478" s="101"/>
      <c r="AO478" s="101"/>
      <c r="AP478" s="101"/>
      <c r="AQ478" s="101"/>
      <c r="AR478" s="101"/>
      <c r="AS478" s="101"/>
      <c r="AT478" s="101"/>
    </row>
    <row r="479" spans="1:48" ht="12.95" customHeight="1">
      <c r="A479" s="889" t="s">
        <v>348</v>
      </c>
      <c r="B479" s="890"/>
      <c r="C479" s="890"/>
      <c r="D479" s="890"/>
      <c r="E479" s="890"/>
      <c r="F479" s="890"/>
      <c r="G479" s="890"/>
      <c r="H479" s="774" t="s">
        <v>344</v>
      </c>
      <c r="I479" s="349" t="s">
        <v>280</v>
      </c>
      <c r="J479" s="157"/>
      <c r="K479" s="611" t="s">
        <v>45</v>
      </c>
      <c r="L479" s="630" t="s">
        <v>46</v>
      </c>
      <c r="M479" s="157"/>
      <c r="N479" s="158" t="s">
        <v>69</v>
      </c>
      <c r="O479" s="158"/>
      <c r="P479" s="164"/>
      <c r="Q479" s="164"/>
      <c r="R479" s="157"/>
      <c r="S479" s="170"/>
      <c r="T479" s="547"/>
      <c r="U479" s="171"/>
      <c r="V479" s="100" t="b">
        <f>IF(G479&gt;0,IF(AD479="me","",G479))</f>
        <v>0</v>
      </c>
      <c r="W479" s="100"/>
      <c r="X479" s="100"/>
      <c r="Y479" s="201"/>
      <c r="Z479" s="829" t="str">
        <f t="shared" si="1238"/>
        <v/>
      </c>
      <c r="AA479" s="829"/>
      <c r="AB479" s="830" t="str">
        <f>IF(G479=0,"",IF(AD479="free","re-planting",IF(AD479="me","not NVP, by",IF($AD$8="yes",(VLOOKUP(A479,'Discount Lookup'!J:K,2)*G479*(1-$AC$1786)*(1+$AC$1788)),IF(AD479="NVP",(VLOOKUP(A479,'Discount Lookup'!J:K,2)*G479*(1-$AC$1786)*(1+$AC$1788)),IF(AD479="free","re-planting",IF(G479=0,"",IF($AD$8="",IF(AD479="me","not NVP, by",IF(AD479="",IF(G479&gt;0,(VLOOKUP(A479,'Discount Lookup'!J:K,2)*G479*(1-$AC$1786)*(1+$AC$1788)),""),"")),"not NVP, by"))))))))</f>
        <v/>
      </c>
      <c r="AC479" s="830"/>
      <c r="AD479" s="375" t="str">
        <f t="shared" si="1239"/>
        <v/>
      </c>
      <c r="AE479" s="833" t="str">
        <f t="shared" ref="AE479:AE527" si="1246">IF(G479&gt;0,(CONCATENATE((G479)," quantity, ",(A479)," ",B479)),"")</f>
        <v/>
      </c>
      <c r="AF479" s="833"/>
      <c r="AG479" s="833"/>
      <c r="AH479" s="91">
        <f>IF(AD479="free",0,IF(AD479="me",0,IF(G479&gt;0,(VLOOKUP(A479,'Discount Lookup'!J:K,2)*G479),0)))</f>
        <v>0</v>
      </c>
      <c r="AI479" s="92" t="str">
        <f t="shared" si="1167"/>
        <v/>
      </c>
      <c r="AJ479" s="828" t="str">
        <f t="shared" si="1240"/>
        <v/>
      </c>
      <c r="AK479" s="828"/>
      <c r="AL479" s="313" t="str">
        <f t="shared" si="1199"/>
        <v/>
      </c>
      <c r="AM479" s="312"/>
      <c r="AN479" s="101"/>
      <c r="AO479" s="101"/>
      <c r="AP479" s="101"/>
      <c r="AQ479" s="101"/>
      <c r="AR479" s="101"/>
      <c r="AS479" s="101"/>
      <c r="AT479" s="101"/>
    </row>
    <row r="480" spans="1:48" ht="12.95" customHeight="1">
      <c r="A480" s="383">
        <v>15</v>
      </c>
      <c r="B480" s="158" t="s">
        <v>50</v>
      </c>
      <c r="C480" s="160" t="s">
        <v>1470</v>
      </c>
      <c r="D480" s="161" t="s">
        <v>54</v>
      </c>
      <c r="E480" s="162">
        <v>160.94999999999999</v>
      </c>
      <c r="F480" s="713" t="s">
        <v>1306</v>
      </c>
      <c r="G480" s="357">
        <v>0</v>
      </c>
      <c r="H480" s="748" t="str">
        <f t="shared" ref="H480:H481" si="1247">IF(G480=0,"",IF(F480="Qty=",IF(G480=1,"plant","plants"),IF(F480&gt;0.0001,"warranty","Error")))</f>
        <v/>
      </c>
      <c r="I480" s="592">
        <f t="shared" ref="I480:I481" si="1248">IF(F480="Qty=",(E480*G480),((E480*(1-F480))*G480))</f>
        <v>0</v>
      </c>
      <c r="J480" s="592">
        <f>IF(H480="warranty",0,(I480*($J$1782)))</f>
        <v>0</v>
      </c>
      <c r="K480" s="834">
        <f t="shared" ref="K480:K483" si="1249">I480+J480</f>
        <v>0</v>
      </c>
      <c r="L480" s="834"/>
      <c r="M480" s="832" t="str">
        <f>IF($H$1784=0,"",IF(G480=0,"",IF(F480="Qty=",CONCATENATE("$",ROUND(K480*(1-$H$1784),2)," with ",($H$1784*100),"% discount"),CONCATENATE("$",ROUND(K480*(1-$H$1784),2)," with ",(($H$1784*100+F480*100)-($H$1784*100*F480)),IF(F480&gt;0,"% discounts",IF($H$1781&gt;0,"% discounts","% discount"))))))</f>
        <v/>
      </c>
      <c r="N480" s="832"/>
      <c r="O480" s="832"/>
      <c r="P480" s="832"/>
      <c r="Q480" s="832"/>
      <c r="R480" s="832"/>
      <c r="S480" s="303">
        <f t="shared" ref="S480:S481" si="1250">E480*G480</f>
        <v>0</v>
      </c>
      <c r="T480" s="541">
        <f>VLOOKUP(A480,'Discount Lookup'!D:E,2,FALSE)*G480</f>
        <v>0</v>
      </c>
      <c r="U480" s="83">
        <f>VLOOKUP(A480,'Discount Lookup'!G:H,2,FALSE)*G480</f>
        <v>0</v>
      </c>
      <c r="V480" s="100">
        <f>E480*($J$1782)*G480</f>
        <v>0</v>
      </c>
      <c r="W480" s="100">
        <f t="shared" ref="W480:W481" si="1251">I480</f>
        <v>0</v>
      </c>
      <c r="X480" s="100" t="b">
        <f t="shared" ref="X480:X481" si="1252">IF(G480&gt;0,IF(AD480="me","",G480))</f>
        <v>0</v>
      </c>
      <c r="Y480" s="201"/>
      <c r="Z480" s="829" t="str">
        <f t="shared" si="1238"/>
        <v/>
      </c>
      <c r="AA480" s="829"/>
      <c r="AB480" s="830" t="str">
        <f>IF(G480=0,"",IF(AD480="free","re-planting",IF(AD480="me","not NVP, by",IF($AD$8="yes",(VLOOKUP(A480,'Discount Lookup'!J:K,2)*G480*(1-$AC$1786)*(1+$AC$1788)),IF(AD480="NVP",(VLOOKUP(A480,'Discount Lookup'!J:K,2)*G480*(1-$AC$1786)*(1+$AC$1788)),IF(AD480="free","re-planting",IF(G480=0,"",IF($AD$8="",IF(AD480="me","not NVP, by",IF(AD480="",IF(G480&gt;0,(VLOOKUP(A480,'Discount Lookup'!J:K,2)*G480*(1-$AC$1786)*(1+$AC$1788)),""),"")),"not NVP, by"))))))))</f>
        <v/>
      </c>
      <c r="AC480" s="830"/>
      <c r="AD480" s="375" t="str">
        <f t="shared" si="1239"/>
        <v/>
      </c>
      <c r="AE480" s="833" t="str">
        <f t="shared" si="1246"/>
        <v/>
      </c>
      <c r="AF480" s="833"/>
      <c r="AG480" s="833"/>
      <c r="AH480" s="91">
        <f>IF(AD480="free",0,IF(AD480="me",0,IF(G480&gt;0,(VLOOKUP(A480,'Discount Lookup'!J:K,2)*G480),0)))</f>
        <v>0</v>
      </c>
      <c r="AI480" s="92" t="str">
        <f t="shared" si="1167"/>
        <v/>
      </c>
      <c r="AJ480" s="828" t="str">
        <f t="shared" si="1240"/>
        <v/>
      </c>
      <c r="AK480" s="828"/>
      <c r="AL480" s="313" t="str">
        <f t="shared" si="1199"/>
        <v/>
      </c>
      <c r="AM480" s="312"/>
      <c r="AN480" s="101"/>
      <c r="AO480" s="101"/>
      <c r="AP480" s="101"/>
      <c r="AQ480" s="101"/>
      <c r="AR480" s="101"/>
      <c r="AS480" s="101"/>
      <c r="AT480" s="101"/>
    </row>
    <row r="481" spans="1:46" ht="12.95" customHeight="1">
      <c r="A481" s="383">
        <v>15</v>
      </c>
      <c r="B481" s="158" t="s">
        <v>50</v>
      </c>
      <c r="C481" s="160" t="s">
        <v>1288</v>
      </c>
      <c r="D481" s="161" t="s">
        <v>54</v>
      </c>
      <c r="E481" s="162">
        <v>169.95</v>
      </c>
      <c r="F481" s="713" t="s">
        <v>1306</v>
      </c>
      <c r="G481" s="357">
        <v>0</v>
      </c>
      <c r="H481" s="748" t="str">
        <f t="shared" si="1247"/>
        <v/>
      </c>
      <c r="I481" s="592">
        <f t="shared" si="1248"/>
        <v>0</v>
      </c>
      <c r="J481" s="592">
        <f>IF(H481="warranty",0,(I481*($J$1782)))</f>
        <v>0</v>
      </c>
      <c r="K481" s="834">
        <f t="shared" si="1249"/>
        <v>0</v>
      </c>
      <c r="L481" s="834"/>
      <c r="M481" s="832" t="str">
        <f>IF($H$1784=0,"",IF(G481=0,"",IF(F481="Qty=",CONCATENATE("$",ROUND(K481*(1-$H$1784),2)," with ",($H$1784*100),"% discount"),CONCATENATE("$",ROUND(K481*(1-$H$1784),2)," with ",(($H$1784*100+F481*100)-($H$1784*100*F481)),IF(F481&gt;0,"% discounts",IF($H$1781&gt;0,"% discounts","% discount"))))))</f>
        <v/>
      </c>
      <c r="N481" s="832"/>
      <c r="O481" s="832"/>
      <c r="P481" s="832"/>
      <c r="Q481" s="832"/>
      <c r="R481" s="832"/>
      <c r="S481" s="303">
        <f t="shared" si="1250"/>
        <v>0</v>
      </c>
      <c r="T481" s="541">
        <f>VLOOKUP(A481,'Discount Lookup'!D:E,2,FALSE)*G481</f>
        <v>0</v>
      </c>
      <c r="U481" s="83">
        <f>VLOOKUP(A481,'Discount Lookup'!G:H,2,FALSE)*G481</f>
        <v>0</v>
      </c>
      <c r="V481" s="100">
        <f>E481*($J$1782)*G481</f>
        <v>0</v>
      </c>
      <c r="W481" s="100">
        <f t="shared" si="1251"/>
        <v>0</v>
      </c>
      <c r="X481" s="100" t="b">
        <f t="shared" si="1252"/>
        <v>0</v>
      </c>
      <c r="Y481" s="201"/>
      <c r="Z481" s="829" t="str">
        <f t="shared" si="1238"/>
        <v/>
      </c>
      <c r="AA481" s="829"/>
      <c r="AB481" s="830" t="str">
        <f>IF(G481=0,"",IF(AD481="free","re-planting",IF(AD481="me","not NVP, by",IF($AD$8="yes",(VLOOKUP(A481,'Discount Lookup'!J:K,2)*G481*(1-$AC$1786)*(1+$AC$1788)),IF(AD481="NVP",(VLOOKUP(A481,'Discount Lookup'!J:K,2)*G481*(1-$AC$1786)*(1+$AC$1788)),IF(AD481="free","re-planting",IF(G481=0,"",IF($AD$8="",IF(AD481="me","not NVP, by",IF(AD481="",IF(G481&gt;0,(VLOOKUP(A481,'Discount Lookup'!J:K,2)*G481*(1-$AC$1786)*(1+$AC$1788)),""),"")),"not NVP, by"))))))))</f>
        <v/>
      </c>
      <c r="AC481" s="830"/>
      <c r="AD481" s="375" t="str">
        <f t="shared" si="1239"/>
        <v/>
      </c>
      <c r="AE481" s="833" t="str">
        <f t="shared" si="1246"/>
        <v/>
      </c>
      <c r="AF481" s="833"/>
      <c r="AG481" s="833"/>
      <c r="AH481" s="91">
        <f>IF(AD481="free",0,IF(AD481="me",0,IF(G481&gt;0,(VLOOKUP(A481,'Discount Lookup'!J:K,2)*G481),0)))</f>
        <v>0</v>
      </c>
      <c r="AI481" s="92" t="str">
        <f t="shared" si="1167"/>
        <v/>
      </c>
      <c r="AJ481" s="828" t="str">
        <f t="shared" si="1240"/>
        <v/>
      </c>
      <c r="AK481" s="828"/>
      <c r="AL481" s="313" t="str">
        <f t="shared" si="1199"/>
        <v/>
      </c>
      <c r="AM481" s="312"/>
      <c r="AN481" s="101"/>
      <c r="AO481" s="101"/>
      <c r="AP481" s="101"/>
      <c r="AQ481" s="101"/>
      <c r="AR481" s="101"/>
      <c r="AS481" s="101"/>
      <c r="AT481" s="101"/>
    </row>
    <row r="482" spans="1:46" ht="12.95" customHeight="1">
      <c r="A482" s="383">
        <v>25</v>
      </c>
      <c r="B482" s="158" t="s">
        <v>50</v>
      </c>
      <c r="C482" s="160" t="s">
        <v>1471</v>
      </c>
      <c r="D482" s="161" t="s">
        <v>54</v>
      </c>
      <c r="E482" s="162">
        <v>293.95</v>
      </c>
      <c r="F482" s="713" t="s">
        <v>1306</v>
      </c>
      <c r="G482" s="357">
        <v>0</v>
      </c>
      <c r="H482" s="748" t="str">
        <f t="shared" ref="H482" si="1253">IF(G482=0,"",IF(F482="Qty=",IF(G482=1,"plant","plants"),IF(F482&gt;0.0001,"warranty","Error")))</f>
        <v/>
      </c>
      <c r="I482" s="592">
        <f t="shared" ref="I482" si="1254">IF(F482="Qty=",(E482*G482),((E482*(1-F482))*G482))</f>
        <v>0</v>
      </c>
      <c r="J482" s="592">
        <f>IF(H482="warranty",0,(I482*($J$1782)))</f>
        <v>0</v>
      </c>
      <c r="K482" s="834">
        <f t="shared" si="1249"/>
        <v>0</v>
      </c>
      <c r="L482" s="834"/>
      <c r="M482" s="832" t="str">
        <f>IF($H$1784=0,"",IF(G482=0,"",IF(F482="Qty=",CONCATENATE("$",ROUND(K482*(1-$H$1784),2)," with ",($H$1784*100),"% discount"),CONCATENATE("$",ROUND(K482*(1-$H$1784),2)," with ",(($H$1784*100+F482*100)-($H$1784*100*F482)),IF(F482&gt;0,"% discounts",IF($H$1781&gt;0,"% discounts","% discount"))))))</f>
        <v/>
      </c>
      <c r="N482" s="832"/>
      <c r="O482" s="832"/>
      <c r="P482" s="832"/>
      <c r="Q482" s="832"/>
      <c r="R482" s="832"/>
      <c r="S482" s="303">
        <f t="shared" ref="S482" si="1255">E482*G482</f>
        <v>0</v>
      </c>
      <c r="T482" s="541">
        <f>VLOOKUP(A482,'Discount Lookup'!D:E,2,FALSE)*G482</f>
        <v>0</v>
      </c>
      <c r="U482" s="83">
        <f>VLOOKUP(A482,'Discount Lookup'!G:H,2,FALSE)*G482</f>
        <v>0</v>
      </c>
      <c r="V482" s="100">
        <f>E482*($J$1782)*G482</f>
        <v>0</v>
      </c>
      <c r="W482" s="100">
        <f t="shared" ref="W482" si="1256">I482</f>
        <v>0</v>
      </c>
      <c r="X482" s="100" t="b">
        <f t="shared" ref="X482" si="1257">IF(G482&gt;0,IF(AD482="me","",G482))</f>
        <v>0</v>
      </c>
      <c r="Y482" s="201"/>
      <c r="Z482" s="829" t="str">
        <f t="shared" ref="Z482" si="1258">IF(G482=0,"",IF(AD482="me","",IF($AD$8="me","",IF(AD482="free","warranty",IF($AD$8="yes","NVP planting:","to NVP install:")))))</f>
        <v/>
      </c>
      <c r="AA482" s="829"/>
      <c r="AB482" s="830" t="str">
        <f>IF(G482=0,"",IF(AD482="free","re-planting",IF(AD482="me","not NVP, by",IF($AD$8="yes",(VLOOKUP(A482,'Discount Lookup'!J:K,2)*G482*(1-$AC$1786)*(1+$AC$1788)),IF(AD482="NVP",(VLOOKUP(A482,'Discount Lookup'!J:K,2)*G482*(1-$AC$1786)*(1+$AC$1788)),IF(AD482="free","re-planting",IF(G482=0,"",IF($AD$8="",IF(AD482="me","not NVP, by",IF(AD482="",IF(G482&gt;0,(VLOOKUP(A482,'Discount Lookup'!J:K,2)*G482*(1-$AC$1786)*(1+$AC$1788)),""),"")),"not NVP, by"))))))))</f>
        <v/>
      </c>
      <c r="AC482" s="830"/>
      <c r="AD482" s="375" t="str">
        <f t="shared" si="1239"/>
        <v/>
      </c>
      <c r="AE482" s="833" t="str">
        <f t="shared" ref="AE482" si="1259">IF(G482&gt;0,(CONCATENATE((G482)," quantity, ",(A482)," ",B482)),"")</f>
        <v/>
      </c>
      <c r="AF482" s="833"/>
      <c r="AG482" s="833"/>
      <c r="AH482" s="91">
        <f>IF(AD482="free",0,IF(AD482="me",0,IF(G482&gt;0,(VLOOKUP(A482,'Discount Lookup'!J:K,2)*G482),0)))</f>
        <v>0</v>
      </c>
      <c r="AI482" s="92" t="str">
        <f t="shared" si="1167"/>
        <v/>
      </c>
      <c r="AJ482" s="828" t="str">
        <f t="shared" ref="AJ482" si="1260">IF(G482=0,"",IF(AD482="me","  delivery-only",IF($AD$8="me","  delivery-only",CONCATENATE(" $",ROUND(AI482/G482,2)," each"))))</f>
        <v/>
      </c>
      <c r="AK482" s="828"/>
      <c r="AL482" s="313" t="str">
        <f t="shared" si="1199"/>
        <v/>
      </c>
      <c r="AM482" s="312"/>
      <c r="AN482" s="101"/>
      <c r="AO482" s="101"/>
      <c r="AP482" s="101"/>
      <c r="AQ482" s="101"/>
      <c r="AR482" s="101"/>
      <c r="AS482" s="101"/>
      <c r="AT482" s="101"/>
    </row>
    <row r="483" spans="1:46" ht="12.95" customHeight="1">
      <c r="A483" s="383">
        <v>30</v>
      </c>
      <c r="B483" s="158" t="s">
        <v>50</v>
      </c>
      <c r="C483" s="160" t="s">
        <v>1569</v>
      </c>
      <c r="D483" s="161" t="s">
        <v>63</v>
      </c>
      <c r="E483" s="162">
        <v>299.95</v>
      </c>
      <c r="F483" s="713" t="s">
        <v>1306</v>
      </c>
      <c r="G483" s="357">
        <v>0</v>
      </c>
      <c r="H483" s="748" t="str">
        <f t="shared" ref="H483" si="1261">IF(G483=0,"",IF(F483="Qty=",IF(G483=1,"plant","plants"),IF(F483&gt;0.0001,"warranty","Error")))</f>
        <v/>
      </c>
      <c r="I483" s="592">
        <f t="shared" ref="I483" si="1262">IF(F483="Qty=",(E483*G483),((E483*(1-F483))*G483))</f>
        <v>0</v>
      </c>
      <c r="J483" s="592">
        <f>IF(H483="warranty",0,(I483*($J$1782)))</f>
        <v>0</v>
      </c>
      <c r="K483" s="834">
        <f t="shared" si="1249"/>
        <v>0</v>
      </c>
      <c r="L483" s="834"/>
      <c r="M483" s="832" t="str">
        <f>IF($H$1784=0,"",IF(G483=0,"",IF(F483="Qty=",CONCATENATE("$",ROUND(K483*(1-$H$1784),2)," with ",($H$1784*100),"% discount"),CONCATENATE("$",ROUND(K483*(1-$H$1784),2)," with ",(($H$1784*100+F483*100)-($H$1784*100*F483)),IF(F483&gt;0,"% discounts",IF($H$1781&gt;0,"% discounts","% discount"))))))</f>
        <v/>
      </c>
      <c r="N483" s="832"/>
      <c r="O483" s="832"/>
      <c r="P483" s="832"/>
      <c r="Q483" s="832"/>
      <c r="R483" s="832"/>
      <c r="S483" s="303">
        <f t="shared" ref="S483" si="1263">E483*G483</f>
        <v>0</v>
      </c>
      <c r="T483" s="541">
        <f>VLOOKUP(A483,'Discount Lookup'!D:E,2,FALSE)*G483</f>
        <v>0</v>
      </c>
      <c r="U483" s="83">
        <f>VLOOKUP(A483,'Discount Lookup'!G:H,2,FALSE)*G483</f>
        <v>0</v>
      </c>
      <c r="V483" s="100">
        <f>E483*($J$1782)*G483</f>
        <v>0</v>
      </c>
      <c r="W483" s="100">
        <f t="shared" ref="W483" si="1264">I483</f>
        <v>0</v>
      </c>
      <c r="X483" s="100" t="b">
        <f t="shared" ref="X483" si="1265">IF(G483&gt;0,IF(AD483="me","",G483))</f>
        <v>0</v>
      </c>
      <c r="Y483" s="201"/>
      <c r="Z483" s="829" t="str">
        <f t="shared" ref="Z483" si="1266">IF(G483=0,"",IF(AD483="me","",IF($AD$8="me","",IF(AD483="free","warranty",IF($AD$8="yes","NVP planting:","to NVP install:")))))</f>
        <v/>
      </c>
      <c r="AA483" s="829"/>
      <c r="AB483" s="830" t="str">
        <f>IF(G483=0,"",IF(AD483="free","re-planting",IF(AD483="me","not NVP, by",IF($AD$8="yes",(VLOOKUP(A483,'Discount Lookup'!J:K,2)*G483*(1-$AC$1786)*(1+$AC$1788)),IF(AD483="NVP",(VLOOKUP(A483,'Discount Lookup'!J:K,2)*G483*(1-$AC$1786)*(1+$AC$1788)),IF(AD483="free","re-planting",IF(G483=0,"",IF($AD$8="",IF(AD483="me","not NVP, by",IF(AD483="",IF(G483&gt;0,(VLOOKUP(A483,'Discount Lookup'!J:K,2)*G483*(1-$AC$1786)*(1+$AC$1788)),""),"")),"not NVP, by"))))))))</f>
        <v/>
      </c>
      <c r="AC483" s="830"/>
      <c r="AD483" s="375" t="str">
        <f t="shared" si="1239"/>
        <v/>
      </c>
      <c r="AE483" s="833" t="str">
        <f t="shared" ref="AE483" si="1267">IF(G483&gt;0,(CONCATENATE((G483)," quantity, ",(A483)," ",B483)),"")</f>
        <v/>
      </c>
      <c r="AF483" s="833"/>
      <c r="AG483" s="833"/>
      <c r="AH483" s="91">
        <f>IF(AD483="free",0,IF(AD483="me",0,IF(G483&gt;0,(VLOOKUP(A483,'Discount Lookup'!J:K,2)*G483),0)))</f>
        <v>0</v>
      </c>
      <c r="AI483" s="92" t="str">
        <f t="shared" si="1167"/>
        <v/>
      </c>
      <c r="AJ483" s="828" t="str">
        <f t="shared" ref="AJ483" si="1268">IF(G483=0,"",IF(AD483="me","  delivery-only",IF($AD$8="me","  delivery-only",CONCATENATE(" $",ROUND(AI483/G483,2)," each"))))</f>
        <v/>
      </c>
      <c r="AK483" s="828"/>
      <c r="AL483" s="313" t="str">
        <f t="shared" si="1199"/>
        <v/>
      </c>
      <c r="AM483" s="312"/>
      <c r="AN483" s="101"/>
      <c r="AO483" s="101"/>
      <c r="AP483" s="101"/>
      <c r="AQ483" s="101"/>
      <c r="AR483" s="101"/>
      <c r="AS483" s="101"/>
      <c r="AT483" s="101"/>
    </row>
    <row r="484" spans="1:46" ht="12.95" customHeight="1">
      <c r="A484" s="479"/>
      <c r="B484" s="148" t="s">
        <v>349</v>
      </c>
      <c r="C484" s="104"/>
      <c r="D484" s="104"/>
      <c r="E484" s="105"/>
      <c r="G484" s="358"/>
      <c r="H484" s="743"/>
      <c r="I484" s="102"/>
      <c r="J484" s="102"/>
      <c r="K484" s="607"/>
      <c r="L484" s="607"/>
      <c r="M484" s="154"/>
      <c r="N484" s="154"/>
      <c r="O484" s="151"/>
      <c r="P484" s="152"/>
      <c r="Q484" s="152"/>
      <c r="R484" s="152"/>
      <c r="S484" s="82">
        <f t="shared" ref="S484" si="1269">E484*G484</f>
        <v>0</v>
      </c>
      <c r="T484" s="540"/>
      <c r="U484" s="83"/>
      <c r="V484" s="100" t="b">
        <f>IF(G484&gt;0,IF(AD484="me","",G484))</f>
        <v>0</v>
      </c>
      <c r="W484" s="100"/>
      <c r="X484" s="100"/>
      <c r="Y484" s="201"/>
      <c r="Z484" s="829" t="str">
        <f t="shared" si="1238"/>
        <v/>
      </c>
      <c r="AA484" s="829"/>
      <c r="AB484" s="830" t="str">
        <f>IF(G484=0,"",IF(AD484="free","re-planting",IF(AD484="me","not NVP, by",IF($AD$8="yes",(VLOOKUP(A484,'Discount Lookup'!J:K,2)*G484*(1-$AC$1786)*(1+$AC$1788)),IF(AD484="NVP",(VLOOKUP(A484,'Discount Lookup'!J:K,2)*G484*(1-$AC$1786)*(1+$AC$1788)),IF(AD484="free","re-planting",IF(G484=0,"",IF($AD$8="",IF(AD484="me","not NVP, by",IF(AD484="",IF(G484&gt;0,(VLOOKUP(A484,'Discount Lookup'!J:K,2)*G484*(1-$AC$1786)*(1+$AC$1788)),""),"")),"not NVP, by"))))))))</f>
        <v/>
      </c>
      <c r="AC484" s="830"/>
      <c r="AD484" s="375" t="str">
        <f t="shared" si="1239"/>
        <v/>
      </c>
      <c r="AE484" s="833" t="str">
        <f t="shared" si="1246"/>
        <v/>
      </c>
      <c r="AF484" s="833"/>
      <c r="AG484" s="833"/>
      <c r="AH484" s="91">
        <f>IF(AD484="free",0,IF(AD484="me",0,IF(G484&gt;0,(VLOOKUP(A484,'Discount Lookup'!J:K,2)*G484),0)))</f>
        <v>0</v>
      </c>
      <c r="AI484" s="92" t="str">
        <f t="shared" si="1167"/>
        <v/>
      </c>
      <c r="AJ484" s="828" t="str">
        <f t="shared" si="1240"/>
        <v/>
      </c>
      <c r="AK484" s="828"/>
      <c r="AL484" s="313" t="str">
        <f t="shared" si="1199"/>
        <v/>
      </c>
      <c r="AM484" s="312"/>
      <c r="AN484" s="101"/>
      <c r="AO484" s="101"/>
      <c r="AP484" s="101"/>
      <c r="AQ484" s="101"/>
      <c r="AR484" s="101"/>
      <c r="AS484" s="101"/>
      <c r="AT484" s="101"/>
    </row>
    <row r="485" spans="1:46" ht="12.95" customHeight="1">
      <c r="A485" s="889" t="s">
        <v>350</v>
      </c>
      <c r="B485" s="890"/>
      <c r="C485" s="890"/>
      <c r="D485" s="890"/>
      <c r="E485" s="890"/>
      <c r="F485" s="890"/>
      <c r="G485" s="890"/>
      <c r="H485" s="774" t="s">
        <v>344</v>
      </c>
      <c r="I485" s="349" t="s">
        <v>280</v>
      </c>
      <c r="J485" s="157"/>
      <c r="K485" s="611" t="s">
        <v>45</v>
      </c>
      <c r="L485" s="630" t="s">
        <v>46</v>
      </c>
      <c r="M485" s="157"/>
      <c r="N485" s="158" t="s">
        <v>69</v>
      </c>
      <c r="O485" s="158"/>
      <c r="P485" s="164"/>
      <c r="Q485" s="164"/>
      <c r="R485" s="157"/>
      <c r="S485" s="170"/>
      <c r="T485" s="547"/>
      <c r="U485" s="171"/>
      <c r="V485" s="100" t="b">
        <f>IF(G485&gt;0,IF(AD485="me","",G485))</f>
        <v>0</v>
      </c>
      <c r="W485" s="100"/>
      <c r="X485" s="100"/>
      <c r="Y485" s="201"/>
      <c r="Z485" s="829" t="str">
        <f t="shared" si="1238"/>
        <v/>
      </c>
      <c r="AA485" s="829"/>
      <c r="AB485" s="830" t="str">
        <f>IF(G485=0,"",IF(AD485="free","re-planting",IF(AD485="me","not NVP, by",IF($AD$8="yes",(VLOOKUP(A485,'Discount Lookup'!J:K,2)*G485*(1-$AC$1786)*(1+$AC$1788)),IF(AD485="NVP",(VLOOKUP(A485,'Discount Lookup'!J:K,2)*G485*(1-$AC$1786)*(1+$AC$1788)),IF(AD485="free","re-planting",IF(G485=0,"",IF($AD$8="",IF(AD485="me","not NVP, by",IF(AD485="",IF(G485&gt;0,(VLOOKUP(A485,'Discount Lookup'!J:K,2)*G485*(1-$AC$1786)*(1+$AC$1788)),""),"")),"not NVP, by"))))))))</f>
        <v/>
      </c>
      <c r="AC485" s="830"/>
      <c r="AD485" s="375" t="str">
        <f t="shared" si="1239"/>
        <v/>
      </c>
      <c r="AE485" s="833" t="str">
        <f>IF(G485&gt;0,(CONCATENATE((G485)," quantity, ",(A485)," ",B485)),"")</f>
        <v/>
      </c>
      <c r="AF485" s="833"/>
      <c r="AG485" s="833"/>
      <c r="AH485" s="91" t="str">
        <f>IF(AD485="free",0,IF(AD485="me","",IF(G485&gt;0,(VLOOKUP(A485,'Discount Lookup'!J:K,2)*G485),"")))</f>
        <v/>
      </c>
      <c r="AI485" s="92" t="str">
        <f t="shared" si="1167"/>
        <v/>
      </c>
      <c r="AJ485" s="828" t="str">
        <f t="shared" si="1240"/>
        <v/>
      </c>
      <c r="AK485" s="828"/>
      <c r="AL485" s="313" t="str">
        <f t="shared" si="1199"/>
        <v/>
      </c>
      <c r="AM485" s="312"/>
      <c r="AN485" s="101"/>
      <c r="AO485" s="101"/>
      <c r="AP485" s="101"/>
      <c r="AQ485" s="101"/>
      <c r="AR485" s="101"/>
      <c r="AS485" s="101"/>
      <c r="AT485" s="101"/>
    </row>
    <row r="486" spans="1:46" ht="12.95" customHeight="1">
      <c r="A486" s="383">
        <v>10</v>
      </c>
      <c r="B486" s="158" t="s">
        <v>50</v>
      </c>
      <c r="C486" s="160" t="s">
        <v>1317</v>
      </c>
      <c r="D486" s="161" t="s">
        <v>87</v>
      </c>
      <c r="E486" s="162">
        <v>177.95</v>
      </c>
      <c r="F486" s="713" t="s">
        <v>1306</v>
      </c>
      <c r="G486" s="357">
        <v>0</v>
      </c>
      <c r="H486" s="748" t="str">
        <f t="shared" ref="H486" si="1270">IF(G486=0,"",IF(F486="Qty=",IF(G486=1,"plant","plants"),IF(F486&gt;0.0001,"warranty","Error")))</f>
        <v/>
      </c>
      <c r="I486" s="592">
        <f t="shared" ref="I486" si="1271">IF(F486="Qty=",(E486*G486),((E486*(1-F486))*G486))</f>
        <v>0</v>
      </c>
      <c r="J486" s="592">
        <f>IF(H486="warranty",0,(I486*($J$1782)))</f>
        <v>0</v>
      </c>
      <c r="K486" s="834">
        <f t="shared" ref="K486:K489" si="1272">I486+J486</f>
        <v>0</v>
      </c>
      <c r="L486" s="834"/>
      <c r="M486" s="832" t="str">
        <f>IF($H$1784=0,"",IF(G486=0,"",IF(F486="Qty=",CONCATENATE("$",ROUND(K486*(1-$H$1784),2)," with ",($H$1784*100),"% discount"),CONCATENATE("$",ROUND(K486*(1-$H$1784),2)," with ",(($H$1784*100+F486*100)-($H$1784*100*F486)),IF(F486&gt;0,"% discounts",IF($H$1781&gt;0,"% discounts","% discount"))))))</f>
        <v/>
      </c>
      <c r="N486" s="832"/>
      <c r="O486" s="832"/>
      <c r="P486" s="832"/>
      <c r="Q486" s="832"/>
      <c r="R486" s="832"/>
      <c r="S486" s="303">
        <f t="shared" ref="S486" si="1273">E486*G486</f>
        <v>0</v>
      </c>
      <c r="T486" s="541">
        <f>VLOOKUP(A486,'Discount Lookup'!D:E,2,FALSE)*G486</f>
        <v>0</v>
      </c>
      <c r="U486" s="83">
        <f>VLOOKUP(A486,'Discount Lookup'!G:H,2,FALSE)*G486</f>
        <v>0</v>
      </c>
      <c r="V486" s="100">
        <f>E486*($J$1782)*G486</f>
        <v>0</v>
      </c>
      <c r="W486" s="100">
        <f t="shared" ref="W486" si="1274">I486</f>
        <v>0</v>
      </c>
      <c r="X486" s="100" t="b">
        <f t="shared" ref="X486" si="1275">IF(G486&gt;0,IF(AD486="me","",G486))</f>
        <v>0</v>
      </c>
      <c r="Y486" s="201"/>
      <c r="Z486" s="829" t="str">
        <f t="shared" si="1238"/>
        <v/>
      </c>
      <c r="AA486" s="829"/>
      <c r="AB486" s="830" t="str">
        <f>IF(G486=0,"",IF(AD486="free","re-planting",IF(AD486="me","not NVP, by",IF($AD$8="yes",(VLOOKUP(A486,'Discount Lookup'!J:K,2)*G486*(1-$AC$1786)*(1+$AC$1788)),IF(AD486="NVP",(VLOOKUP(A486,'Discount Lookup'!J:K,2)*G486*(1-$AC$1786)*(1+$AC$1788)),IF(AD486="free","re-planting",IF(G486=0,"",IF($AD$8="",IF(AD486="me","not NVP, by",IF(AD486="",IF(G486&gt;0,(VLOOKUP(A486,'Discount Lookup'!J:K,2)*G486*(1-$AC$1786)*(1+$AC$1788)),""),"")),"not NVP, by"))))))))</f>
        <v/>
      </c>
      <c r="AC486" s="830"/>
      <c r="AD486" s="375" t="str">
        <f t="shared" ref="AD486" si="1276">IF(G486=0,"",IF($AD$8="me","me",IF(H486="warranty","free",IF($AD$8="yes","NVP",""))))</f>
        <v/>
      </c>
      <c r="AE486" s="833" t="str">
        <f t="shared" ref="AE486" si="1277">IF(G486&gt;0,(CONCATENATE((G486)," quantity, ",(A486)," ",B486)),"")</f>
        <v/>
      </c>
      <c r="AF486" s="833"/>
      <c r="AG486" s="833"/>
      <c r="AH486" s="91">
        <f>IF(AD486="free",0,IF(AD486="me",0,IF(G486&gt;0,(VLOOKUP(A486,'Discount Lookup'!J:K,2)*G486),0)))</f>
        <v>0</v>
      </c>
      <c r="AI486" s="92" t="str">
        <f t="shared" si="1167"/>
        <v/>
      </c>
      <c r="AJ486" s="828" t="str">
        <f t="shared" si="1240"/>
        <v/>
      </c>
      <c r="AK486" s="828"/>
      <c r="AL486" s="313" t="str">
        <f t="shared" si="1199"/>
        <v/>
      </c>
      <c r="AM486" s="312"/>
      <c r="AN486" s="101"/>
      <c r="AO486" s="101"/>
      <c r="AP486" s="101"/>
      <c r="AQ486" s="101"/>
      <c r="AR486" s="101"/>
      <c r="AS486" s="101"/>
      <c r="AT486" s="101"/>
    </row>
    <row r="487" spans="1:46" ht="12.95" customHeight="1">
      <c r="A487" s="383">
        <v>20</v>
      </c>
      <c r="B487" s="158" t="s">
        <v>50</v>
      </c>
      <c r="C487" s="160" t="s">
        <v>1582</v>
      </c>
      <c r="D487" s="161" t="s">
        <v>62</v>
      </c>
      <c r="E487" s="162">
        <v>224.95</v>
      </c>
      <c r="F487" s="713" t="s">
        <v>1306</v>
      </c>
      <c r="G487" s="357">
        <v>0</v>
      </c>
      <c r="H487" s="748" t="str">
        <f t="shared" ref="H487:H488" si="1278">IF(G487=0,"",IF(F487="Qty=",IF(G487=1,"plant","plants"),IF(F487&gt;0.0001,"warranty","Error")))</f>
        <v/>
      </c>
      <c r="I487" s="592">
        <f t="shared" ref="I487:I488" si="1279">IF(F487="Qty=",(E487*G487),((E487*(1-F487))*G487))</f>
        <v>0</v>
      </c>
      <c r="J487" s="592">
        <f>IF(H487="warranty",0,(I487*($J$1782)))</f>
        <v>0</v>
      </c>
      <c r="K487" s="834">
        <f t="shared" ref="K487:K488" si="1280">I487+J487</f>
        <v>0</v>
      </c>
      <c r="L487" s="834"/>
      <c r="M487" s="832" t="str">
        <f>IF($H$1784=0,"",IF(G487=0,"",IF(F487="Qty=",CONCATENATE("$",ROUND(K487*(1-$H$1784),2)," with ",($H$1784*100),"% discount"),CONCATENATE("$",ROUND(K487*(1-$H$1784),2)," with ",(($H$1784*100+F487*100)-($H$1784*100*F487)),IF(F487&gt;0,"% discounts",IF($H$1781&gt;0,"% discounts","% discount"))))))</f>
        <v/>
      </c>
      <c r="N487" s="832"/>
      <c r="O487" s="832"/>
      <c r="P487" s="832"/>
      <c r="Q487" s="832"/>
      <c r="R487" s="832"/>
      <c r="S487" s="303">
        <f t="shared" ref="S487:S488" si="1281">E487*G487</f>
        <v>0</v>
      </c>
      <c r="T487" s="541">
        <f>VLOOKUP(A487,'Discount Lookup'!D:E,2,FALSE)*G487</f>
        <v>0</v>
      </c>
      <c r="U487" s="83">
        <f>VLOOKUP(A487,'Discount Lookup'!G:H,2,FALSE)*G487</f>
        <v>0</v>
      </c>
      <c r="V487" s="100">
        <f>E487*($J$1782)*G487</f>
        <v>0</v>
      </c>
      <c r="W487" s="100">
        <f t="shared" ref="W487:W488" si="1282">I487</f>
        <v>0</v>
      </c>
      <c r="X487" s="100" t="b">
        <f t="shared" ref="X487:X488" si="1283">IF(G487&gt;0,IF(AD487="me","",G487))</f>
        <v>0</v>
      </c>
      <c r="Y487" s="201"/>
      <c r="Z487" s="829" t="str">
        <f t="shared" ref="Z487:Z488" si="1284">IF(G487=0,"",IF(AD487="me","",IF($AD$8="me","",IF(AD487="free","warranty",IF($AD$8="yes","NVP planting:","to NVP install:")))))</f>
        <v/>
      </c>
      <c r="AA487" s="829"/>
      <c r="AB487" s="830" t="str">
        <f>IF(G487=0,"",IF(AD487="free","re-planting",IF(AD487="me","not NVP, by",IF($AD$8="yes",(VLOOKUP(A487,'Discount Lookup'!J:K,2)*G487*(1-$AC$1786)*(1+$AC$1788)),IF(AD487="NVP",(VLOOKUP(A487,'Discount Lookup'!J:K,2)*G487*(1-$AC$1786)*(1+$AC$1788)),IF(AD487="free","re-planting",IF(G487=0,"",IF($AD$8="",IF(AD487="me","not NVP, by",IF(AD487="",IF(G487&gt;0,(VLOOKUP(A487,'Discount Lookup'!J:K,2)*G487*(1-$AC$1786)*(1+$AC$1788)),""),"")),"not NVP, by"))))))))</f>
        <v/>
      </c>
      <c r="AC487" s="830"/>
      <c r="AD487" s="375" t="str">
        <f t="shared" ref="AD487:AD488" si="1285">IF(G487=0,"",IF($AD$8="me","me",IF(H487="warranty","free",IF($AD$8="yes","NVP",""))))</f>
        <v/>
      </c>
      <c r="AE487" s="833" t="str">
        <f t="shared" ref="AE487:AE488" si="1286">IF(G487&gt;0,(CONCATENATE((G487)," quantity, ",(A487)," ",B487)),"")</f>
        <v/>
      </c>
      <c r="AF487" s="833"/>
      <c r="AG487" s="833"/>
      <c r="AH487" s="91">
        <f>IF(AD487="free",0,IF(AD487="me",0,IF(G487&gt;0,(VLOOKUP(A487,'Discount Lookup'!J:K,2)*G487),0)))</f>
        <v>0</v>
      </c>
      <c r="AI487" s="92" t="str">
        <f t="shared" si="1167"/>
        <v/>
      </c>
      <c r="AJ487" s="828" t="str">
        <f t="shared" ref="AJ487:AJ488" si="1287">IF(G487=0,"",IF(AD487="me","  delivery-only",IF($AD$8="me","  delivery-only",CONCATENATE(" $",ROUND(AI487/G487,2)," each"))))</f>
        <v/>
      </c>
      <c r="AK487" s="828"/>
      <c r="AL487" s="313" t="str">
        <f t="shared" si="1199"/>
        <v/>
      </c>
      <c r="AM487" s="312"/>
      <c r="AN487" s="101"/>
      <c r="AO487" s="101"/>
      <c r="AP487" s="101"/>
      <c r="AQ487" s="101"/>
      <c r="AR487" s="101"/>
      <c r="AS487" s="101"/>
      <c r="AT487" s="101"/>
    </row>
    <row r="488" spans="1:46" ht="12.95" customHeight="1">
      <c r="A488" s="383">
        <v>25</v>
      </c>
      <c r="B488" s="158" t="s">
        <v>50</v>
      </c>
      <c r="C488" s="160" t="s">
        <v>1607</v>
      </c>
      <c r="D488" s="161" t="s">
        <v>54</v>
      </c>
      <c r="E488" s="162">
        <v>299.95</v>
      </c>
      <c r="F488" s="713" t="s">
        <v>1306</v>
      </c>
      <c r="G488" s="357">
        <v>0</v>
      </c>
      <c r="H488" s="748" t="str">
        <f t="shared" si="1278"/>
        <v/>
      </c>
      <c r="I488" s="592">
        <f t="shared" si="1279"/>
        <v>0</v>
      </c>
      <c r="J488" s="592">
        <f>IF(H488="warranty",0,(I488*($J$1782)))</f>
        <v>0</v>
      </c>
      <c r="K488" s="834">
        <f t="shared" si="1280"/>
        <v>0</v>
      </c>
      <c r="L488" s="834"/>
      <c r="M488" s="832" t="str">
        <f>IF($H$1784=0,"",IF(G488=0,"",IF(F488="Qty=",CONCATENATE("$",ROUND(K488*(1-$H$1784),2)," with ",($H$1784*100),"% discount"),CONCATENATE("$",ROUND(K488*(1-$H$1784),2)," with ",(($H$1784*100+F488*100)-($H$1784*100*F488)),IF(F488&gt;0,"% discounts",IF($H$1781&gt;0,"% discounts","% discount"))))))</f>
        <v/>
      </c>
      <c r="N488" s="832"/>
      <c r="O488" s="832"/>
      <c r="P488" s="832"/>
      <c r="Q488" s="832"/>
      <c r="R488" s="832"/>
      <c r="S488" s="303">
        <f t="shared" si="1281"/>
        <v>0</v>
      </c>
      <c r="T488" s="541">
        <f>VLOOKUP(A488,'Discount Lookup'!D:E,2,FALSE)*G488</f>
        <v>0</v>
      </c>
      <c r="U488" s="83">
        <f>VLOOKUP(A488,'Discount Lookup'!G:H,2,FALSE)*G488</f>
        <v>0</v>
      </c>
      <c r="V488" s="100">
        <f>E488*($J$1782)*G488</f>
        <v>0</v>
      </c>
      <c r="W488" s="100">
        <f t="shared" si="1282"/>
        <v>0</v>
      </c>
      <c r="X488" s="100" t="b">
        <f t="shared" si="1283"/>
        <v>0</v>
      </c>
      <c r="Y488" s="201"/>
      <c r="Z488" s="829" t="str">
        <f t="shared" si="1284"/>
        <v/>
      </c>
      <c r="AA488" s="829"/>
      <c r="AB488" s="830" t="str">
        <f>IF(G488=0,"",IF(AD488="free","re-planting",IF(AD488="me","not NVP, by",IF($AD$8="yes",(VLOOKUP(A488,'Discount Lookup'!J:K,2)*G488*(1-$AC$1786)*(1+$AC$1788)),IF(AD488="NVP",(VLOOKUP(A488,'Discount Lookup'!J:K,2)*G488*(1-$AC$1786)*(1+$AC$1788)),IF(AD488="free","re-planting",IF(G488=0,"",IF($AD$8="",IF(AD488="me","not NVP, by",IF(AD488="",IF(G488&gt;0,(VLOOKUP(A488,'Discount Lookup'!J:K,2)*G488*(1-$AC$1786)*(1+$AC$1788)),""),"")),"not NVP, by"))))))))</f>
        <v/>
      </c>
      <c r="AC488" s="830"/>
      <c r="AD488" s="375" t="str">
        <f t="shared" si="1285"/>
        <v/>
      </c>
      <c r="AE488" s="833" t="str">
        <f t="shared" si="1286"/>
        <v/>
      </c>
      <c r="AF488" s="833"/>
      <c r="AG488" s="833"/>
      <c r="AH488" s="91">
        <f>IF(AD488="free",0,IF(AD488="me",0,IF(G488&gt;0,(VLOOKUP(A488,'Discount Lookup'!J:K,2)*G488),0)))</f>
        <v>0</v>
      </c>
      <c r="AI488" s="92" t="str">
        <f t="shared" si="1167"/>
        <v/>
      </c>
      <c r="AJ488" s="828" t="str">
        <f t="shared" si="1287"/>
        <v/>
      </c>
      <c r="AK488" s="828"/>
      <c r="AL488" s="313" t="str">
        <f t="shared" si="1199"/>
        <v/>
      </c>
      <c r="AM488" s="312"/>
      <c r="AN488" s="101"/>
      <c r="AO488" s="101"/>
      <c r="AP488" s="101"/>
      <c r="AQ488" s="101"/>
      <c r="AR488" s="101"/>
      <c r="AS488" s="101"/>
      <c r="AT488" s="101"/>
    </row>
    <row r="489" spans="1:46" ht="12.95" customHeight="1">
      <c r="A489" s="383">
        <v>25</v>
      </c>
      <c r="B489" s="158" t="s">
        <v>50</v>
      </c>
      <c r="C489" s="160" t="s">
        <v>1621</v>
      </c>
      <c r="D489" s="161" t="s">
        <v>90</v>
      </c>
      <c r="E489" s="162">
        <v>261.95</v>
      </c>
      <c r="F489" s="713" t="s">
        <v>1306</v>
      </c>
      <c r="G489" s="357">
        <v>0</v>
      </c>
      <c r="H489" s="748" t="str">
        <f t="shared" ref="H489" si="1288">IF(G489=0,"",IF(F489="Qty=",IF(G489=1,"plant","plants"),IF(F489&gt;0.0001,"warranty","Error")))</f>
        <v/>
      </c>
      <c r="I489" s="592">
        <f t="shared" ref="I489" si="1289">IF(F489="Qty=",(E489*G489),((E489*(1-F489))*G489))</f>
        <v>0</v>
      </c>
      <c r="J489" s="592">
        <f>IF(H489="warranty",0,(I489*($J$1782)))</f>
        <v>0</v>
      </c>
      <c r="K489" s="834">
        <f t="shared" si="1272"/>
        <v>0</v>
      </c>
      <c r="L489" s="834"/>
      <c r="M489" s="832" t="str">
        <f>IF($H$1784=0,"",IF(G489=0,"",IF(F489="Qty=",CONCATENATE("$",ROUND(K489*(1-$H$1784),2)," with ",($H$1784*100),"% discount"),CONCATENATE("$",ROUND(K489*(1-$H$1784),2)," with ",(($H$1784*100+F489*100)-($H$1784*100*F489)),IF(F489&gt;0,"% discounts",IF($H$1781&gt;0,"% discounts","% discount"))))))</f>
        <v/>
      </c>
      <c r="N489" s="832"/>
      <c r="O489" s="832"/>
      <c r="P489" s="832"/>
      <c r="Q489" s="832"/>
      <c r="R489" s="832"/>
      <c r="S489" s="303">
        <f t="shared" ref="S489" si="1290">E489*G489</f>
        <v>0</v>
      </c>
      <c r="T489" s="541">
        <f>VLOOKUP(A489,'Discount Lookup'!D:E,2,FALSE)*G489</f>
        <v>0</v>
      </c>
      <c r="U489" s="83">
        <f>VLOOKUP(A489,'Discount Lookup'!G:H,2,FALSE)*G489</f>
        <v>0</v>
      </c>
      <c r="V489" s="100">
        <f>E489*($J$1782)*G489</f>
        <v>0</v>
      </c>
      <c r="W489" s="100">
        <f t="shared" ref="W489" si="1291">I489</f>
        <v>0</v>
      </c>
      <c r="X489" s="100" t="b">
        <f t="shared" ref="X489" si="1292">IF(G489&gt;0,IF(AD489="me","",G489))</f>
        <v>0</v>
      </c>
      <c r="Y489" s="201"/>
      <c r="Z489" s="829" t="str">
        <f t="shared" si="1238"/>
        <v/>
      </c>
      <c r="AA489" s="829"/>
      <c r="AB489" s="830" t="str">
        <f>IF(G489=0,"",IF(AD489="free","re-planting",IF(AD489="me","not NVP, by",IF($AD$8="yes",(VLOOKUP(A489,'Discount Lookup'!J:K,2)*G489*(1-$AC$1786)*(1+$AC$1788)),IF(AD489="NVP",(VLOOKUP(A489,'Discount Lookup'!J:K,2)*G489*(1-$AC$1786)*(1+$AC$1788)),IF(AD489="free","re-planting",IF(G489=0,"",IF($AD$8="",IF(AD489="me","not NVP, by",IF(AD489="",IF(G489&gt;0,(VLOOKUP(A489,'Discount Lookup'!J:K,2)*G489*(1-$AC$1786)*(1+$AC$1788)),""),"")),"not NVP, by"))))))))</f>
        <v/>
      </c>
      <c r="AC489" s="830"/>
      <c r="AD489" s="375" t="str">
        <f t="shared" si="1239"/>
        <v/>
      </c>
      <c r="AE489" s="833" t="str">
        <f t="shared" ref="AE489" si="1293">IF(G489&gt;0,(CONCATENATE((G489)," quantity, ",(A489)," ",B489)),"")</f>
        <v/>
      </c>
      <c r="AF489" s="833"/>
      <c r="AG489" s="833"/>
      <c r="AH489" s="91">
        <f>IF(AD489="free",0,IF(AD489="me",0,IF(G489&gt;0,(VLOOKUP(A489,'Discount Lookup'!J:K,2)*G489),0)))</f>
        <v>0</v>
      </c>
      <c r="AI489" s="92" t="str">
        <f t="shared" si="1167"/>
        <v/>
      </c>
      <c r="AJ489" s="828" t="str">
        <f t="shared" si="1240"/>
        <v/>
      </c>
      <c r="AK489" s="828"/>
      <c r="AL489" s="313" t="str">
        <f t="shared" si="1199"/>
        <v/>
      </c>
      <c r="AM489" s="312"/>
      <c r="AN489" s="101"/>
      <c r="AO489" s="101"/>
      <c r="AP489" s="101"/>
      <c r="AQ489" s="101"/>
      <c r="AR489" s="101"/>
      <c r="AS489" s="101"/>
      <c r="AT489" s="101"/>
    </row>
    <row r="490" spans="1:46" ht="12.95" customHeight="1">
      <c r="A490" s="477"/>
      <c r="B490" s="148" t="s">
        <v>351</v>
      </c>
      <c r="D490" s="118"/>
      <c r="E490" s="119"/>
      <c r="G490" s="356"/>
      <c r="H490" s="745"/>
      <c r="I490" s="119"/>
      <c r="J490" s="119"/>
      <c r="K490" s="612" t="s">
        <v>352</v>
      </c>
      <c r="L490" s="632" t="s">
        <v>353</v>
      </c>
      <c r="M490" s="48"/>
      <c r="N490" s="48"/>
      <c r="O490" s="48"/>
      <c r="P490" s="124"/>
      <c r="Q490" s="124"/>
      <c r="R490" s="83"/>
      <c r="S490" s="82"/>
      <c r="T490" s="540"/>
      <c r="U490" s="83"/>
      <c r="V490" s="100" t="b">
        <f>IF(G490&gt;0,IF(AD490="me","",G490))</f>
        <v>0</v>
      </c>
      <c r="W490" s="100"/>
      <c r="X490" s="100"/>
      <c r="Y490" s="201"/>
      <c r="Z490" s="829" t="str">
        <f t="shared" si="1238"/>
        <v/>
      </c>
      <c r="AA490" s="829"/>
      <c r="AB490" s="830" t="str">
        <f>IF(G490=0,"",IF(AD490="free","re-planting",IF(AD490="me","not NVP, by",IF($AD$8="yes",(VLOOKUP(A490,'Discount Lookup'!J:K,2)*G490*(1-$AC$1786)*(1+$AC$1788)),IF(AD490="NVP",(VLOOKUP(A490,'Discount Lookup'!J:K,2)*G490*(1-$AC$1786)*(1+$AC$1788)),IF(AD490="free","re-planting",IF(G490=0,"",IF($AD$8="",IF(AD490="me","not NVP, by",IF(AD490="",IF(G490&gt;0,(VLOOKUP(A490,'Discount Lookup'!J:K,2)*G490*(1-$AC$1786)*(1+$AC$1788)),""),"")),"not NVP, by"))))))))</f>
        <v/>
      </c>
      <c r="AC490" s="830"/>
      <c r="AD490" s="375" t="str">
        <f t="shared" si="1239"/>
        <v/>
      </c>
      <c r="AE490" s="833" t="str">
        <f>IF(G490&gt;0,(CONCATENATE((G490)," quantity, ",(A490)," ",B490)),"")</f>
        <v/>
      </c>
      <c r="AF490" s="833"/>
      <c r="AG490" s="833"/>
      <c r="AH490" s="91" t="str">
        <f>IF(AD490="free",0,IF(AD490="me","",IF(G490&gt;0,(VLOOKUP(A490,'Discount Lookup'!J:K,2)*G490),"")))</f>
        <v/>
      </c>
      <c r="AI490" s="92" t="str">
        <f t="shared" si="1167"/>
        <v/>
      </c>
      <c r="AJ490" s="828" t="str">
        <f t="shared" si="1240"/>
        <v/>
      </c>
      <c r="AK490" s="828"/>
      <c r="AL490" s="313" t="str">
        <f t="shared" si="1199"/>
        <v/>
      </c>
      <c r="AM490" s="312"/>
      <c r="AN490" s="101"/>
      <c r="AO490" s="101"/>
      <c r="AP490" s="101"/>
      <c r="AQ490" s="101"/>
      <c r="AR490" s="101"/>
      <c r="AS490" s="101"/>
      <c r="AT490" s="101"/>
    </row>
    <row r="491" spans="1:46" ht="12.95" customHeight="1">
      <c r="A491" s="889" t="s">
        <v>1554</v>
      </c>
      <c r="B491" s="890"/>
      <c r="C491" s="890"/>
      <c r="D491" s="890"/>
      <c r="E491" s="890"/>
      <c r="F491" s="890"/>
      <c r="G491" s="890"/>
      <c r="H491" s="774" t="s">
        <v>344</v>
      </c>
      <c r="I491" s="164" t="s">
        <v>79</v>
      </c>
      <c r="J491" s="157"/>
      <c r="K491" s="611" t="s">
        <v>45</v>
      </c>
      <c r="L491" s="630" t="s">
        <v>46</v>
      </c>
      <c r="M491" s="157"/>
      <c r="N491" s="158" t="s">
        <v>1615</v>
      </c>
      <c r="O491" s="158"/>
      <c r="P491" s="164"/>
      <c r="Q491" s="804"/>
      <c r="R491" s="804"/>
      <c r="S491" s="804"/>
      <c r="T491" s="804"/>
      <c r="U491" s="804"/>
      <c r="V491" s="100"/>
      <c r="W491" s="100"/>
      <c r="X491" s="100"/>
      <c r="Y491" s="201"/>
      <c r="Z491" s="829" t="str">
        <f t="shared" si="1238"/>
        <v/>
      </c>
      <c r="AA491" s="829"/>
      <c r="AB491" s="830" t="str">
        <f>IF(G491=0,"",IF(AD491="free","re-planting",IF(AD491="me","not NVP, by",IF($AD$8="yes",(VLOOKUP(A491,'Discount Lookup'!J:K,2)*G491*(1-$AC$1786)*(1+$AC$1788)),IF(AD491="NVP",(VLOOKUP(A491,'Discount Lookup'!J:K,2)*G491*(1-$AC$1786)*(1+$AC$1788)),IF(AD491="free","re-planting",IF(G491=0,"",IF($AD$8="",IF(AD491="me","not NVP, by",IF(AD491="",IF(G491&gt;0,(VLOOKUP(A491,'Discount Lookup'!J:K,2)*G491*(1-$AC$1786)*(1+$AC$1788)),""),"")),"not NVP, by"))))))))</f>
        <v/>
      </c>
      <c r="AC491" s="830"/>
      <c r="AD491" s="375" t="str">
        <f t="shared" si="1239"/>
        <v/>
      </c>
      <c r="AE491" s="833" t="str">
        <f t="shared" si="1246"/>
        <v/>
      </c>
      <c r="AF491" s="833"/>
      <c r="AG491" s="833"/>
      <c r="AH491" s="91">
        <f>IF(AD491="free",0,IF(AD491="me",0,IF(G491&gt;0,(VLOOKUP(A491,'Discount Lookup'!J:K,2)*G491),0)))</f>
        <v>0</v>
      </c>
      <c r="AI491" s="92" t="str">
        <f t="shared" si="1167"/>
        <v/>
      </c>
      <c r="AJ491" s="828" t="str">
        <f t="shared" si="1240"/>
        <v/>
      </c>
      <c r="AK491" s="828"/>
      <c r="AL491" s="313" t="str">
        <f t="shared" si="1199"/>
        <v/>
      </c>
      <c r="AM491" s="312"/>
      <c r="AN491" s="101"/>
      <c r="AO491" s="101"/>
      <c r="AP491" s="101"/>
      <c r="AQ491" s="101"/>
      <c r="AR491" s="101"/>
      <c r="AS491" s="101"/>
      <c r="AT491" s="101"/>
    </row>
    <row r="492" spans="1:46" ht="12.95" customHeight="1">
      <c r="A492" s="383">
        <v>7</v>
      </c>
      <c r="B492" s="158" t="s">
        <v>50</v>
      </c>
      <c r="C492" s="160" t="s">
        <v>358</v>
      </c>
      <c r="D492" s="161" t="s">
        <v>54</v>
      </c>
      <c r="E492" s="162">
        <v>155.94999999999999</v>
      </c>
      <c r="F492" s="713" t="s">
        <v>1306</v>
      </c>
      <c r="G492" s="357">
        <v>0</v>
      </c>
      <c r="H492" s="748" t="str">
        <f t="shared" ref="H492" si="1294">IF(G492=0,"",IF(F492="Qty=",IF(G492=1,"plant","plants"),IF(F492&gt;0.0001,"warranty","Error")))</f>
        <v/>
      </c>
      <c r="I492" s="592">
        <f t="shared" ref="I492" si="1295">IF(F492="Qty=",(E492*G492),((E492*(1-F492))*G492))</f>
        <v>0</v>
      </c>
      <c r="J492" s="592">
        <f t="shared" ref="J492:J497" si="1296">IF(H492="warranty",0,(I492*($J$1782)))</f>
        <v>0</v>
      </c>
      <c r="K492" s="834">
        <f t="shared" ref="K492:K497" si="1297">I492+J492</f>
        <v>0</v>
      </c>
      <c r="L492" s="834"/>
      <c r="M492" s="832" t="str">
        <f t="shared" ref="M492:M497" si="1298">IF($H$1784=0,"",IF(G492=0,"",IF(F492="Qty=",CONCATENATE("$",ROUND(K492*(1-$H$1784),2)," with ",($H$1784*100),"% discount"),CONCATENATE("$",ROUND(K492*(1-$H$1784),2)," with ",(($H$1784*100+F492*100)-($H$1784*100*F492)),IF(F492&gt;0,"% discounts",IF($H$1781&gt;0,"% discounts","% discount"))))))</f>
        <v/>
      </c>
      <c r="N492" s="832"/>
      <c r="O492" s="832"/>
      <c r="P492" s="832"/>
      <c r="Q492" s="832"/>
      <c r="R492" s="832"/>
      <c r="S492" s="303">
        <f t="shared" ref="S492" si="1299">E492*G492</f>
        <v>0</v>
      </c>
      <c r="T492" s="541">
        <f>VLOOKUP(A492,'Discount Lookup'!D:E,2,FALSE)*G492</f>
        <v>0</v>
      </c>
      <c r="U492" s="83">
        <f>VLOOKUP(A492,'Discount Lookup'!G:H,2,FALSE)*G492</f>
        <v>0</v>
      </c>
      <c r="V492" s="100">
        <f t="shared" ref="V492:V497" si="1300">E492*($J$1782)*G492</f>
        <v>0</v>
      </c>
      <c r="W492" s="100">
        <f t="shared" ref="W492" si="1301">I492</f>
        <v>0</v>
      </c>
      <c r="X492" s="100" t="b">
        <f t="shared" ref="X492:X497" si="1302">IF(G492&gt;0,IF(AD492="me","",G492))</f>
        <v>0</v>
      </c>
      <c r="Y492" s="201"/>
      <c r="Z492" s="829" t="str">
        <f t="shared" ref="Z492" si="1303">IF(G492=0,"",IF(AD492="me","",IF($AD$8="me","",IF(AD492="free","warranty",IF($AD$8="yes","NVP planting:","to NVP install:")))))</f>
        <v/>
      </c>
      <c r="AA492" s="829"/>
      <c r="AB492" s="830" t="str">
        <f>IF(G492=0,"",IF(AD492="free","re-planting",IF(AD492="me","not NVP, by",IF($AD$8="yes",(VLOOKUP(A492,'Discount Lookup'!J:K,2)*G492*(1-$AC$1786)*(1+$AC$1788)),IF(AD492="NVP",(VLOOKUP(A492,'Discount Lookup'!J:K,2)*G492*(1-$AC$1786)*(1+$AC$1788)),IF(AD492="free","re-planting",IF(G492=0,"",IF($AD$8="",IF(AD492="me","not NVP, by",IF(AD492="",IF(G492&gt;0,(VLOOKUP(A492,'Discount Lookup'!J:K,2)*G492*(1-$AC$1786)*(1+$AC$1788)),""),"")),"not NVP, by"))))))))</f>
        <v/>
      </c>
      <c r="AC492" s="830"/>
      <c r="AD492" s="375" t="str">
        <f t="shared" si="1239"/>
        <v/>
      </c>
      <c r="AE492" s="833" t="str">
        <f t="shared" si="1246"/>
        <v/>
      </c>
      <c r="AF492" s="833"/>
      <c r="AG492" s="833"/>
      <c r="AH492" s="91">
        <f>IF(AD492="free",0,IF(AD492="me",0,IF(G492&gt;0,(VLOOKUP(A492,'Discount Lookup'!J:K,2)*G492),0)))</f>
        <v>0</v>
      </c>
      <c r="AI492" s="92" t="str">
        <f t="shared" si="1167"/>
        <v/>
      </c>
      <c r="AJ492" s="828" t="str">
        <f t="shared" ref="AJ492" si="1304">IF(G492=0,"",IF(AD492="me","  delivery-only",IF($AD$8="me","  delivery-only",CONCATENATE(" $",ROUND(AI492/G492,2)," each"))))</f>
        <v/>
      </c>
      <c r="AK492" s="828"/>
      <c r="AL492" s="313" t="str">
        <f t="shared" si="1199"/>
        <v/>
      </c>
      <c r="AM492" s="312"/>
      <c r="AN492" s="101"/>
      <c r="AO492" s="101"/>
      <c r="AP492" s="101"/>
      <c r="AQ492" s="101"/>
      <c r="AR492" s="101"/>
      <c r="AS492" s="101"/>
      <c r="AT492" s="101"/>
    </row>
    <row r="493" spans="1:46" ht="12.95" customHeight="1">
      <c r="A493" s="383">
        <v>10</v>
      </c>
      <c r="B493" s="158" t="s">
        <v>50</v>
      </c>
      <c r="C493" s="160" t="s">
        <v>91</v>
      </c>
      <c r="D493" s="161" t="s">
        <v>54</v>
      </c>
      <c r="E493" s="162">
        <v>252.95</v>
      </c>
      <c r="F493" s="713" t="s">
        <v>1306</v>
      </c>
      <c r="G493" s="357">
        <v>0</v>
      </c>
      <c r="H493" s="748" t="str">
        <f t="shared" ref="H493:H497" si="1305">IF(G493=0,"",IF(F493="Qty=",IF(G493=1,"plant","plants"),IF(F493&gt;0.0001,"warranty","Error")))</f>
        <v/>
      </c>
      <c r="I493" s="592">
        <f t="shared" ref="I493:I497" si="1306">IF(F493="Qty=",(E493*G493),((E493*(1-F493))*G493))</f>
        <v>0</v>
      </c>
      <c r="J493" s="592">
        <f t="shared" si="1296"/>
        <v>0</v>
      </c>
      <c r="K493" s="834">
        <f t="shared" si="1297"/>
        <v>0</v>
      </c>
      <c r="L493" s="834"/>
      <c r="M493" s="832" t="str">
        <f t="shared" si="1298"/>
        <v/>
      </c>
      <c r="N493" s="832"/>
      <c r="O493" s="832"/>
      <c r="P493" s="832"/>
      <c r="Q493" s="832"/>
      <c r="R493" s="832"/>
      <c r="S493" s="303">
        <f t="shared" ref="S493:S496" si="1307">E493*G493</f>
        <v>0</v>
      </c>
      <c r="T493" s="541">
        <f>VLOOKUP(A493,'Discount Lookup'!D:E,2,FALSE)*G493</f>
        <v>0</v>
      </c>
      <c r="U493" s="83">
        <f>VLOOKUP(A493,'Discount Lookup'!G:H,2,FALSE)*G493</f>
        <v>0</v>
      </c>
      <c r="V493" s="100">
        <f t="shared" si="1300"/>
        <v>0</v>
      </c>
      <c r="W493" s="100">
        <f t="shared" ref="W493:W496" si="1308">I493</f>
        <v>0</v>
      </c>
      <c r="X493" s="100" t="b">
        <f t="shared" si="1302"/>
        <v>0</v>
      </c>
      <c r="Y493" s="201"/>
      <c r="Z493" s="829" t="str">
        <f t="shared" si="1238"/>
        <v/>
      </c>
      <c r="AA493" s="829"/>
      <c r="AB493" s="830" t="str">
        <f>IF(G493=0,"",IF(AD493="free","re-planting",IF(AD493="me","not NVP, by",IF($AD$8="yes",(VLOOKUP(A493,'Discount Lookup'!J:K,2)*G493*(1-$AC$1786)*(1+$AC$1788)),IF(AD493="NVP",(VLOOKUP(A493,'Discount Lookup'!J:K,2)*G493*(1-$AC$1786)*(1+$AC$1788)),IF(AD493="free","re-planting",IF(G493=0,"",IF($AD$8="",IF(AD493="me","not NVP, by",IF(AD493="",IF(G493&gt;0,(VLOOKUP(A493,'Discount Lookup'!J:K,2)*G493*(1-$AC$1786)*(1+$AC$1788)),""),"")),"not NVP, by"))))))))</f>
        <v/>
      </c>
      <c r="AC493" s="830"/>
      <c r="AD493" s="375" t="str">
        <f t="shared" si="1239"/>
        <v/>
      </c>
      <c r="AE493" s="833" t="str">
        <f t="shared" ref="AE493:AE496" si="1309">IF(G493&gt;0,(CONCATENATE((G493)," quantity, ",(A493)," ",B493)),"")</f>
        <v/>
      </c>
      <c r="AF493" s="833"/>
      <c r="AG493" s="833"/>
      <c r="AH493" s="91">
        <f>IF(AD493="free",0,IF(AD493="me",0,IF(G493&gt;0,(VLOOKUP(A493,'Discount Lookup'!J:K,2)*G493),0)))</f>
        <v>0</v>
      </c>
      <c r="AI493" s="92" t="str">
        <f t="shared" si="1167"/>
        <v/>
      </c>
      <c r="AJ493" s="828" t="str">
        <f t="shared" si="1240"/>
        <v/>
      </c>
      <c r="AK493" s="828"/>
      <c r="AL493" s="313" t="str">
        <f t="shared" si="1199"/>
        <v/>
      </c>
      <c r="AM493" s="312"/>
      <c r="AN493" s="101"/>
      <c r="AO493" s="101"/>
      <c r="AP493" s="101"/>
      <c r="AQ493" s="101"/>
      <c r="AR493" s="101"/>
      <c r="AS493" s="101"/>
      <c r="AT493" s="101"/>
    </row>
    <row r="494" spans="1:46" ht="12.95" customHeight="1">
      <c r="A494" s="383">
        <v>15</v>
      </c>
      <c r="B494" s="158" t="s">
        <v>50</v>
      </c>
      <c r="C494" s="160" t="s">
        <v>1604</v>
      </c>
      <c r="D494" s="161" t="s">
        <v>54</v>
      </c>
      <c r="E494" s="162">
        <v>339.95</v>
      </c>
      <c r="F494" s="713" t="s">
        <v>1306</v>
      </c>
      <c r="G494" s="357">
        <v>0</v>
      </c>
      <c r="H494" s="748" t="str">
        <f t="shared" si="1305"/>
        <v/>
      </c>
      <c r="I494" s="592">
        <f t="shared" si="1306"/>
        <v>0</v>
      </c>
      <c r="J494" s="592">
        <f t="shared" si="1296"/>
        <v>0</v>
      </c>
      <c r="K494" s="834">
        <f t="shared" si="1297"/>
        <v>0</v>
      </c>
      <c r="L494" s="834"/>
      <c r="M494" s="832" t="str">
        <f t="shared" si="1298"/>
        <v/>
      </c>
      <c r="N494" s="832"/>
      <c r="O494" s="832"/>
      <c r="P494" s="832"/>
      <c r="Q494" s="832"/>
      <c r="R494" s="832"/>
      <c r="S494" s="303">
        <f t="shared" si="1307"/>
        <v>0</v>
      </c>
      <c r="T494" s="541">
        <f>VLOOKUP(A494,'Discount Lookup'!D:E,2,FALSE)*G494</f>
        <v>0</v>
      </c>
      <c r="U494" s="83">
        <f>VLOOKUP(A494,'Discount Lookup'!G:H,2,FALSE)*G494</f>
        <v>0</v>
      </c>
      <c r="V494" s="100">
        <f t="shared" si="1300"/>
        <v>0</v>
      </c>
      <c r="W494" s="100">
        <f t="shared" si="1308"/>
        <v>0</v>
      </c>
      <c r="X494" s="100" t="b">
        <f t="shared" si="1302"/>
        <v>0</v>
      </c>
      <c r="Y494" s="201"/>
      <c r="Z494" s="829" t="str">
        <f t="shared" si="1238"/>
        <v/>
      </c>
      <c r="AA494" s="829"/>
      <c r="AB494" s="830" t="str">
        <f>IF(G494=0,"",IF(AD494="free","re-planting",IF(AD494="me","not NVP, by",IF($AD$8="yes",(VLOOKUP(A494,'Discount Lookup'!J:K,2)*G494*(1-$AC$1786)*(1+$AC$1788)),IF(AD494="NVP",(VLOOKUP(A494,'Discount Lookup'!J:K,2)*G494*(1-$AC$1786)*(1+$AC$1788)),IF(AD494="free","re-planting",IF(G494=0,"",IF($AD$8="",IF(AD494="me","not NVP, by",IF(AD494="",IF(G494&gt;0,(VLOOKUP(A494,'Discount Lookup'!J:K,2)*G494*(1-$AC$1786)*(1+$AC$1788)),""),"")),"not NVP, by"))))))))</f>
        <v/>
      </c>
      <c r="AC494" s="830"/>
      <c r="AD494" s="375" t="str">
        <f t="shared" si="1239"/>
        <v/>
      </c>
      <c r="AE494" s="833" t="str">
        <f t="shared" si="1309"/>
        <v/>
      </c>
      <c r="AF494" s="833"/>
      <c r="AG494" s="833"/>
      <c r="AH494" s="91">
        <f>IF(AD494="free",0,IF(AD494="me",0,IF(G494&gt;0,(VLOOKUP(A494,'Discount Lookup'!J:K,2)*G494),0)))</f>
        <v>0</v>
      </c>
      <c r="AI494" s="92" t="str">
        <f t="shared" si="1167"/>
        <v/>
      </c>
      <c r="AJ494" s="828" t="str">
        <f t="shared" si="1240"/>
        <v/>
      </c>
      <c r="AK494" s="828"/>
      <c r="AL494" s="313" t="str">
        <f t="shared" si="1199"/>
        <v/>
      </c>
      <c r="AM494" s="312"/>
      <c r="AN494" s="101"/>
      <c r="AO494" s="101"/>
      <c r="AP494" s="101"/>
      <c r="AQ494" s="101"/>
      <c r="AR494" s="101"/>
      <c r="AS494" s="101"/>
      <c r="AT494" s="101"/>
    </row>
    <row r="495" spans="1:46" ht="12.95" customHeight="1">
      <c r="A495" s="383">
        <v>25</v>
      </c>
      <c r="B495" s="158" t="s">
        <v>50</v>
      </c>
      <c r="C495" s="160" t="s">
        <v>1270</v>
      </c>
      <c r="D495" s="161" t="s">
        <v>54</v>
      </c>
      <c r="E495" s="162">
        <v>631.95000000000005</v>
      </c>
      <c r="F495" s="713" t="s">
        <v>1306</v>
      </c>
      <c r="G495" s="357">
        <v>0</v>
      </c>
      <c r="H495" s="748" t="str">
        <f t="shared" si="1305"/>
        <v/>
      </c>
      <c r="I495" s="592">
        <f t="shared" si="1306"/>
        <v>0</v>
      </c>
      <c r="J495" s="592">
        <f t="shared" si="1296"/>
        <v>0</v>
      </c>
      <c r="K495" s="834">
        <f t="shared" si="1297"/>
        <v>0</v>
      </c>
      <c r="L495" s="834"/>
      <c r="M495" s="832" t="str">
        <f t="shared" si="1298"/>
        <v/>
      </c>
      <c r="N495" s="832"/>
      <c r="O495" s="832"/>
      <c r="P495" s="832"/>
      <c r="Q495" s="832"/>
      <c r="R495" s="832"/>
      <c r="S495" s="303">
        <f t="shared" si="1307"/>
        <v>0</v>
      </c>
      <c r="T495" s="541">
        <f>VLOOKUP(A495,'Discount Lookup'!D:E,2,FALSE)*G495</f>
        <v>0</v>
      </c>
      <c r="U495" s="83">
        <f>VLOOKUP(A495,'Discount Lookup'!G:H,2,FALSE)*G495</f>
        <v>0</v>
      </c>
      <c r="V495" s="100">
        <f t="shared" si="1300"/>
        <v>0</v>
      </c>
      <c r="W495" s="100">
        <f t="shared" si="1308"/>
        <v>0</v>
      </c>
      <c r="X495" s="100" t="b">
        <f t="shared" si="1302"/>
        <v>0</v>
      </c>
      <c r="Y495" s="201"/>
      <c r="Z495" s="829" t="str">
        <f t="shared" si="1238"/>
        <v/>
      </c>
      <c r="AA495" s="829"/>
      <c r="AB495" s="830" t="str">
        <f>IF(G495=0,"",IF(AD495="free","re-planting",IF(AD495="me","not NVP, by",IF($AD$8="yes",(VLOOKUP(A495,'Discount Lookup'!J:K,2)*G495*(1-$AC$1786)*(1+$AC$1788)),IF(AD495="NVP",(VLOOKUP(A495,'Discount Lookup'!J:K,2)*G495*(1-$AC$1786)*(1+$AC$1788)),IF(AD495="free","re-planting",IF(G495=0,"",IF($AD$8="",IF(AD495="me","not NVP, by",IF(AD495="",IF(G495&gt;0,(VLOOKUP(A495,'Discount Lookup'!J:K,2)*G495*(1-$AC$1786)*(1+$AC$1788)),""),"")),"not NVP, by"))))))))</f>
        <v/>
      </c>
      <c r="AC495" s="830"/>
      <c r="AD495" s="375" t="str">
        <f t="shared" si="1239"/>
        <v/>
      </c>
      <c r="AE495" s="833" t="str">
        <f t="shared" si="1309"/>
        <v/>
      </c>
      <c r="AF495" s="833"/>
      <c r="AG495" s="833"/>
      <c r="AH495" s="91">
        <f>IF(AD495="free",0,IF(AD495="me",0,IF(G495&gt;0,(VLOOKUP(A495,'Discount Lookup'!J:K,2)*G495),0)))</f>
        <v>0</v>
      </c>
      <c r="AI495" s="92" t="str">
        <f t="shared" si="1167"/>
        <v/>
      </c>
      <c r="AJ495" s="828" t="str">
        <f t="shared" si="1240"/>
        <v/>
      </c>
      <c r="AK495" s="828"/>
      <c r="AL495" s="313" t="str">
        <f t="shared" si="1199"/>
        <v/>
      </c>
      <c r="AM495" s="312"/>
      <c r="AN495" s="101"/>
      <c r="AO495" s="101"/>
      <c r="AP495" s="101"/>
      <c r="AQ495" s="101"/>
      <c r="AR495" s="101"/>
      <c r="AS495" s="101"/>
      <c r="AT495" s="101"/>
    </row>
    <row r="496" spans="1:46" ht="12.95" customHeight="1">
      <c r="A496" s="383">
        <v>45</v>
      </c>
      <c r="B496" s="158" t="s">
        <v>50</v>
      </c>
      <c r="C496" s="160" t="s">
        <v>1605</v>
      </c>
      <c r="D496" s="161" t="s">
        <v>54</v>
      </c>
      <c r="E496" s="162">
        <v>722.95</v>
      </c>
      <c r="F496" s="713" t="s">
        <v>1306</v>
      </c>
      <c r="G496" s="357">
        <v>0</v>
      </c>
      <c r="H496" s="748" t="str">
        <f t="shared" si="1305"/>
        <v/>
      </c>
      <c r="I496" s="592">
        <f t="shared" si="1306"/>
        <v>0</v>
      </c>
      <c r="J496" s="592">
        <f t="shared" si="1296"/>
        <v>0</v>
      </c>
      <c r="K496" s="834">
        <f t="shared" si="1297"/>
        <v>0</v>
      </c>
      <c r="L496" s="834"/>
      <c r="M496" s="832" t="str">
        <f t="shared" si="1298"/>
        <v/>
      </c>
      <c r="N496" s="832"/>
      <c r="O496" s="832"/>
      <c r="P496" s="832"/>
      <c r="Q496" s="832"/>
      <c r="R496" s="832"/>
      <c r="S496" s="303">
        <f t="shared" si="1307"/>
        <v>0</v>
      </c>
      <c r="T496" s="541">
        <f>VLOOKUP(A496,'Discount Lookup'!D:E,2,FALSE)*G496</f>
        <v>0</v>
      </c>
      <c r="U496" s="83">
        <f>VLOOKUP(A496,'Discount Lookup'!G:H,2,FALSE)*G496</f>
        <v>0</v>
      </c>
      <c r="V496" s="100">
        <f t="shared" si="1300"/>
        <v>0</v>
      </c>
      <c r="W496" s="100">
        <f t="shared" si="1308"/>
        <v>0</v>
      </c>
      <c r="X496" s="100" t="b">
        <f t="shared" si="1302"/>
        <v>0</v>
      </c>
      <c r="Y496" s="201"/>
      <c r="Z496" s="829" t="str">
        <f t="shared" si="1238"/>
        <v/>
      </c>
      <c r="AA496" s="829"/>
      <c r="AB496" s="830" t="str">
        <f>IF(G496=0,"",IF(AD496="free","re-planting",IF(AD496="me","not NVP, by",IF($AD$8="yes",(VLOOKUP(A496,'Discount Lookup'!J:K,2)*G496*(1-$AC$1786)*(1+$AC$1788)),IF(AD496="NVP",(VLOOKUP(A496,'Discount Lookup'!J:K,2)*G496*(1-$AC$1786)*(1+$AC$1788)),IF(AD496="free","re-planting",IF(G496=0,"",IF($AD$8="",IF(AD496="me","not NVP, by",IF(AD496="",IF(G496&gt;0,(VLOOKUP(A496,'Discount Lookup'!J:K,2)*G496*(1-$AC$1786)*(1+$AC$1788)),""),"")),"not NVP, by"))))))))</f>
        <v/>
      </c>
      <c r="AC496" s="830"/>
      <c r="AD496" s="375" t="str">
        <f t="shared" si="1239"/>
        <v/>
      </c>
      <c r="AE496" s="833" t="str">
        <f t="shared" si="1309"/>
        <v/>
      </c>
      <c r="AF496" s="833"/>
      <c r="AG496" s="833"/>
      <c r="AH496" s="91">
        <f>IF(AD496="free",0,IF(AD496="me",0,IF(G496&gt;0,(VLOOKUP(A496,'Discount Lookup'!J:K,2)*G496),0)))</f>
        <v>0</v>
      </c>
      <c r="AI496" s="92" t="str">
        <f t="shared" si="1167"/>
        <v/>
      </c>
      <c r="AJ496" s="828" t="str">
        <f t="shared" si="1240"/>
        <v/>
      </c>
      <c r="AK496" s="828"/>
      <c r="AL496" s="313" t="str">
        <f t="shared" si="1199"/>
        <v/>
      </c>
      <c r="AM496" s="312"/>
      <c r="AN496" s="101"/>
      <c r="AO496" s="101"/>
      <c r="AP496" s="101"/>
      <c r="AQ496" s="101"/>
      <c r="AR496" s="101"/>
      <c r="AS496" s="101"/>
      <c r="AT496" s="101"/>
    </row>
    <row r="497" spans="1:46" ht="12.95" customHeight="1">
      <c r="A497" s="383">
        <v>95</v>
      </c>
      <c r="B497" s="158" t="s">
        <v>50</v>
      </c>
      <c r="C497" s="160" t="s">
        <v>1271</v>
      </c>
      <c r="D497" s="161" t="s">
        <v>54</v>
      </c>
      <c r="E497" s="162">
        <v>1011.95</v>
      </c>
      <c r="F497" s="713" t="s">
        <v>1306</v>
      </c>
      <c r="G497" s="357">
        <v>0</v>
      </c>
      <c r="H497" s="748" t="str">
        <f t="shared" si="1305"/>
        <v/>
      </c>
      <c r="I497" s="592">
        <f t="shared" si="1306"/>
        <v>0</v>
      </c>
      <c r="J497" s="592">
        <f t="shared" si="1296"/>
        <v>0</v>
      </c>
      <c r="K497" s="834">
        <f t="shared" si="1297"/>
        <v>0</v>
      </c>
      <c r="L497" s="834"/>
      <c r="M497" s="832" t="str">
        <f t="shared" si="1298"/>
        <v/>
      </c>
      <c r="N497" s="832"/>
      <c r="O497" s="832"/>
      <c r="P497" s="832"/>
      <c r="Q497" s="832"/>
      <c r="R497" s="832"/>
      <c r="S497" s="303">
        <f t="shared" ref="S497" si="1310">E497*G497</f>
        <v>0</v>
      </c>
      <c r="T497" s="541">
        <f>VLOOKUP(A497,'Discount Lookup'!D:E,2,FALSE)*G497</f>
        <v>0</v>
      </c>
      <c r="U497" s="83">
        <f>VLOOKUP(A497,'Discount Lookup'!G:H,2,FALSE)*G497</f>
        <v>0</v>
      </c>
      <c r="V497" s="100">
        <f t="shared" si="1300"/>
        <v>0</v>
      </c>
      <c r="W497" s="100">
        <f t="shared" ref="W497" si="1311">I497</f>
        <v>0</v>
      </c>
      <c r="X497" s="100" t="b">
        <f t="shared" si="1302"/>
        <v>0</v>
      </c>
      <c r="Y497" s="201"/>
      <c r="Z497" s="829" t="str">
        <f t="shared" si="1238"/>
        <v/>
      </c>
      <c r="AA497" s="829"/>
      <c r="AB497" s="830" t="str">
        <f>IF(G497=0,"",IF(AD497="free","re-planting",IF(AD497="me","not NVP, by",IF($AD$8="yes",(VLOOKUP(A497,'Discount Lookup'!J:K,2)*G497*(1-$AC$1786)*(1+$AC$1788)),IF(AD497="NVP",(VLOOKUP(A497,'Discount Lookup'!J:K,2)*G497*(1-$AC$1786)*(1+$AC$1788)),IF(AD497="free","re-planting",IF(G497=0,"",IF($AD$8="",IF(AD497="me","not NVP, by",IF(AD497="",IF(G497&gt;0,(VLOOKUP(A497,'Discount Lookup'!J:K,2)*G497*(1-$AC$1786)*(1+$AC$1788)),""),"")),"not NVP, by"))))))))</f>
        <v/>
      </c>
      <c r="AC497" s="830"/>
      <c r="AD497" s="375" t="str">
        <f t="shared" si="1239"/>
        <v/>
      </c>
      <c r="AE497" s="833" t="str">
        <f t="shared" si="1246"/>
        <v/>
      </c>
      <c r="AF497" s="833"/>
      <c r="AG497" s="833"/>
      <c r="AH497" s="91">
        <f>IF(AD497="free",0,IF(AD497="me",0,IF(G497&gt;0,(VLOOKUP(A497,'Discount Lookup'!J:K,2)*G497),0)))</f>
        <v>0</v>
      </c>
      <c r="AI497" s="92" t="str">
        <f t="shared" si="1167"/>
        <v/>
      </c>
      <c r="AJ497" s="828" t="str">
        <f t="shared" si="1240"/>
        <v/>
      </c>
      <c r="AK497" s="828"/>
      <c r="AL497" s="313" t="str">
        <f t="shared" si="1199"/>
        <v/>
      </c>
      <c r="AM497" s="312"/>
      <c r="AN497" s="101"/>
      <c r="AO497" s="101"/>
      <c r="AP497" s="101"/>
      <c r="AQ497" s="101"/>
      <c r="AR497" s="101"/>
      <c r="AS497" s="101"/>
      <c r="AT497" s="101"/>
    </row>
    <row r="498" spans="1:46" ht="12.95" customHeight="1">
      <c r="A498" s="477"/>
      <c r="B498" s="103" t="s">
        <v>354</v>
      </c>
      <c r="C498" s="181"/>
      <c r="D498" s="118"/>
      <c r="E498" s="119"/>
      <c r="F498" s="711"/>
      <c r="G498" s="356"/>
      <c r="H498" s="745"/>
      <c r="I498" s="119"/>
      <c r="J498" s="119"/>
      <c r="K498" s="292"/>
      <c r="L498" s="178"/>
      <c r="M498" s="48"/>
      <c r="N498" s="48"/>
      <c r="O498" s="123"/>
      <c r="P498" s="124"/>
      <c r="Q498" s="841" t="s">
        <v>125</v>
      </c>
      <c r="R498" s="841"/>
      <c r="S498" s="841"/>
      <c r="T498" s="841"/>
      <c r="U498" s="841"/>
      <c r="V498" s="841"/>
      <c r="Y498" s="132"/>
      <c r="Z498" s="829" t="str">
        <f t="shared" si="1238"/>
        <v/>
      </c>
      <c r="AA498" s="829"/>
      <c r="AB498" s="830" t="str">
        <f>IF(G498=0,"",IF(AD498="free","re-planting",IF(AD498="me","not NVP, by",IF($AD$8="yes",(VLOOKUP(A498,'Discount Lookup'!J:K,2)*G498*(1-$AC$1786)*(1+$AC$1788)),IF(AD498="NVP",(VLOOKUP(A498,'Discount Lookup'!J:K,2)*G498*(1-$AC$1786)*(1+$AC$1788)),IF(AD498="free","re-planting",IF(G498=0,"",IF($AD$8="",IF(AD498="me","not NVP, by",IF(AD498="",IF(G498&gt;0,(VLOOKUP(A498,'Discount Lookup'!J:K,2)*G498*(1-$AC$1786)*(1+$AC$1788)),""),"")),"not NVP, by"))))))))</f>
        <v/>
      </c>
      <c r="AC498" s="830"/>
      <c r="AD498" s="375" t="str">
        <f t="shared" si="1239"/>
        <v/>
      </c>
      <c r="AE498" s="833" t="str">
        <f t="shared" si="1246"/>
        <v/>
      </c>
      <c r="AF498" s="833"/>
      <c r="AG498" s="833"/>
      <c r="AH498" s="91">
        <f>IF(AD498="free",0,IF(AD498="me",0,IF(G498&gt;0,(VLOOKUP(A498,'Discount Lookup'!J:K,2)*G498),0)))</f>
        <v>0</v>
      </c>
      <c r="AI498" s="92" t="str">
        <f t="shared" si="1167"/>
        <v/>
      </c>
      <c r="AJ498" s="828" t="str">
        <f t="shared" si="1240"/>
        <v/>
      </c>
      <c r="AK498" s="828"/>
      <c r="AL498" s="313" t="str">
        <f t="shared" si="1199"/>
        <v/>
      </c>
      <c r="AM498" s="312"/>
      <c r="AN498" s="101"/>
      <c r="AO498" s="101"/>
      <c r="AP498" s="101"/>
      <c r="AQ498" s="101"/>
      <c r="AR498" s="101"/>
      <c r="AS498" s="101"/>
      <c r="AT498" s="101"/>
    </row>
    <row r="499" spans="1:46" ht="12.95" customHeight="1">
      <c r="A499" s="889" t="s">
        <v>355</v>
      </c>
      <c r="B499" s="890"/>
      <c r="C499" s="890"/>
      <c r="D499" s="890"/>
      <c r="E499" s="890"/>
      <c r="F499" s="890"/>
      <c r="G499" s="890"/>
      <c r="H499" s="774" t="s">
        <v>106</v>
      </c>
      <c r="I499" s="164" t="s">
        <v>79</v>
      </c>
      <c r="J499" s="157"/>
      <c r="K499" s="611" t="s">
        <v>45</v>
      </c>
      <c r="L499" s="630" t="s">
        <v>46</v>
      </c>
      <c r="M499" s="157"/>
      <c r="N499" s="158" t="s">
        <v>69</v>
      </c>
      <c r="O499" s="158"/>
      <c r="P499" s="164"/>
      <c r="Q499" s="164"/>
      <c r="R499" s="157"/>
      <c r="S499" s="170"/>
      <c r="T499" s="547"/>
      <c r="U499" s="171"/>
      <c r="V499" s="100" t="b">
        <f>IF(G499&gt;0,IF(AD499="me","",G499))</f>
        <v>0</v>
      </c>
      <c r="W499" s="100"/>
      <c r="X499" s="100"/>
      <c r="Y499" s="201"/>
      <c r="Z499" s="838" t="str">
        <f t="shared" ref="Z499:Z507" si="1312">IF(G499=0,"",IF(AD499="me","",IF($AD$8="me","",IF(AD499="free","warranty",IF($AD$8="yes","NVP planting:","to NVP install:")))))</f>
        <v/>
      </c>
      <c r="AA499" s="838"/>
      <c r="AB499" s="830" t="str">
        <f>IF(G499=0,"",IF(AD499="free","re-planting",IF(AD499="me","not NVP, by",IF($AD$8="yes",(VLOOKUP(A499,'Discount Lookup'!J:K,2)*G499*(1-$AC$1786)*(1+$AC$1788)),IF(AD499="NVP",(VLOOKUP(A499,'Discount Lookup'!J:K,2)*G499*(1-$AC$1786)*(1+$AC$1788)),IF(AD499="free","re-planting",IF(G499=0,"",IF($AD$8="",IF(AD499="me","not NVP, by",IF(AD499="",IF(G499&gt;0,(VLOOKUP(A499,'Discount Lookup'!J:K,2)*G499*(1-$AC$1786)*(1+$AC$1788)),""),"")),"not NVP, by"))))))))</f>
        <v/>
      </c>
      <c r="AC499" s="830"/>
      <c r="AD499" s="375" t="str">
        <f t="shared" si="1239"/>
        <v/>
      </c>
      <c r="AE499" s="833" t="str">
        <f t="shared" ref="AE499:AE502" si="1313">IF(G499&gt;0,(CONCATENATE((G499)," quantity, ",(A499)," ",B499)),"")</f>
        <v/>
      </c>
      <c r="AF499" s="833"/>
      <c r="AG499" s="833"/>
      <c r="AH499" s="91">
        <f>IF(AD499="free",0,IF(AD499="me",0,IF(G499&gt;0,(VLOOKUP(A499,'Discount Lookup'!J:K,2)*G499),0)))</f>
        <v>0</v>
      </c>
      <c r="AI499" s="92" t="str">
        <f t="shared" si="1167"/>
        <v/>
      </c>
      <c r="AJ499" s="828" t="str">
        <f t="shared" ref="AJ499:AJ507" si="1314">IF(G499=0,"",IF(AD499="me","  delivery-only",CONCATENATE(" $",ROUND(AI499/G499,2)," each")))</f>
        <v/>
      </c>
      <c r="AK499" s="828"/>
      <c r="AL499" s="313" t="str">
        <f t="shared" si="1199"/>
        <v/>
      </c>
      <c r="AM499" s="312"/>
      <c r="AN499" s="101"/>
      <c r="AO499" s="101"/>
      <c r="AP499" s="101"/>
      <c r="AQ499" s="101"/>
      <c r="AR499" s="101"/>
      <c r="AS499" s="101"/>
      <c r="AT499" s="101"/>
    </row>
    <row r="500" spans="1:46" ht="12.95" customHeight="1">
      <c r="A500" s="383">
        <v>7</v>
      </c>
      <c r="B500" s="158" t="s">
        <v>50</v>
      </c>
      <c r="C500" s="168" t="s">
        <v>64</v>
      </c>
      <c r="D500" s="161" t="s">
        <v>54</v>
      </c>
      <c r="E500" s="162">
        <v>100.95</v>
      </c>
      <c r="F500" s="713" t="s">
        <v>1306</v>
      </c>
      <c r="G500" s="357">
        <v>0</v>
      </c>
      <c r="H500" s="748" t="str">
        <f t="shared" ref="H500" si="1315">IF(G500=0,"",IF(F500="Qty=",IF(G500=1,"plant","plants"),IF(F500&gt;0.0001,"warranty","Error")))</f>
        <v/>
      </c>
      <c r="I500" s="592">
        <f t="shared" ref="I500" si="1316">IF(F500="Qty=",(E500*G500),((E500*(1-F500))*G500))</f>
        <v>0</v>
      </c>
      <c r="J500" s="592">
        <f>IF(H500="warranty",0,(I500*($J$1782)))</f>
        <v>0</v>
      </c>
      <c r="K500" s="834">
        <f t="shared" ref="K500:K501" si="1317">I500+J500</f>
        <v>0</v>
      </c>
      <c r="L500" s="834"/>
      <c r="M500" s="832" t="str">
        <f>IF($H$1784=0,"",IF(G500=0,"",IF(F500="Qty=",CONCATENATE("$",ROUND(K500*(1-$H$1784),2)," with ",($H$1784*100),"% discount"),CONCATENATE("$",ROUND(K500*(1-$H$1784),2)," with ",(($H$1784*100+F500*100)-($H$1784*100*F500)),IF(F500&gt;0,"% discounts",IF($H$1781&gt;0,"% discounts","% discount"))))))</f>
        <v/>
      </c>
      <c r="N500" s="832"/>
      <c r="O500" s="832"/>
      <c r="P500" s="832"/>
      <c r="Q500" s="832"/>
      <c r="R500" s="832"/>
      <c r="S500" s="303">
        <f t="shared" ref="S500" si="1318">E500*G500</f>
        <v>0</v>
      </c>
      <c r="T500" s="541">
        <f>VLOOKUP(A500,'Discount Lookup'!D:E,2,FALSE)*G500</f>
        <v>0</v>
      </c>
      <c r="U500" s="83">
        <f>VLOOKUP(A500,'Discount Lookup'!G:H,2,FALSE)*G500</f>
        <v>0</v>
      </c>
      <c r="V500" s="100">
        <f>E500*($J$1782)*G500</f>
        <v>0</v>
      </c>
      <c r="W500" s="100">
        <f t="shared" ref="W500" si="1319">I500</f>
        <v>0</v>
      </c>
      <c r="X500" s="100" t="b">
        <f>IF(G500&gt;0,IF(AD500="me","",G500))</f>
        <v>0</v>
      </c>
      <c r="Y500" s="201"/>
      <c r="Z500" s="838" t="str">
        <f t="shared" si="1312"/>
        <v/>
      </c>
      <c r="AA500" s="838"/>
      <c r="AB500" s="830" t="str">
        <f>IF(G500=0,"",IF(AD500="free","re-planting",IF(AD500="me","not NVP, by",IF($AD$8="yes",(VLOOKUP(A500,'Discount Lookup'!J:K,2)*G500*(1-$AC$1786)*(1+$AC$1788)),IF(AD500="NVP",(VLOOKUP(A500,'Discount Lookup'!J:K,2)*G500*(1-$AC$1786)*(1+$AC$1788)),IF(AD500="free","re-planting",IF(G500=0,"",IF($AD$8="",IF(AD500="me","not NVP, by",IF(AD500="",IF(G500&gt;0,(VLOOKUP(A500,'Discount Lookup'!J:K,2)*G500*(1-$AC$1786)*(1+$AC$1788)),""),"")),"not NVP, by"))))))))</f>
        <v/>
      </c>
      <c r="AC500" s="830"/>
      <c r="AD500" s="375" t="str">
        <f t="shared" si="1239"/>
        <v/>
      </c>
      <c r="AE500" s="833" t="str">
        <f t="shared" si="1313"/>
        <v/>
      </c>
      <c r="AF500" s="833"/>
      <c r="AG500" s="833"/>
      <c r="AH500" s="91">
        <f>IF(AD500="free",0,IF(AD500="me",0,IF(G500&gt;0,(VLOOKUP(A500,'Discount Lookup'!J:K,2)*G500),0)))</f>
        <v>0</v>
      </c>
      <c r="AI500" s="92" t="str">
        <f t="shared" si="1167"/>
        <v/>
      </c>
      <c r="AJ500" s="828" t="str">
        <f t="shared" si="1314"/>
        <v/>
      </c>
      <c r="AK500" s="828"/>
      <c r="AL500" s="313" t="str">
        <f t="shared" si="1199"/>
        <v/>
      </c>
      <c r="AM500" s="312"/>
      <c r="AN500" s="101"/>
      <c r="AO500" s="101"/>
      <c r="AP500" s="101"/>
      <c r="AQ500" s="101"/>
      <c r="AR500" s="101"/>
      <c r="AS500" s="101"/>
      <c r="AT500" s="101"/>
    </row>
    <row r="501" spans="1:46" ht="12.95" customHeight="1">
      <c r="A501" s="383">
        <v>10</v>
      </c>
      <c r="B501" s="158" t="s">
        <v>50</v>
      </c>
      <c r="C501" s="168" t="s">
        <v>358</v>
      </c>
      <c r="D501" s="161" t="s">
        <v>54</v>
      </c>
      <c r="E501" s="162">
        <v>160.94999999999999</v>
      </c>
      <c r="F501" s="713" t="s">
        <v>1306</v>
      </c>
      <c r="G501" s="357">
        <v>0</v>
      </c>
      <c r="H501" s="748" t="str">
        <f t="shared" ref="H501" si="1320">IF(G501=0,"",IF(F501="Qty=",IF(G501=1,"plant","plants"),IF(F501&gt;0.0001,"warranty","Error")))</f>
        <v/>
      </c>
      <c r="I501" s="592">
        <f t="shared" ref="I501" si="1321">IF(F501="Qty=",(E501*G501),((E501*(1-F501))*G501))</f>
        <v>0</v>
      </c>
      <c r="J501" s="592">
        <f>IF(H501="warranty",0,(I501*($J$1782)))</f>
        <v>0</v>
      </c>
      <c r="K501" s="834">
        <f t="shared" si="1317"/>
        <v>0</v>
      </c>
      <c r="L501" s="834"/>
      <c r="M501" s="832" t="str">
        <f>IF($H$1784=0,"",IF(G501=0,"",IF(F501="Qty=",CONCATENATE("$",ROUND(K501*(1-$H$1784),2)," with ",($H$1784*100),"% discount"),CONCATENATE("$",ROUND(K501*(1-$H$1784),2)," with ",(($H$1784*100+F501*100)-($H$1784*100*F501)),IF(F501&gt;0,"% discounts",IF($H$1781&gt;0,"% discounts","% discount"))))))</f>
        <v/>
      </c>
      <c r="N501" s="832"/>
      <c r="O501" s="832"/>
      <c r="P501" s="832"/>
      <c r="Q501" s="832"/>
      <c r="R501" s="832"/>
      <c r="S501" s="303">
        <f t="shared" ref="S501" si="1322">E501*G501</f>
        <v>0</v>
      </c>
      <c r="T501" s="541">
        <f>VLOOKUP(A501,'Discount Lookup'!D:E,2,FALSE)*G501</f>
        <v>0</v>
      </c>
      <c r="U501" s="83">
        <f>VLOOKUP(A501,'Discount Lookup'!G:H,2,FALSE)*G501</f>
        <v>0</v>
      </c>
      <c r="V501" s="100">
        <f>E501*($J$1782)*G501</f>
        <v>0</v>
      </c>
      <c r="W501" s="100">
        <f t="shared" ref="W501" si="1323">I501</f>
        <v>0</v>
      </c>
      <c r="X501" s="100" t="b">
        <f>IF(G501&gt;0,IF(AD501="me","",G501))</f>
        <v>0</v>
      </c>
      <c r="Y501" s="201"/>
      <c r="Z501" s="838" t="str">
        <f t="shared" si="1312"/>
        <v/>
      </c>
      <c r="AA501" s="838"/>
      <c r="AB501" s="830" t="str">
        <f>IF(G501=0,"",IF(AD501="free","re-planting",IF(AD501="me","not NVP, by",IF($AD$8="yes",(VLOOKUP(A501,'Discount Lookup'!J:K,2)*G501*(1-$AC$1786)*(1+$AC$1788)),IF(AD501="NVP",(VLOOKUP(A501,'Discount Lookup'!J:K,2)*G501*(1-$AC$1786)*(1+$AC$1788)),IF(AD501="free","re-planting",IF(G501=0,"",IF($AD$8="",IF(AD501="me","not NVP, by",IF(AD501="",IF(G501&gt;0,(VLOOKUP(A501,'Discount Lookup'!J:K,2)*G501*(1-$AC$1786)*(1+$AC$1788)),""),"")),"not NVP, by"))))))))</f>
        <v/>
      </c>
      <c r="AC501" s="830"/>
      <c r="AD501" s="375" t="str">
        <f t="shared" si="1239"/>
        <v/>
      </c>
      <c r="AE501" s="833" t="str">
        <f t="shared" si="1313"/>
        <v/>
      </c>
      <c r="AF501" s="833"/>
      <c r="AG501" s="833"/>
      <c r="AH501" s="91">
        <f>IF(AD501="free",0,IF(AD501="me",0,IF(G501&gt;0,(VLOOKUP(A501,'Discount Lookup'!J:K,2)*G501),0)))</f>
        <v>0</v>
      </c>
      <c r="AI501" s="92" t="str">
        <f t="shared" si="1167"/>
        <v/>
      </c>
      <c r="AJ501" s="828" t="str">
        <f t="shared" si="1314"/>
        <v/>
      </c>
      <c r="AK501" s="828"/>
      <c r="AL501" s="313" t="str">
        <f t="shared" si="1199"/>
        <v/>
      </c>
      <c r="AM501" s="312"/>
      <c r="AN501" s="101"/>
      <c r="AO501" s="101"/>
      <c r="AP501" s="101"/>
      <c r="AQ501" s="101"/>
      <c r="AR501" s="101"/>
      <c r="AS501" s="101"/>
      <c r="AT501" s="101"/>
    </row>
    <row r="502" spans="1:46" ht="12.95" customHeight="1">
      <c r="A502" s="475"/>
      <c r="B502" s="103" t="s">
        <v>356</v>
      </c>
      <c r="G502" s="361"/>
      <c r="H502" s="746"/>
      <c r="M502" s="48"/>
      <c r="N502" s="122" t="s">
        <v>336</v>
      </c>
      <c r="O502" s="48"/>
      <c r="P502" s="48"/>
      <c r="Q502" s="48"/>
      <c r="R502" s="48"/>
      <c r="S502" s="48"/>
      <c r="T502" s="546"/>
      <c r="V502" s="100" t="b">
        <f>IF(G502&gt;0,IF(AD502="me","",G502))</f>
        <v>0</v>
      </c>
      <c r="W502" s="100"/>
      <c r="X502" s="100"/>
      <c r="Y502" s="201"/>
      <c r="Z502" s="838" t="str">
        <f t="shared" si="1312"/>
        <v/>
      </c>
      <c r="AA502" s="838"/>
      <c r="AB502" s="830" t="str">
        <f>IF(G502=0,"",IF(AD502="free","re-planting",IF(AD502="me","not NVP, by",IF($AD$8="yes",(VLOOKUP(A502,'Discount Lookup'!J:K,2)*G502*(1-$AC$1786)*(1+$AC$1788)),IF(AD502="NVP",(VLOOKUP(A502,'Discount Lookup'!J:K,2)*G502*(1-$AC$1786)*(1+$AC$1788)),IF(AD502="free","re-planting",IF(G502=0,"",IF($AD$8="",IF(AD502="me","not NVP, by",IF(AD502="",IF(G502&gt;0,(VLOOKUP(A502,'Discount Lookup'!J:K,2)*G502*(1-$AC$1786)*(1+$AC$1788)),""),"")),"not NVP, by"))))))))</f>
        <v/>
      </c>
      <c r="AC502" s="830"/>
      <c r="AD502" s="375" t="str">
        <f t="shared" si="1239"/>
        <v/>
      </c>
      <c r="AE502" s="833" t="str">
        <f t="shared" si="1313"/>
        <v/>
      </c>
      <c r="AF502" s="833"/>
      <c r="AG502" s="833"/>
      <c r="AH502" s="91">
        <f>IF(AD502="free",0,IF(AD502="me",0,IF(G502&gt;0,(VLOOKUP(A502,'Discount Lookup'!J:K,2)*G502),0)))</f>
        <v>0</v>
      </c>
      <c r="AI502" s="92" t="str">
        <f t="shared" si="1167"/>
        <v/>
      </c>
      <c r="AJ502" s="828" t="str">
        <f t="shared" si="1314"/>
        <v/>
      </c>
      <c r="AK502" s="828"/>
      <c r="AL502" s="313" t="str">
        <f t="shared" si="1199"/>
        <v/>
      </c>
      <c r="AM502" s="312"/>
      <c r="AN502" s="101"/>
      <c r="AO502" s="101"/>
      <c r="AP502" s="101"/>
      <c r="AQ502" s="101"/>
      <c r="AR502" s="101"/>
      <c r="AS502" s="101"/>
      <c r="AT502" s="101"/>
    </row>
    <row r="503" spans="1:46" ht="12.95" customHeight="1">
      <c r="A503" s="889" t="s">
        <v>357</v>
      </c>
      <c r="B503" s="890"/>
      <c r="C503" s="890"/>
      <c r="D503" s="890"/>
      <c r="E503" s="890"/>
      <c r="F503" s="890"/>
      <c r="G503" s="890"/>
      <c r="H503" s="774" t="s">
        <v>108</v>
      </c>
      <c r="I503" s="349" t="s">
        <v>280</v>
      </c>
      <c r="J503" s="157"/>
      <c r="K503" s="611" t="s">
        <v>45</v>
      </c>
      <c r="L503" s="630" t="s">
        <v>46</v>
      </c>
      <c r="M503" s="157"/>
      <c r="N503" s="175" t="s">
        <v>157</v>
      </c>
      <c r="O503" s="176"/>
      <c r="P503" s="176"/>
      <c r="Q503" s="176"/>
      <c r="R503" s="157"/>
      <c r="S503" s="170"/>
      <c r="T503" s="547"/>
      <c r="U503" s="171"/>
      <c r="V503" s="100" t="b">
        <f>IF(G503&gt;0,IF(AD503="me","",G503))</f>
        <v>0</v>
      </c>
      <c r="W503" s="100"/>
      <c r="X503" s="100"/>
      <c r="Y503" s="201"/>
      <c r="Z503" s="838" t="str">
        <f t="shared" si="1312"/>
        <v/>
      </c>
      <c r="AA503" s="838"/>
      <c r="AB503" s="830" t="str">
        <f>IF(G503=0,"",IF(AD503="free","re-planting",IF(AD503="me","not NVP, by",IF($AD$8="yes",(VLOOKUP(A503,'Discount Lookup'!J:K,2)*G503*(1-$AC$1786)*(1+$AC$1788)),IF(AD503="NVP",(VLOOKUP(A503,'Discount Lookup'!J:K,2)*G503*(1-$AC$1786)*(1+$AC$1788)),IF(AD503="free","re-planting",IF(G503=0,"",IF($AD$8="",IF(AD503="me","not NVP, by",IF(AD503="",IF(G503&gt;0,(VLOOKUP(A503,'Discount Lookup'!J:K,2)*G503*(1-$AC$1786)*(1+$AC$1788)),""),"")),"not NVP, by"))))))))</f>
        <v/>
      </c>
      <c r="AC503" s="830"/>
      <c r="AD503" s="375" t="str">
        <f t="shared" si="1239"/>
        <v/>
      </c>
      <c r="AE503" s="833" t="str">
        <f>IF(G503&gt;0,(CONCATENATE((G503)," quantity, ",(A503)," ",B503)),"")</f>
        <v/>
      </c>
      <c r="AF503" s="833"/>
      <c r="AG503" s="833"/>
      <c r="AH503" s="91">
        <f>IF(AD503="free",0,IF(AD503="me",0,IF(G503&gt;0,(VLOOKUP(A503,'Discount Lookup'!J:K,2)*G503),0)))</f>
        <v>0</v>
      </c>
      <c r="AI503" s="92" t="str">
        <f t="shared" si="1167"/>
        <v/>
      </c>
      <c r="AJ503" s="828" t="str">
        <f t="shared" si="1314"/>
        <v/>
      </c>
      <c r="AK503" s="828"/>
      <c r="AL503" s="313" t="str">
        <f t="shared" si="1199"/>
        <v/>
      </c>
      <c r="AM503" s="312"/>
      <c r="AN503" s="101"/>
      <c r="AO503" s="101"/>
      <c r="AP503" s="101"/>
      <c r="AQ503" s="101"/>
      <c r="AR503" s="101"/>
      <c r="AS503" s="101"/>
      <c r="AT503" s="101"/>
    </row>
    <row r="504" spans="1:46" ht="12.95" customHeight="1">
      <c r="A504" s="383">
        <v>7</v>
      </c>
      <c r="B504" s="158" t="s">
        <v>50</v>
      </c>
      <c r="C504" s="160" t="s">
        <v>89</v>
      </c>
      <c r="D504" s="161" t="s">
        <v>54</v>
      </c>
      <c r="E504" s="162">
        <v>91.95</v>
      </c>
      <c r="F504" s="713" t="s">
        <v>1306</v>
      </c>
      <c r="G504" s="357">
        <v>0</v>
      </c>
      <c r="H504" s="748" t="str">
        <f t="shared" ref="H504:H505" si="1324">IF(G504=0,"",IF(F504="Qty=",IF(G504=1,"plant","plants"),IF(F504&gt;0.0001,"warranty","Error")))</f>
        <v/>
      </c>
      <c r="I504" s="592">
        <f t="shared" ref="I504:I505" si="1325">IF(F504="Qty=",(E504*G504),((E504*(1-F504))*G504))</f>
        <v>0</v>
      </c>
      <c r="J504" s="592">
        <f>IF(H504="warranty",0,(I504*($J$1782)))</f>
        <v>0</v>
      </c>
      <c r="K504" s="834">
        <f t="shared" ref="K504:K506" si="1326">I504+J504</f>
        <v>0</v>
      </c>
      <c r="L504" s="834"/>
      <c r="M504" s="832" t="str">
        <f>IF($H$1784=0,"",IF(G504=0,"",IF(F504="Qty=",CONCATENATE("$",ROUND(K504*(1-$H$1784),2)," with ",($H$1784*100),"% discount"),CONCATENATE("$",ROUND(K504*(1-$H$1784),2)," with ",(($H$1784*100+F504*100)-($H$1784*100*F504)),IF(F504&gt;0,"% discounts",IF($H$1781&gt;0,"% discounts","% discount"))))))</f>
        <v/>
      </c>
      <c r="N504" s="832"/>
      <c r="O504" s="832"/>
      <c r="P504" s="832"/>
      <c r="Q504" s="832"/>
      <c r="R504" s="832"/>
      <c r="S504" s="303">
        <f t="shared" ref="S504:S505" si="1327">E504*G504</f>
        <v>0</v>
      </c>
      <c r="T504" s="541">
        <f>VLOOKUP(A504,'Discount Lookup'!D:E,2,FALSE)*G504</f>
        <v>0</v>
      </c>
      <c r="U504" s="83">
        <f>VLOOKUP(A504,'Discount Lookup'!G:H,2,FALSE)*G504</f>
        <v>0</v>
      </c>
      <c r="V504" s="100">
        <f>E504*($J$1782)*G504</f>
        <v>0</v>
      </c>
      <c r="W504" s="100">
        <f t="shared" ref="W504:W505" si="1328">I504</f>
        <v>0</v>
      </c>
      <c r="X504" s="100" t="b">
        <f>IF(G504&gt;0,IF(AD504="me","",G504))</f>
        <v>0</v>
      </c>
      <c r="Y504" s="201"/>
      <c r="Z504" s="838" t="str">
        <f t="shared" si="1312"/>
        <v/>
      </c>
      <c r="AA504" s="838"/>
      <c r="AB504" s="830" t="str">
        <f>IF(G504=0,"",IF(AD504="free","re-planting",IF(AD504="me","not NVP, by",IF($AD$8="yes",(VLOOKUP(A504,'Discount Lookup'!J:K,2)*G504*(1-$AC$1786)*(1+$AC$1788)),IF(AD504="NVP",(VLOOKUP(A504,'Discount Lookup'!J:K,2)*G504*(1-$AC$1786)*(1+$AC$1788)),IF(AD504="free","re-planting",IF(G504=0,"",IF($AD$8="",IF(AD504="me","not NVP, by",IF(AD504="",IF(G504&gt;0,(VLOOKUP(A504,'Discount Lookup'!J:K,2)*G504*(1-$AC$1786)*(1+$AC$1788)),""),"")),"not NVP, by"))))))))</f>
        <v/>
      </c>
      <c r="AC504" s="830"/>
      <c r="AD504" s="375" t="str">
        <f t="shared" si="1239"/>
        <v/>
      </c>
      <c r="AE504" s="833" t="str">
        <f>IF(G504&gt;0,(CONCATENATE((G504)," quantity, ",(A504)," ",B504)),"")</f>
        <v/>
      </c>
      <c r="AF504" s="833"/>
      <c r="AG504" s="833"/>
      <c r="AH504" s="91">
        <f>IF(AD504="free",0,IF(AD504="me",0,IF(G504&gt;0,(VLOOKUP(A504,'Discount Lookup'!J:K,2)*G504),0)))</f>
        <v>0</v>
      </c>
      <c r="AI504" s="92" t="str">
        <f t="shared" si="1167"/>
        <v/>
      </c>
      <c r="AJ504" s="828" t="str">
        <f t="shared" si="1314"/>
        <v/>
      </c>
      <c r="AK504" s="828"/>
      <c r="AL504" s="313" t="str">
        <f t="shared" si="1199"/>
        <v/>
      </c>
      <c r="AM504" s="312"/>
      <c r="AN504" s="101"/>
      <c r="AO504" s="101"/>
      <c r="AP504" s="101"/>
      <c r="AQ504" s="101"/>
      <c r="AR504" s="101"/>
      <c r="AS504" s="101"/>
      <c r="AT504" s="101"/>
    </row>
    <row r="505" spans="1:46" ht="12.95" customHeight="1">
      <c r="A505" s="383">
        <v>15</v>
      </c>
      <c r="B505" s="158" t="s">
        <v>50</v>
      </c>
      <c r="C505" s="160" t="s">
        <v>91</v>
      </c>
      <c r="D505" s="161" t="s">
        <v>54</v>
      </c>
      <c r="E505" s="162">
        <v>169.95</v>
      </c>
      <c r="F505" s="713" t="s">
        <v>1306</v>
      </c>
      <c r="G505" s="357">
        <v>0</v>
      </c>
      <c r="H505" s="748" t="str">
        <f t="shared" si="1324"/>
        <v/>
      </c>
      <c r="I505" s="592">
        <f t="shared" si="1325"/>
        <v>0</v>
      </c>
      <c r="J505" s="592">
        <f>IF(H505="warranty",0,(I505*($J$1782)))</f>
        <v>0</v>
      </c>
      <c r="K505" s="834">
        <f t="shared" si="1326"/>
        <v>0</v>
      </c>
      <c r="L505" s="834"/>
      <c r="M505" s="832" t="str">
        <f>IF($H$1784=0,"",IF(G505=0,"",IF(F505="Qty=",CONCATENATE("$",ROUND(K505*(1-$H$1784),2)," with ",($H$1784*100),"% discount"),CONCATENATE("$",ROUND(K505*(1-$H$1784),2)," with ",(($H$1784*100+F505*100)-($H$1784*100*F505)),IF(F505&gt;0,"% discounts",IF($H$1781&gt;0,"% discounts","% discount"))))))</f>
        <v/>
      </c>
      <c r="N505" s="832"/>
      <c r="O505" s="832"/>
      <c r="P505" s="832"/>
      <c r="Q505" s="832"/>
      <c r="R505" s="832"/>
      <c r="S505" s="303">
        <f t="shared" si="1327"/>
        <v>0</v>
      </c>
      <c r="T505" s="541">
        <f>VLOOKUP(A505,'Discount Lookup'!D:E,2,FALSE)*G505</f>
        <v>0</v>
      </c>
      <c r="U505" s="83">
        <f>VLOOKUP(A505,'Discount Lookup'!G:H,2,FALSE)*G505</f>
        <v>0</v>
      </c>
      <c r="V505" s="100">
        <f>E505*($J$1782)*G505</f>
        <v>0</v>
      </c>
      <c r="W505" s="100">
        <f t="shared" si="1328"/>
        <v>0</v>
      </c>
      <c r="X505" s="100" t="b">
        <f>IF(G505&gt;0,IF(AD505="me","",G505))</f>
        <v>0</v>
      </c>
      <c r="Y505" s="201"/>
      <c r="Z505" s="838" t="str">
        <f t="shared" si="1312"/>
        <v/>
      </c>
      <c r="AA505" s="838"/>
      <c r="AB505" s="830" t="str">
        <f>IF(G505=0,"",IF(AD505="free","re-planting",IF(AD505="me","not NVP, by",IF($AD$8="yes",(VLOOKUP(A505,'Discount Lookup'!J:K,2)*G505*(1-$AC$1786)*(1+$AC$1788)),IF(AD505="NVP",(VLOOKUP(A505,'Discount Lookup'!J:K,2)*G505*(1-$AC$1786)*(1+$AC$1788)),IF(AD505="free","re-planting",IF(G505=0,"",IF($AD$8="",IF(AD505="me","not NVP, by",IF(AD505="",IF(G505&gt;0,(VLOOKUP(A505,'Discount Lookup'!J:K,2)*G505*(1-$AC$1786)*(1+$AC$1788)),""),"")),"not NVP, by"))))))))</f>
        <v/>
      </c>
      <c r="AC505" s="830"/>
      <c r="AD505" s="375" t="str">
        <f t="shared" ref="AD505" si="1329">IF(G505=0,"",IF($AD$8="me","me",IF(H505="warranty","free",IF($AD$8="yes","NVP",""))))</f>
        <v/>
      </c>
      <c r="AE505" s="833" t="str">
        <f>IF(G505&gt;0,(CONCATENATE((G505)," quantity, ",(A505)," ",B505)),"")</f>
        <v/>
      </c>
      <c r="AF505" s="833"/>
      <c r="AG505" s="833"/>
      <c r="AH505" s="91">
        <f>IF(AD505="free",0,IF(AD505="me",0,IF(G505&gt;0,(VLOOKUP(A505,'Discount Lookup'!J:K,2)*G505),0)))</f>
        <v>0</v>
      </c>
      <c r="AI505" s="92" t="str">
        <f t="shared" si="1167"/>
        <v/>
      </c>
      <c r="AJ505" s="828" t="str">
        <f t="shared" si="1314"/>
        <v/>
      </c>
      <c r="AK505" s="828"/>
      <c r="AL505" s="313" t="str">
        <f t="shared" si="1199"/>
        <v/>
      </c>
      <c r="AM505" s="312"/>
      <c r="AN505" s="101"/>
      <c r="AO505" s="101"/>
      <c r="AP505" s="101"/>
      <c r="AQ505" s="101"/>
      <c r="AR505" s="101"/>
      <c r="AS505" s="101"/>
      <c r="AT505" s="101"/>
    </row>
    <row r="506" spans="1:46" ht="12.95" customHeight="1">
      <c r="A506" s="383">
        <v>15</v>
      </c>
      <c r="B506" s="158" t="s">
        <v>50</v>
      </c>
      <c r="C506" s="160" t="s">
        <v>1522</v>
      </c>
      <c r="D506" s="161" t="s">
        <v>90</v>
      </c>
      <c r="E506" s="162">
        <v>290.95</v>
      </c>
      <c r="F506" s="713" t="s">
        <v>1306</v>
      </c>
      <c r="G506" s="357">
        <v>0</v>
      </c>
      <c r="H506" s="748" t="str">
        <f t="shared" ref="H506" si="1330">IF(G506=0,"",IF(F506="Qty=",IF(G506=1,"plant","plants"),IF(F506&gt;0.0001,"warranty","Error")))</f>
        <v/>
      </c>
      <c r="I506" s="592">
        <f t="shared" ref="I506" si="1331">IF(F506="Qty=",(E506*G506),((E506*(1-F506))*G506))</f>
        <v>0</v>
      </c>
      <c r="J506" s="592">
        <f>IF(H506="warranty",0,(I506*($J$1782)))</f>
        <v>0</v>
      </c>
      <c r="K506" s="834">
        <f t="shared" si="1326"/>
        <v>0</v>
      </c>
      <c r="L506" s="834"/>
      <c r="M506" s="832" t="str">
        <f>IF($H$1784=0,"",IF(G506=0,"",IF(F506="Qty=",CONCATENATE("$",ROUND(K506*(1-$H$1784),2)," with ",($H$1784*100),"% discount"),CONCATENATE("$",ROUND(K506*(1-$H$1784),2)," with ",(($H$1784*100+F506*100)-($H$1784*100*F506)),IF(F506&gt;0,"% discounts",IF($H$1781&gt;0,"% discounts","% discount"))))))</f>
        <v/>
      </c>
      <c r="N506" s="832"/>
      <c r="O506" s="832"/>
      <c r="P506" s="832"/>
      <c r="Q506" s="832"/>
      <c r="R506" s="832"/>
      <c r="S506" s="303">
        <f t="shared" ref="S506" si="1332">E506*G506</f>
        <v>0</v>
      </c>
      <c r="T506" s="541">
        <f>VLOOKUP(A506,'Discount Lookup'!D:E,2,FALSE)*G506</f>
        <v>0</v>
      </c>
      <c r="U506" s="83">
        <f>VLOOKUP(A506,'Discount Lookup'!G:H,2,FALSE)*G506</f>
        <v>0</v>
      </c>
      <c r="V506" s="100">
        <f>E506*($J$1782)*G506</f>
        <v>0</v>
      </c>
      <c r="W506" s="100">
        <f t="shared" ref="W506" si="1333">I506</f>
        <v>0</v>
      </c>
      <c r="X506" s="100" t="b">
        <f>IF(G506&gt;0,IF(AD506="me","",G506))</f>
        <v>0</v>
      </c>
      <c r="Y506" s="201"/>
      <c r="Z506" s="838" t="str">
        <f t="shared" si="1312"/>
        <v/>
      </c>
      <c r="AA506" s="838"/>
      <c r="AB506" s="830" t="str">
        <f>IF(G506=0,"",IF(AD506="free","re-planting",IF(AD506="me","not NVP, by",IF($AD$8="yes",(VLOOKUP(A506,'Discount Lookup'!J:K,2)*G506*(1-$AC$1786)*(1+$AC$1788)),IF(AD506="NVP",(VLOOKUP(A506,'Discount Lookup'!J:K,2)*G506*(1-$AC$1786)*(1+$AC$1788)),IF(AD506="free","re-planting",IF(G506=0,"",IF($AD$8="",IF(AD506="me","not NVP, by",IF(AD506="",IF(G506&gt;0,(VLOOKUP(A506,'Discount Lookup'!J:K,2)*G506*(1-$AC$1786)*(1+$AC$1788)),""),"")),"not NVP, by"))))))))</f>
        <v/>
      </c>
      <c r="AC506" s="830"/>
      <c r="AD506" s="375" t="str">
        <f t="shared" si="1239"/>
        <v/>
      </c>
      <c r="AE506" s="833" t="str">
        <f>IF(G506&gt;0,(CONCATENATE((G506)," quantity, ",(A506)," ",B506)),"")</f>
        <v/>
      </c>
      <c r="AF506" s="833"/>
      <c r="AG506" s="833"/>
      <c r="AH506" s="91">
        <f>IF(AD506="free",0,IF(AD506="me",0,IF(G506&gt;0,(VLOOKUP(A506,'Discount Lookup'!J:K,2)*G506),0)))</f>
        <v>0</v>
      </c>
      <c r="AI506" s="92" t="str">
        <f t="shared" si="1167"/>
        <v/>
      </c>
      <c r="AJ506" s="828" t="str">
        <f t="shared" si="1314"/>
        <v/>
      </c>
      <c r="AK506" s="828"/>
      <c r="AL506" s="313" t="str">
        <f t="shared" si="1199"/>
        <v/>
      </c>
      <c r="AM506" s="312"/>
      <c r="AN506" s="101"/>
      <c r="AO506" s="101"/>
      <c r="AP506" s="101"/>
      <c r="AQ506" s="101"/>
      <c r="AR506" s="101"/>
      <c r="AS506" s="101"/>
      <c r="AT506" s="101"/>
    </row>
    <row r="507" spans="1:46" ht="12.95" customHeight="1">
      <c r="A507" s="475"/>
      <c r="B507" s="103" t="s">
        <v>359</v>
      </c>
      <c r="G507" s="359"/>
      <c r="H507" s="746"/>
      <c r="M507" s="48"/>
      <c r="N507" s="163" t="s">
        <v>268</v>
      </c>
      <c r="O507" s="48"/>
      <c r="P507" s="48"/>
      <c r="Q507" s="48"/>
      <c r="R507" s="48"/>
      <c r="S507" s="82">
        <f>E507*G507</f>
        <v>0</v>
      </c>
      <c r="T507" s="540"/>
      <c r="U507" s="83"/>
      <c r="V507" s="100" t="b">
        <f>IF(G507&gt;0,IF(AD507="me","",G507))</f>
        <v>0</v>
      </c>
      <c r="W507" s="100"/>
      <c r="X507" s="100"/>
      <c r="Y507" s="201"/>
      <c r="Z507" s="838" t="str">
        <f t="shared" si="1312"/>
        <v/>
      </c>
      <c r="AA507" s="838"/>
      <c r="AB507" s="830" t="str">
        <f>IF(G507=0,"",IF(AD507="free","re-planting",IF(AD507="me","not NVP, by",IF($AD$8="yes",(VLOOKUP(A507,'Discount Lookup'!J:K,2)*G507*(1-$AC$1786)*(1+$AC$1788)),IF(AD507="NVP",(VLOOKUP(A507,'Discount Lookup'!J:K,2)*G507*(1-$AC$1786)*(1+$AC$1788)),IF(AD507="free","re-planting",IF(G507=0,"",IF($AD$8="",IF(AD507="me","not NVP, by",IF(AD507="",IF(G507&gt;0,(VLOOKUP(A507,'Discount Lookup'!J:K,2)*G507*(1-$AC$1786)*(1+$AC$1788)),""),"")),"not NVP, by"))))))))</f>
        <v/>
      </c>
      <c r="AC507" s="830"/>
      <c r="AD507" s="375" t="str">
        <f t="shared" si="1239"/>
        <v/>
      </c>
      <c r="AE507" s="833" t="str">
        <f>IF(G507&gt;0,(CONCATENATE((G507)," quantity, ",(A507)," ",B507)),"")</f>
        <v/>
      </c>
      <c r="AF507" s="833"/>
      <c r="AG507" s="833"/>
      <c r="AH507" s="91">
        <f>IF(AD507="free",0,IF(AD507="me",0,IF(G507&gt;0,(VLOOKUP(A507,'Discount Lookup'!J:K,2)*G507),0)))</f>
        <v>0</v>
      </c>
      <c r="AI507" s="92" t="str">
        <f t="shared" ref="AI507:AI572" si="1334">IF(G507=0,"",IF(AD507="free",(K507*(1-$H$1784)),IF($AD$8="me",(K507*(1-$H$1784)),IF(AD507="me",(K507*(1-$H$1784)),(K507*(1-$H$1784))+AB507))))</f>
        <v/>
      </c>
      <c r="AJ507" s="828" t="str">
        <f t="shared" si="1314"/>
        <v/>
      </c>
      <c r="AK507" s="828"/>
      <c r="AL507" s="313" t="str">
        <f t="shared" si="1199"/>
        <v/>
      </c>
      <c r="AM507" s="312"/>
      <c r="AN507" s="101"/>
      <c r="AO507" s="101"/>
      <c r="AP507" s="101"/>
      <c r="AQ507" s="101"/>
      <c r="AR507" s="101"/>
      <c r="AS507" s="101"/>
      <c r="AT507" s="101"/>
    </row>
    <row r="508" spans="1:46" ht="12.95" customHeight="1">
      <c r="A508" s="894" t="s">
        <v>1511</v>
      </c>
      <c r="B508" s="895"/>
      <c r="C508" s="895"/>
      <c r="D508" s="895"/>
      <c r="E508" s="895"/>
      <c r="F508" s="895"/>
      <c r="G508" s="895"/>
      <c r="H508" s="774" t="s">
        <v>360</v>
      </c>
      <c r="I508" s="164" t="s">
        <v>79</v>
      </c>
      <c r="J508" s="157"/>
      <c r="K508" s="611" t="s">
        <v>45</v>
      </c>
      <c r="L508" s="630" t="s">
        <v>46</v>
      </c>
      <c r="M508" s="157"/>
      <c r="N508" s="158" t="s">
        <v>69</v>
      </c>
      <c r="O508" s="158"/>
      <c r="P508" s="164"/>
      <c r="Q508" s="164"/>
      <c r="R508" s="157"/>
      <c r="S508" s="170"/>
      <c r="T508" s="547"/>
      <c r="U508" s="171"/>
      <c r="V508" s="684" t="b">
        <f>IF(G508&gt;0,IF(AD508="me","",G508))</f>
        <v>0</v>
      </c>
      <c r="W508" s="684"/>
      <c r="X508" s="684"/>
      <c r="Y508" s="795"/>
      <c r="Z508" s="829" t="str">
        <f t="shared" si="1238"/>
        <v/>
      </c>
      <c r="AA508" s="829"/>
      <c r="AB508" s="830" t="str">
        <f>IF(G508=0,"",IF(AD508="free","re-planting",IF(AD508="me","not NVP, by",IF($AD$8="yes",(VLOOKUP(A508,'Discount Lookup'!J:K,2)*G508*(1-$AC$1786)*(1+$AC$1788)),IF(AD508="NVP",(VLOOKUP(A508,'Discount Lookup'!J:K,2)*G508*(1-$AC$1786)*(1+$AC$1788)),IF(AD508="free","re-planting",IF(G508=0,"",IF($AD$8="",IF(AD508="me","not NVP, by",IF(AD508="",IF(G508&gt;0,(VLOOKUP(A508,'Discount Lookup'!J:K,2)*G508*(1-$AC$1786)*(1+$AC$1788)),""),"")),"not NVP, by"))))))))</f>
        <v/>
      </c>
      <c r="AC508" s="830"/>
      <c r="AD508" s="375" t="str">
        <f t="shared" si="1239"/>
        <v/>
      </c>
      <c r="AE508" s="833" t="str">
        <f t="shared" si="1246"/>
        <v/>
      </c>
      <c r="AF508" s="833"/>
      <c r="AG508" s="833"/>
      <c r="AH508" s="91">
        <f>IF(AD508="free",0,IF(AD508="me",0,IF(G508&gt;0,(VLOOKUP(A508,'Discount Lookup'!J:K,2)*G508),0)))</f>
        <v>0</v>
      </c>
      <c r="AI508" s="92" t="str">
        <f t="shared" si="1334"/>
        <v/>
      </c>
      <c r="AJ508" s="828" t="str">
        <f t="shared" si="1240"/>
        <v/>
      </c>
      <c r="AK508" s="828"/>
      <c r="AL508" s="313" t="str">
        <f t="shared" si="1199"/>
        <v/>
      </c>
      <c r="AM508" s="312"/>
      <c r="AN508" s="101"/>
      <c r="AO508" s="101"/>
      <c r="AP508" s="101"/>
      <c r="AQ508" s="101"/>
      <c r="AR508" s="101"/>
      <c r="AS508" s="101"/>
      <c r="AT508" s="101"/>
    </row>
    <row r="509" spans="1:46" ht="12.95" customHeight="1">
      <c r="A509" s="383">
        <v>15</v>
      </c>
      <c r="B509" s="158" t="s">
        <v>50</v>
      </c>
      <c r="C509" s="168" t="s">
        <v>323</v>
      </c>
      <c r="D509" s="161" t="s">
        <v>90</v>
      </c>
      <c r="E509" s="162">
        <v>247.95</v>
      </c>
      <c r="F509" s="713" t="s">
        <v>1306</v>
      </c>
      <c r="G509" s="357">
        <v>0</v>
      </c>
      <c r="H509" s="748" t="str">
        <f t="shared" ref="H509" si="1335">IF(G509=0,"",IF(F509="Qty=",IF(G509=1,"plant","plants"),IF(F509&gt;0.0001,"warranty","Error")))</f>
        <v/>
      </c>
      <c r="I509" s="592">
        <f t="shared" ref="I509" si="1336">IF(F509="Qty=",(E509*G509),((E509*(1-F509))*G509))</f>
        <v>0</v>
      </c>
      <c r="J509" s="592">
        <f>IF(H509="warranty",0,(I509*($J$1782)))</f>
        <v>0</v>
      </c>
      <c r="K509" s="834">
        <f t="shared" ref="K509" si="1337">I509+J509</f>
        <v>0</v>
      </c>
      <c r="L509" s="834"/>
      <c r="M509" s="832" t="str">
        <f>IF($H$1784=0,"",IF(G509=0,"",IF(F509="Qty=",CONCATENATE("$",ROUND(K509*(1-$H$1784),2)," with ",($H$1784*100),"% discount"),CONCATENATE("$",ROUND(K509*(1-$H$1784),2)," with ",(($H$1784*100+F509*100)-($H$1784*100*F509)),IF(F509&gt;0,"% discounts",IF($H$1781&gt;0,"% discounts","% discount"))))))</f>
        <v/>
      </c>
      <c r="N509" s="832"/>
      <c r="O509" s="832"/>
      <c r="P509" s="832"/>
      <c r="Q509" s="832"/>
      <c r="R509" s="832"/>
      <c r="S509" s="303">
        <f t="shared" ref="S509" si="1338">E509*G509</f>
        <v>0</v>
      </c>
      <c r="T509" s="541">
        <f>VLOOKUP(A509,'Discount Lookup'!D:E,2,FALSE)*G509</f>
        <v>0</v>
      </c>
      <c r="U509" s="83">
        <f>VLOOKUP(A509,'Discount Lookup'!G:H,2,FALSE)*G509</f>
        <v>0</v>
      </c>
      <c r="V509" s="100">
        <f>E509*($J$1782)*G509</f>
        <v>0</v>
      </c>
      <c r="W509" s="100">
        <f t="shared" ref="W509" si="1339">I509</f>
        <v>0</v>
      </c>
      <c r="X509" s="100" t="b">
        <f t="shared" ref="X509" si="1340">IF(G509&gt;0,IF(AD509="me","",G509))</f>
        <v>0</v>
      </c>
      <c r="Y509" s="201"/>
      <c r="Z509" s="829" t="str">
        <f t="shared" si="1238"/>
        <v/>
      </c>
      <c r="AA509" s="829"/>
      <c r="AB509" s="830" t="str">
        <f>IF(G509=0,"",IF(AD509="free","re-planting",IF(AD509="me","not NVP, by",IF($AD$8="yes",(VLOOKUP(A509,'Discount Lookup'!J:K,2)*G509*(1-$AC$1786)*(1+$AC$1788)),IF(AD509="NVP",(VLOOKUP(A509,'Discount Lookup'!J:K,2)*G509*(1-$AC$1786)*(1+$AC$1788)),IF(AD509="free","re-planting",IF(G509=0,"",IF($AD$8="",IF(AD509="me","not NVP, by",IF(AD509="",IF(G509&gt;0,(VLOOKUP(A509,'Discount Lookup'!J:K,2)*G509*(1-$AC$1786)*(1+$AC$1788)),""),"")),"not NVP, by"))))))))</f>
        <v/>
      </c>
      <c r="AC509" s="830"/>
      <c r="AD509" s="375" t="str">
        <f t="shared" si="1239"/>
        <v/>
      </c>
      <c r="AE509" s="833" t="str">
        <f t="shared" si="1246"/>
        <v/>
      </c>
      <c r="AF509" s="833"/>
      <c r="AG509" s="833"/>
      <c r="AH509" s="91">
        <f>IF(AD509="free",0,IF(AD509="me",0,IF(G509&gt;0,(VLOOKUP(A509,'Discount Lookup'!J:K,2)*G509),0)))</f>
        <v>0</v>
      </c>
      <c r="AI509" s="92" t="str">
        <f t="shared" si="1334"/>
        <v/>
      </c>
      <c r="AJ509" s="828" t="str">
        <f t="shared" si="1240"/>
        <v/>
      </c>
      <c r="AK509" s="828"/>
      <c r="AL509" s="313" t="str">
        <f t="shared" si="1199"/>
        <v/>
      </c>
      <c r="AM509" s="312"/>
      <c r="AN509" s="101"/>
      <c r="AO509" s="101"/>
      <c r="AP509" s="101"/>
      <c r="AQ509" s="101"/>
      <c r="AR509" s="101"/>
      <c r="AS509" s="101"/>
      <c r="AT509" s="101"/>
    </row>
    <row r="510" spans="1:46" ht="12.95" customHeight="1">
      <c r="A510" s="472"/>
      <c r="B510" s="148" t="s">
        <v>361</v>
      </c>
      <c r="D510" s="118"/>
      <c r="E510" s="119"/>
      <c r="G510" s="358"/>
      <c r="H510" s="746"/>
      <c r="I510" s="118"/>
      <c r="M510" s="139"/>
      <c r="N510" s="122" t="s">
        <v>1369</v>
      </c>
      <c r="O510" s="123"/>
      <c r="P510" s="124"/>
      <c r="Q510" s="124"/>
      <c r="R510" s="83"/>
      <c r="S510" s="82">
        <f>E510*G510</f>
        <v>0</v>
      </c>
      <c r="T510" s="540"/>
      <c r="U510" s="83"/>
      <c r="V510" s="100" t="b">
        <f>IF(G510&gt;0,IF(AD510="me","",G510))</f>
        <v>0</v>
      </c>
      <c r="W510" s="100"/>
      <c r="X510" s="100"/>
      <c r="Y510" s="201"/>
      <c r="Z510" s="829" t="str">
        <f t="shared" si="1238"/>
        <v/>
      </c>
      <c r="AA510" s="829"/>
      <c r="AB510" s="830" t="str">
        <f>IF(G510=0,"",IF(AD510="free","re-planting",IF(AD510="me","not NVP, by",IF($AD$8="yes",(VLOOKUP(A510,'Discount Lookup'!J:K,2)*G510*(1-$AC$1786)*(1+$AC$1788)),IF(AD510="NVP",(VLOOKUP(A510,'Discount Lookup'!J:K,2)*G510*(1-$AC$1786)*(1+$AC$1788)),IF(AD510="free","re-planting",IF(G510=0,"",IF($AD$8="",IF(AD510="me","not NVP, by",IF(AD510="",IF(G510&gt;0,(VLOOKUP(A510,'Discount Lookup'!J:K,2)*G510*(1-$AC$1786)*(1+$AC$1788)),""),"")),"not NVP, by"))))))))</f>
        <v/>
      </c>
      <c r="AC510" s="830"/>
      <c r="AD510" s="375" t="str">
        <f t="shared" si="1239"/>
        <v/>
      </c>
      <c r="AE510" s="833" t="str">
        <f t="shared" si="1246"/>
        <v/>
      </c>
      <c r="AF510" s="833"/>
      <c r="AG510" s="833"/>
      <c r="AH510" s="91">
        <f>IF(AD510="free",0,IF(AD510="me",0,IF(G510&gt;0,(VLOOKUP(A510,'Discount Lookup'!J:K,2)*G510),0)))</f>
        <v>0</v>
      </c>
      <c r="AI510" s="92" t="str">
        <f t="shared" si="1334"/>
        <v/>
      </c>
      <c r="AJ510" s="828" t="str">
        <f t="shared" si="1240"/>
        <v/>
      </c>
      <c r="AK510" s="828"/>
      <c r="AL510" s="313" t="str">
        <f t="shared" si="1199"/>
        <v/>
      </c>
      <c r="AM510" s="312"/>
      <c r="AN510" s="101"/>
      <c r="AO510" s="101"/>
      <c r="AP510" s="101"/>
      <c r="AQ510" s="101"/>
      <c r="AR510" s="101"/>
      <c r="AS510" s="101"/>
      <c r="AT510" s="101"/>
    </row>
    <row r="511" spans="1:46" ht="12.95" customHeight="1">
      <c r="A511" s="889" t="s">
        <v>362</v>
      </c>
      <c r="B511" s="890"/>
      <c r="C511" s="890"/>
      <c r="D511" s="890"/>
      <c r="E511" s="890"/>
      <c r="F511" s="890"/>
      <c r="G511" s="890"/>
      <c r="H511" s="774" t="s">
        <v>363</v>
      </c>
      <c r="I511" s="164" t="s">
        <v>79</v>
      </c>
      <c r="J511" s="157"/>
      <c r="K511" s="611" t="s">
        <v>45</v>
      </c>
      <c r="L511" s="630" t="s">
        <v>46</v>
      </c>
      <c r="M511" s="157"/>
      <c r="N511" s="158" t="s">
        <v>1615</v>
      </c>
      <c r="O511" s="158"/>
      <c r="P511" s="158"/>
      <c r="Q511" s="804"/>
      <c r="R511" s="157"/>
      <c r="S511" s="170"/>
      <c r="T511" s="547"/>
      <c r="U511" s="159"/>
      <c r="V511" s="100" t="b">
        <f>IF(G511&gt;0,IF(AD511="me","",G511))</f>
        <v>0</v>
      </c>
      <c r="W511" s="100"/>
      <c r="X511" s="100"/>
      <c r="Y511" s="201"/>
      <c r="Z511" s="829" t="str">
        <f t="shared" si="1238"/>
        <v/>
      </c>
      <c r="AA511" s="829"/>
      <c r="AB511" s="830" t="str">
        <f>IF(G511=0,"",IF(AD511="free","re-planting",IF(AD511="me","not NVP, by",IF($AD$8="yes",(VLOOKUP(A511,'Discount Lookup'!J:K,2)*G511*(1-$AC$1786)*(1+$AC$1788)),IF(AD511="NVP",(VLOOKUP(A511,'Discount Lookup'!J:K,2)*G511*(1-$AC$1786)*(1+$AC$1788)),IF(AD511="free","re-planting",IF(G511=0,"",IF($AD$8="",IF(AD511="me","not NVP, by",IF(AD511="",IF(G511&gt;0,(VLOOKUP(A511,'Discount Lookup'!J:K,2)*G511*(1-$AC$1786)*(1+$AC$1788)),""),"")),"not NVP, by"))))))))</f>
        <v/>
      </c>
      <c r="AC511" s="830"/>
      <c r="AD511" s="375" t="str">
        <f t="shared" si="1239"/>
        <v/>
      </c>
      <c r="AE511" s="833" t="str">
        <f t="shared" si="1246"/>
        <v/>
      </c>
      <c r="AF511" s="833"/>
      <c r="AG511" s="833"/>
      <c r="AH511" s="91">
        <f>IF(AD511="free",0,IF(AD511="me",0,IF(G511&gt;0,(VLOOKUP(A511,'Discount Lookup'!J:K,2)*G511),0)))</f>
        <v>0</v>
      </c>
      <c r="AI511" s="92" t="str">
        <f t="shared" si="1334"/>
        <v/>
      </c>
      <c r="AJ511" s="828" t="str">
        <f t="shared" si="1240"/>
        <v/>
      </c>
      <c r="AK511" s="828"/>
      <c r="AL511" s="313" t="str">
        <f t="shared" si="1199"/>
        <v/>
      </c>
      <c r="AM511" s="312"/>
      <c r="AN511" s="101"/>
      <c r="AO511" s="101"/>
      <c r="AP511" s="101"/>
      <c r="AQ511" s="101"/>
      <c r="AR511" s="101"/>
      <c r="AS511" s="101"/>
      <c r="AT511" s="101"/>
    </row>
    <row r="512" spans="1:46" ht="12.95" customHeight="1">
      <c r="A512" s="383">
        <v>7</v>
      </c>
      <c r="B512" s="158" t="s">
        <v>50</v>
      </c>
      <c r="C512" s="160" t="s">
        <v>1632</v>
      </c>
      <c r="D512" s="161" t="s">
        <v>54</v>
      </c>
      <c r="E512" s="162">
        <v>210.95</v>
      </c>
      <c r="F512" s="713" t="s">
        <v>1306</v>
      </c>
      <c r="G512" s="357">
        <v>0</v>
      </c>
      <c r="H512" s="748" t="str">
        <f t="shared" ref="H512" si="1341">IF(G512=0,"",IF(F512="Qty=",IF(G512=1,"plant","plants"),IF(F512&gt;0.0001,"warranty","Error")))</f>
        <v/>
      </c>
      <c r="I512" s="592">
        <f t="shared" ref="I512" si="1342">IF(F512="Qty=",(E512*G512),((E512*(1-F512))*G512))</f>
        <v>0</v>
      </c>
      <c r="J512" s="592">
        <f t="shared" ref="J512:J517" si="1343">IF(H512="warranty",0,(I512*($J$1782)))</f>
        <v>0</v>
      </c>
      <c r="K512" s="834">
        <f t="shared" ref="K512" si="1344">I512+J512</f>
        <v>0</v>
      </c>
      <c r="L512" s="834"/>
      <c r="M512" s="832" t="str">
        <f t="shared" ref="M512:M517" si="1345">IF($H$1784=0,"",IF(G512=0,"",IF(F512="Qty=",CONCATENATE("$",ROUND(K512*(1-$H$1784),2)," with ",($H$1784*100),"% discount"),CONCATENATE("$",ROUND(K512*(1-$H$1784),2)," with ",(($H$1784*100+F512*100)-($H$1784*100*F512)),IF(F512&gt;0,"% discounts",IF($H$1781&gt;0,"% discounts","% discount"))))))</f>
        <v/>
      </c>
      <c r="N512" s="832"/>
      <c r="O512" s="832"/>
      <c r="P512" s="832"/>
      <c r="Q512" s="832"/>
      <c r="R512" s="832"/>
      <c r="S512" s="303">
        <f t="shared" ref="S512" si="1346">E512*G512</f>
        <v>0</v>
      </c>
      <c r="T512" s="541">
        <f>VLOOKUP(A512,'Discount Lookup'!D:E,2,FALSE)*G512</f>
        <v>0</v>
      </c>
      <c r="U512" s="83">
        <f>VLOOKUP(A512,'Discount Lookup'!G:H,2,FALSE)*G512</f>
        <v>0</v>
      </c>
      <c r="V512" s="100">
        <f t="shared" ref="V512:V517" si="1347">E512*($J$1782)*G512</f>
        <v>0</v>
      </c>
      <c r="W512" s="100">
        <f t="shared" ref="W512" si="1348">I512</f>
        <v>0</v>
      </c>
      <c r="X512" s="100" t="b">
        <f t="shared" ref="X512" si="1349">IF(G512&gt;0,IF(AD512="me","",G512))</f>
        <v>0</v>
      </c>
      <c r="Y512" s="201"/>
      <c r="Z512" s="829" t="str">
        <f t="shared" ref="Z512" si="1350">IF(G512=0,"",IF(AD512="me","",IF($AD$8="me","",IF(AD512="free","warranty",IF($AD$8="yes","NVP planting:","to NVP install:")))))</f>
        <v/>
      </c>
      <c r="AA512" s="829"/>
      <c r="AB512" s="830" t="str">
        <f>IF(G512=0,"",IF(AD512="free","re-planting",IF(AD512="me","not NVP, by",IF($AD$8="yes",(VLOOKUP(A512,'Discount Lookup'!J:K,2)*G512*(1-$AC$1786)*(1+$AC$1788)),IF(AD512="NVP",(VLOOKUP(A512,'Discount Lookup'!J:K,2)*G512*(1-$AC$1786)*(1+$AC$1788)),IF(AD512="free","re-planting",IF(G512=0,"",IF($AD$8="",IF(AD512="me","not NVP, by",IF(AD512="",IF(G512&gt;0,(VLOOKUP(A512,'Discount Lookup'!J:K,2)*G512*(1-$AC$1786)*(1+$AC$1788)),""),"")),"not NVP, by"))))))))</f>
        <v/>
      </c>
      <c r="AC512" s="830"/>
      <c r="AD512" s="375" t="str">
        <f t="shared" ref="AD512" si="1351">IF(G512=0,"",IF($AD$8="me","me",IF(H512="warranty","free",IF($AD$8="yes","NVP",""))))</f>
        <v/>
      </c>
      <c r="AE512" s="833" t="str">
        <f t="shared" si="1246"/>
        <v/>
      </c>
      <c r="AF512" s="833"/>
      <c r="AG512" s="833"/>
      <c r="AH512" s="91">
        <f>IF(AD512="free",0,IF(AD512="me",0,IF(G512&gt;0,(VLOOKUP(A512,'Discount Lookup'!J:K,2)*G512),0)))</f>
        <v>0</v>
      </c>
      <c r="AI512" s="92" t="str">
        <f t="shared" si="1334"/>
        <v/>
      </c>
      <c r="AJ512" s="828" t="str">
        <f t="shared" ref="AJ512" si="1352">IF(G512=0,"",IF(AD512="me","  delivery-only",IF($AD$8="me","  delivery-only",CONCATENATE(" $",ROUND(AI512/G512,2)," each"))))</f>
        <v/>
      </c>
      <c r="AK512" s="828"/>
      <c r="AL512" s="313" t="str">
        <f t="shared" si="1199"/>
        <v/>
      </c>
      <c r="AM512" s="312"/>
      <c r="AN512" s="101"/>
      <c r="AO512" s="101"/>
      <c r="AP512" s="101"/>
      <c r="AQ512" s="101"/>
      <c r="AR512" s="101"/>
      <c r="AS512" s="101"/>
      <c r="AT512" s="101"/>
    </row>
    <row r="513" spans="1:46" ht="12.95" customHeight="1">
      <c r="A513" s="383">
        <v>10</v>
      </c>
      <c r="B513" s="158" t="s">
        <v>50</v>
      </c>
      <c r="C513" s="160" t="s">
        <v>1633</v>
      </c>
      <c r="D513" s="161" t="s">
        <v>54</v>
      </c>
      <c r="E513" s="162">
        <v>321.95</v>
      </c>
      <c r="F513" s="713" t="s">
        <v>1306</v>
      </c>
      <c r="G513" s="357">
        <v>0</v>
      </c>
      <c r="H513" s="748" t="str">
        <f t="shared" ref="H513:H514" si="1353">IF(G513=0,"",IF(F513="Qty=",IF(G513=1,"plant","plants"),IF(F513&gt;0.0001,"warranty","Error")))</f>
        <v/>
      </c>
      <c r="I513" s="592">
        <f t="shared" ref="I513:I514" si="1354">IF(F513="Qty=",(E513*G513),((E513*(1-F513))*G513))</f>
        <v>0</v>
      </c>
      <c r="J513" s="592">
        <f t="shared" si="1343"/>
        <v>0</v>
      </c>
      <c r="K513" s="834">
        <f t="shared" ref="K513:K514" si="1355">I513+J513</f>
        <v>0</v>
      </c>
      <c r="L513" s="834"/>
      <c r="M513" s="832" t="str">
        <f t="shared" si="1345"/>
        <v/>
      </c>
      <c r="N513" s="832"/>
      <c r="O513" s="832"/>
      <c r="P513" s="832"/>
      <c r="Q513" s="832"/>
      <c r="R513" s="832"/>
      <c r="S513" s="303">
        <f t="shared" ref="S513:S514" si="1356">E513*G513</f>
        <v>0</v>
      </c>
      <c r="T513" s="541">
        <f>VLOOKUP(A513,'Discount Lookup'!D:E,2,FALSE)*G513</f>
        <v>0</v>
      </c>
      <c r="U513" s="83">
        <f>VLOOKUP(A513,'Discount Lookup'!G:H,2,FALSE)*G513</f>
        <v>0</v>
      </c>
      <c r="V513" s="100">
        <f t="shared" si="1347"/>
        <v>0</v>
      </c>
      <c r="W513" s="100">
        <f t="shared" ref="W513:W514" si="1357">I513</f>
        <v>0</v>
      </c>
      <c r="X513" s="100" t="b">
        <f t="shared" ref="X513:X514" si="1358">IF(G513&gt;0,IF(AD513="me","",G513))</f>
        <v>0</v>
      </c>
      <c r="Y513" s="201"/>
      <c r="Z513" s="829" t="str">
        <f t="shared" ref="Z513:Z514" si="1359">IF(G513=0,"",IF(AD513="me","",IF($AD$8="me","",IF(AD513="free","warranty",IF($AD$8="yes","NVP planting:","to NVP install:")))))</f>
        <v/>
      </c>
      <c r="AA513" s="829"/>
      <c r="AB513" s="830" t="str">
        <f>IF(G513=0,"",IF(AD513="free","re-planting",IF(AD513="me","not NVP, by",IF($AD$8="yes",(VLOOKUP(A513,'Discount Lookup'!J:K,2)*G513*(1-$AC$1786)*(1+$AC$1788)),IF(AD513="NVP",(VLOOKUP(A513,'Discount Lookup'!J:K,2)*G513*(1-$AC$1786)*(1+$AC$1788)),IF(AD513="free","re-planting",IF(G513=0,"",IF($AD$8="",IF(AD513="me","not NVP, by",IF(AD513="",IF(G513&gt;0,(VLOOKUP(A513,'Discount Lookup'!J:K,2)*G513*(1-$AC$1786)*(1+$AC$1788)),""),"")),"not NVP, by"))))))))</f>
        <v/>
      </c>
      <c r="AC513" s="830"/>
      <c r="AD513" s="375" t="str">
        <f t="shared" ref="AD513:AD514" si="1360">IF(G513=0,"",IF($AD$8="me","me",IF(H513="warranty","free",IF($AD$8="yes","NVP",""))))</f>
        <v/>
      </c>
      <c r="AE513" s="833" t="str">
        <f t="shared" ref="AE513:AE514" si="1361">IF(G513&gt;0,(CONCATENATE((G513)," quantity, ",(A513)," ",B513)),"")</f>
        <v/>
      </c>
      <c r="AF513" s="833"/>
      <c r="AG513" s="833"/>
      <c r="AH513" s="91">
        <f>IF(AD513="free",0,IF(AD513="me",0,IF(G513&gt;0,(VLOOKUP(A513,'Discount Lookup'!J:K,2)*G513),0)))</f>
        <v>0</v>
      </c>
      <c r="AI513" s="92" t="str">
        <f t="shared" si="1334"/>
        <v/>
      </c>
      <c r="AJ513" s="828" t="str">
        <f t="shared" ref="AJ513:AJ514" si="1362">IF(G513=0,"",IF(AD513="me","  delivery-only",IF($AD$8="me","  delivery-only",CONCATENATE(" $",ROUND(AI513/G513,2)," each"))))</f>
        <v/>
      </c>
      <c r="AK513" s="828"/>
      <c r="AL513" s="313" t="str">
        <f t="shared" si="1199"/>
        <v/>
      </c>
      <c r="AM513" s="312"/>
      <c r="AN513" s="101"/>
      <c r="AO513" s="101"/>
      <c r="AP513" s="101"/>
      <c r="AQ513" s="101"/>
      <c r="AR513" s="101"/>
      <c r="AS513" s="101"/>
      <c r="AT513" s="101"/>
    </row>
    <row r="514" spans="1:46" ht="12.95" customHeight="1">
      <c r="A514" s="383">
        <v>15</v>
      </c>
      <c r="B514" s="158" t="s">
        <v>50</v>
      </c>
      <c r="C514" s="160" t="s">
        <v>1634</v>
      </c>
      <c r="D514" s="161" t="s">
        <v>54</v>
      </c>
      <c r="E514" s="162">
        <v>390.95</v>
      </c>
      <c r="F514" s="713" t="s">
        <v>1306</v>
      </c>
      <c r="G514" s="357">
        <v>0</v>
      </c>
      <c r="H514" s="748" t="str">
        <f t="shared" si="1353"/>
        <v/>
      </c>
      <c r="I514" s="592">
        <f t="shared" si="1354"/>
        <v>0</v>
      </c>
      <c r="J514" s="592">
        <f t="shared" si="1343"/>
        <v>0</v>
      </c>
      <c r="K514" s="834">
        <f t="shared" si="1355"/>
        <v>0</v>
      </c>
      <c r="L514" s="834"/>
      <c r="M514" s="832" t="str">
        <f t="shared" si="1345"/>
        <v/>
      </c>
      <c r="N514" s="832"/>
      <c r="O514" s="832"/>
      <c r="P514" s="832"/>
      <c r="Q514" s="832"/>
      <c r="R514" s="832"/>
      <c r="S514" s="303">
        <f t="shared" si="1356"/>
        <v>0</v>
      </c>
      <c r="T514" s="541">
        <f>VLOOKUP(A514,'Discount Lookup'!D:E,2,FALSE)*G514</f>
        <v>0</v>
      </c>
      <c r="U514" s="83">
        <f>VLOOKUP(A514,'Discount Lookup'!G:H,2,FALSE)*G514</f>
        <v>0</v>
      </c>
      <c r="V514" s="100">
        <f t="shared" si="1347"/>
        <v>0</v>
      </c>
      <c r="W514" s="100">
        <f t="shared" si="1357"/>
        <v>0</v>
      </c>
      <c r="X514" s="100" t="b">
        <f t="shared" si="1358"/>
        <v>0</v>
      </c>
      <c r="Y514" s="201"/>
      <c r="Z514" s="829" t="str">
        <f t="shared" si="1359"/>
        <v/>
      </c>
      <c r="AA514" s="829"/>
      <c r="AB514" s="830" t="str">
        <f>IF(G514=0,"",IF(AD514="free","re-planting",IF(AD514="me","not NVP, by",IF($AD$8="yes",(VLOOKUP(A514,'Discount Lookup'!J:K,2)*G514*(1-$AC$1786)*(1+$AC$1788)),IF(AD514="NVP",(VLOOKUP(A514,'Discount Lookup'!J:K,2)*G514*(1-$AC$1786)*(1+$AC$1788)),IF(AD514="free","re-planting",IF(G514=0,"",IF($AD$8="",IF(AD514="me","not NVP, by",IF(AD514="",IF(G514&gt;0,(VLOOKUP(A514,'Discount Lookup'!J:K,2)*G514*(1-$AC$1786)*(1+$AC$1788)),""),"")),"not NVP, by"))))))))</f>
        <v/>
      </c>
      <c r="AC514" s="830"/>
      <c r="AD514" s="375" t="str">
        <f t="shared" si="1360"/>
        <v/>
      </c>
      <c r="AE514" s="833" t="str">
        <f t="shared" si="1361"/>
        <v/>
      </c>
      <c r="AF514" s="833"/>
      <c r="AG514" s="833"/>
      <c r="AH514" s="91">
        <f>IF(AD514="free",0,IF(AD514="me",0,IF(G514&gt;0,(VLOOKUP(A514,'Discount Lookup'!J:K,2)*G514),0)))</f>
        <v>0</v>
      </c>
      <c r="AI514" s="92" t="str">
        <f t="shared" si="1334"/>
        <v/>
      </c>
      <c r="AJ514" s="828" t="str">
        <f t="shared" si="1362"/>
        <v/>
      </c>
      <c r="AK514" s="828"/>
      <c r="AL514" s="313" t="str">
        <f t="shared" si="1199"/>
        <v/>
      </c>
      <c r="AM514" s="312"/>
      <c r="AN514" s="101"/>
      <c r="AO514" s="101"/>
      <c r="AP514" s="101"/>
      <c r="AQ514" s="101"/>
      <c r="AR514" s="101"/>
      <c r="AS514" s="101"/>
      <c r="AT514" s="101"/>
    </row>
    <row r="515" spans="1:46" ht="12.95" customHeight="1">
      <c r="A515" s="383">
        <v>20</v>
      </c>
      <c r="B515" s="158" t="s">
        <v>50</v>
      </c>
      <c r="C515" s="160" t="s">
        <v>1446</v>
      </c>
      <c r="D515" s="161" t="s">
        <v>90</v>
      </c>
      <c r="E515" s="162">
        <v>633.95000000000005</v>
      </c>
      <c r="F515" s="713" t="s">
        <v>1306</v>
      </c>
      <c r="G515" s="357">
        <v>0</v>
      </c>
      <c r="H515" s="748" t="str">
        <f t="shared" ref="H515:H517" si="1363">IF(G515=0,"",IF(F515="Qty=",IF(G515=1,"plant","plants"),IF(F515&gt;0.0001,"warranty","Error")))</f>
        <v/>
      </c>
      <c r="I515" s="592">
        <f t="shared" ref="I515:I517" si="1364">IF(F515="Qty=",(E515*G515),((E515*(1-F515))*G515))</f>
        <v>0</v>
      </c>
      <c r="J515" s="592">
        <f t="shared" si="1343"/>
        <v>0</v>
      </c>
      <c r="K515" s="834">
        <f t="shared" ref="K515:K517" si="1365">I515+J515</f>
        <v>0</v>
      </c>
      <c r="L515" s="834"/>
      <c r="M515" s="832" t="str">
        <f t="shared" si="1345"/>
        <v/>
      </c>
      <c r="N515" s="832"/>
      <c r="O515" s="832"/>
      <c r="P515" s="832"/>
      <c r="Q515" s="832"/>
      <c r="R515" s="832"/>
      <c r="S515" s="303">
        <f t="shared" ref="S515:S517" si="1366">E515*G515</f>
        <v>0</v>
      </c>
      <c r="T515" s="541">
        <f>VLOOKUP(A515,'Discount Lookup'!D:E,2,FALSE)*G515</f>
        <v>0</v>
      </c>
      <c r="U515" s="83">
        <f>VLOOKUP(A515,'Discount Lookup'!G:H,2,FALSE)*G515</f>
        <v>0</v>
      </c>
      <c r="V515" s="100">
        <f t="shared" si="1347"/>
        <v>0</v>
      </c>
      <c r="W515" s="100">
        <f t="shared" ref="W515:W517" si="1367">I515</f>
        <v>0</v>
      </c>
      <c r="X515" s="100" t="b">
        <f t="shared" ref="X515:X517" si="1368">IF(G515&gt;0,IF(AD515="me","",G515))</f>
        <v>0</v>
      </c>
      <c r="Y515" s="201"/>
      <c r="Z515" s="829" t="str">
        <f t="shared" si="1238"/>
        <v/>
      </c>
      <c r="AA515" s="829"/>
      <c r="AB515" s="830" t="str">
        <f>IF(G515=0,"",IF(AD515="free","re-planting",IF(AD515="me","not NVP, by",IF($AD$8="yes",(VLOOKUP(A515,'Discount Lookup'!J:K,2)*G515*(1-$AC$1786)*(1+$AC$1788)),IF(AD515="NVP",(VLOOKUP(A515,'Discount Lookup'!J:K,2)*G515*(1-$AC$1786)*(1+$AC$1788)),IF(AD515="free","re-planting",IF(G515=0,"",IF($AD$8="",IF(AD515="me","not NVP, by",IF(AD515="",IF(G515&gt;0,(VLOOKUP(A515,'Discount Lookup'!J:K,2)*G515*(1-$AC$1786)*(1+$AC$1788)),""),"")),"not NVP, by"))))))))</f>
        <v/>
      </c>
      <c r="AC515" s="830"/>
      <c r="AD515" s="375" t="str">
        <f t="shared" si="1239"/>
        <v/>
      </c>
      <c r="AE515" s="833" t="str">
        <f t="shared" ref="AE515:AE517" si="1369">IF(G515&gt;0,(CONCATENATE((G515)," quantity, ",(A515)," ",B515)),"")</f>
        <v/>
      </c>
      <c r="AF515" s="833"/>
      <c r="AG515" s="833"/>
      <c r="AH515" s="91">
        <f>IF(AD515="free",0,IF(AD515="me",0,IF(G515&gt;0,(VLOOKUP(A515,'Discount Lookup'!J:K,2)*G515),0)))</f>
        <v>0</v>
      </c>
      <c r="AI515" s="92" t="str">
        <f t="shared" si="1334"/>
        <v/>
      </c>
      <c r="AJ515" s="828" t="str">
        <f t="shared" si="1240"/>
        <v/>
      </c>
      <c r="AK515" s="828"/>
      <c r="AL515" s="313" t="str">
        <f t="shared" si="1199"/>
        <v/>
      </c>
      <c r="AM515" s="312"/>
      <c r="AN515" s="101"/>
      <c r="AO515" s="101"/>
      <c r="AP515" s="101"/>
      <c r="AQ515" s="101"/>
      <c r="AR515" s="101"/>
      <c r="AS515" s="101"/>
      <c r="AT515" s="101"/>
    </row>
    <row r="516" spans="1:46" ht="12.95" customHeight="1">
      <c r="A516" s="383">
        <v>25</v>
      </c>
      <c r="B516" s="158" t="s">
        <v>50</v>
      </c>
      <c r="C516" s="160" t="s">
        <v>274</v>
      </c>
      <c r="D516" s="161" t="s">
        <v>54</v>
      </c>
      <c r="E516" s="162">
        <v>790.95</v>
      </c>
      <c r="F516" s="713" t="s">
        <v>1306</v>
      </c>
      <c r="G516" s="357">
        <v>0</v>
      </c>
      <c r="H516" s="748" t="str">
        <f t="shared" si="1363"/>
        <v/>
      </c>
      <c r="I516" s="592">
        <f t="shared" si="1364"/>
        <v>0</v>
      </c>
      <c r="J516" s="592">
        <f t="shared" si="1343"/>
        <v>0</v>
      </c>
      <c r="K516" s="834">
        <f t="shared" si="1365"/>
        <v>0</v>
      </c>
      <c r="L516" s="834"/>
      <c r="M516" s="832" t="str">
        <f t="shared" si="1345"/>
        <v/>
      </c>
      <c r="N516" s="832"/>
      <c r="O516" s="832"/>
      <c r="P516" s="832"/>
      <c r="Q516" s="832"/>
      <c r="R516" s="832"/>
      <c r="S516" s="303">
        <f t="shared" ref="S516" si="1370">E516*G516</f>
        <v>0</v>
      </c>
      <c r="T516" s="541">
        <f>VLOOKUP(A516,'Discount Lookup'!D:E,2,FALSE)*G516</f>
        <v>0</v>
      </c>
      <c r="U516" s="83">
        <f>VLOOKUP(A516,'Discount Lookup'!G:H,2,FALSE)*G516</f>
        <v>0</v>
      </c>
      <c r="V516" s="100">
        <f t="shared" si="1347"/>
        <v>0</v>
      </c>
      <c r="W516" s="100">
        <f t="shared" ref="W516" si="1371">I516</f>
        <v>0</v>
      </c>
      <c r="X516" s="100" t="b">
        <f t="shared" ref="X516" si="1372">IF(G516&gt;0,IF(AD516="me","",G516))</f>
        <v>0</v>
      </c>
      <c r="Y516" s="201"/>
      <c r="Z516" s="829" t="str">
        <f t="shared" si="1238"/>
        <v/>
      </c>
      <c r="AA516" s="829"/>
      <c r="AB516" s="830" t="str">
        <f>IF(G516=0,"",IF(AD516="free","re-planting",IF(AD516="me","not NVP, by",IF($AD$8="yes",(VLOOKUP(A516,'Discount Lookup'!J:K,2)*G516*(1-$AC$1786)*(1+$AC$1788)),IF(AD516="NVP",(VLOOKUP(A516,'Discount Lookup'!J:K,2)*G516*(1-$AC$1786)*(1+$AC$1788)),IF(AD516="free","re-planting",IF(G516=0,"",IF($AD$8="",IF(AD516="me","not NVP, by",IF(AD516="",IF(G516&gt;0,(VLOOKUP(A516,'Discount Lookup'!J:K,2)*G516*(1-$AC$1786)*(1+$AC$1788)),""),"")),"not NVP, by"))))))))</f>
        <v/>
      </c>
      <c r="AC516" s="830"/>
      <c r="AD516" s="375" t="str">
        <f t="shared" si="1239"/>
        <v/>
      </c>
      <c r="AE516" s="833" t="str">
        <f t="shared" ref="AE516" si="1373">IF(G516&gt;0,(CONCATENATE((G516)," quantity, ",(A516)," ",B516)),"")</f>
        <v/>
      </c>
      <c r="AF516" s="833"/>
      <c r="AG516" s="833"/>
      <c r="AH516" s="91">
        <f>IF(AD516="free",0,IF(AD516="me",0,IF(G516&gt;0,(VLOOKUP(A516,'Discount Lookup'!J:K,2)*G516),0)))</f>
        <v>0</v>
      </c>
      <c r="AI516" s="92" t="str">
        <f t="shared" si="1334"/>
        <v/>
      </c>
      <c r="AJ516" s="828" t="str">
        <f t="shared" si="1240"/>
        <v/>
      </c>
      <c r="AK516" s="828"/>
      <c r="AL516" s="313" t="str">
        <f t="shared" si="1199"/>
        <v/>
      </c>
      <c r="AM516" s="312"/>
      <c r="AN516" s="101"/>
      <c r="AO516" s="101"/>
      <c r="AP516" s="101"/>
      <c r="AQ516" s="101"/>
      <c r="AR516" s="101"/>
      <c r="AS516" s="101"/>
      <c r="AT516" s="101"/>
    </row>
    <row r="517" spans="1:46" ht="12.95" customHeight="1">
      <c r="A517" s="383">
        <v>65</v>
      </c>
      <c r="B517" s="158" t="s">
        <v>50</v>
      </c>
      <c r="C517" s="160" t="s">
        <v>1221</v>
      </c>
      <c r="D517" s="161" t="s">
        <v>54</v>
      </c>
      <c r="E517" s="162">
        <v>1209.95</v>
      </c>
      <c r="F517" s="713" t="s">
        <v>1306</v>
      </c>
      <c r="G517" s="357">
        <v>0</v>
      </c>
      <c r="H517" s="748" t="str">
        <f t="shared" si="1363"/>
        <v/>
      </c>
      <c r="I517" s="592">
        <f t="shared" si="1364"/>
        <v>0</v>
      </c>
      <c r="J517" s="592">
        <f t="shared" si="1343"/>
        <v>0</v>
      </c>
      <c r="K517" s="834">
        <f t="shared" si="1365"/>
        <v>0</v>
      </c>
      <c r="L517" s="834"/>
      <c r="M517" s="832" t="str">
        <f t="shared" si="1345"/>
        <v/>
      </c>
      <c r="N517" s="832"/>
      <c r="O517" s="832"/>
      <c r="P517" s="832"/>
      <c r="Q517" s="832"/>
      <c r="R517" s="832"/>
      <c r="S517" s="303">
        <f t="shared" si="1366"/>
        <v>0</v>
      </c>
      <c r="T517" s="541">
        <f>VLOOKUP(A517,'Discount Lookup'!D:E,2,FALSE)*G517</f>
        <v>0</v>
      </c>
      <c r="U517" s="83">
        <f>VLOOKUP(A517,'Discount Lookup'!G:H,2,FALSE)*G517</f>
        <v>0</v>
      </c>
      <c r="V517" s="100">
        <f t="shared" si="1347"/>
        <v>0</v>
      </c>
      <c r="W517" s="100">
        <f t="shared" si="1367"/>
        <v>0</v>
      </c>
      <c r="X517" s="100" t="b">
        <f t="shared" si="1368"/>
        <v>0</v>
      </c>
      <c r="Y517" s="201"/>
      <c r="Z517" s="829" t="str">
        <f t="shared" si="1238"/>
        <v/>
      </c>
      <c r="AA517" s="829"/>
      <c r="AB517" s="830" t="str">
        <f>IF(G517=0,"",IF(AD517="free","re-planting",IF(AD517="me","not NVP, by",IF($AD$8="yes",(VLOOKUP(A517,'Discount Lookup'!J:K,2)*G517*(1-$AC$1786)*(1+$AC$1788)),IF(AD517="NVP",(VLOOKUP(A517,'Discount Lookup'!J:K,2)*G517*(1-$AC$1786)*(1+$AC$1788)),IF(AD517="free","re-planting",IF(G517=0,"",IF($AD$8="",IF(AD517="me","not NVP, by",IF(AD517="",IF(G517&gt;0,(VLOOKUP(A517,'Discount Lookup'!J:K,2)*G517*(1-$AC$1786)*(1+$AC$1788)),""),"")),"not NVP, by"))))))))</f>
        <v/>
      </c>
      <c r="AC517" s="830"/>
      <c r="AD517" s="375" t="str">
        <f t="shared" si="1239"/>
        <v/>
      </c>
      <c r="AE517" s="833" t="str">
        <f t="shared" si="1369"/>
        <v/>
      </c>
      <c r="AF517" s="833"/>
      <c r="AG517" s="833"/>
      <c r="AH517" s="91">
        <f>IF(AD517="free",0,IF(AD517="me",0,IF(G517&gt;0,(VLOOKUP(A517,'Discount Lookup'!J:K,2)*G517),0)))</f>
        <v>0</v>
      </c>
      <c r="AI517" s="92" t="str">
        <f t="shared" si="1334"/>
        <v/>
      </c>
      <c r="AJ517" s="828" t="str">
        <f t="shared" si="1240"/>
        <v/>
      </c>
      <c r="AK517" s="828"/>
      <c r="AL517" s="313" t="str">
        <f t="shared" si="1199"/>
        <v/>
      </c>
      <c r="AM517" s="312"/>
      <c r="AN517" s="101"/>
      <c r="AO517" s="101"/>
      <c r="AP517" s="101"/>
      <c r="AQ517" s="101"/>
      <c r="AR517" s="101"/>
      <c r="AS517" s="101"/>
      <c r="AT517" s="101"/>
    </row>
    <row r="518" spans="1:46" ht="12.95" customHeight="1">
      <c r="A518" s="475"/>
      <c r="B518" s="103" t="s">
        <v>364</v>
      </c>
      <c r="G518" s="361"/>
      <c r="H518" s="746"/>
      <c r="J518" s="840"/>
      <c r="K518" s="840"/>
      <c r="L518" s="840"/>
      <c r="M518" s="48"/>
      <c r="N518" s="48"/>
      <c r="O518" s="48"/>
      <c r="P518" s="48"/>
      <c r="Q518" s="841" t="s">
        <v>125</v>
      </c>
      <c r="R518" s="841"/>
      <c r="S518" s="841"/>
      <c r="T518" s="841"/>
      <c r="U518" s="841"/>
      <c r="V518" s="841"/>
      <c r="Y518" s="132"/>
      <c r="Z518" s="829" t="str">
        <f t="shared" si="1238"/>
        <v/>
      </c>
      <c r="AA518" s="829"/>
      <c r="AB518" s="830" t="str">
        <f>IF(G518=0,"",IF(AD518="free","re-planting",IF(AD518="me","not NVP, by",IF($AD$8="yes",(VLOOKUP(A518,'Discount Lookup'!J:K,2)*G518*(1-$AC$1786)*(1+$AC$1788)),IF(AD518="NVP",(VLOOKUP(A518,'Discount Lookup'!J:K,2)*G518*(1-$AC$1786)*(1+$AC$1788)),IF(AD518="free","re-planting",IF(G518=0,"",IF($AD$8="",IF(AD518="me","not NVP, by",IF(AD518="",IF(G518&gt;0,(VLOOKUP(A518,'Discount Lookup'!J:K,2)*G518*(1-$AC$1786)*(1+$AC$1788)),""),"")),"not NVP, by"))))))))</f>
        <v/>
      </c>
      <c r="AC518" s="830"/>
      <c r="AD518" s="375" t="str">
        <f t="shared" ref="AD518:AD564" si="1374">IF(G518=0,"",IF($AD$8="me","me",IF(H518="warranty","free",IF($AD$8="yes","NVP",""))))</f>
        <v/>
      </c>
      <c r="AE518" s="833" t="str">
        <f t="shared" si="1246"/>
        <v/>
      </c>
      <c r="AF518" s="833"/>
      <c r="AG518" s="833"/>
      <c r="AH518" s="91">
        <f>IF(AD518="free",0,IF(AD518="me",0,IF(G518&gt;0,(VLOOKUP(A518,'Discount Lookup'!J:K,2)*G518),0)))</f>
        <v>0</v>
      </c>
      <c r="AI518" s="92" t="str">
        <f t="shared" si="1334"/>
        <v/>
      </c>
      <c r="AJ518" s="828" t="str">
        <f t="shared" si="1240"/>
        <v/>
      </c>
      <c r="AK518" s="828"/>
      <c r="AL518" s="313" t="str">
        <f t="shared" si="1199"/>
        <v/>
      </c>
      <c r="AM518" s="312"/>
      <c r="AN518" s="101"/>
      <c r="AO518" s="101"/>
      <c r="AP518" s="101"/>
      <c r="AQ518" s="101"/>
      <c r="AR518" s="101"/>
      <c r="AS518" s="101"/>
      <c r="AT518" s="101"/>
    </row>
    <row r="519" spans="1:46" ht="12.95" customHeight="1">
      <c r="A519" s="894" t="s">
        <v>365</v>
      </c>
      <c r="B519" s="895"/>
      <c r="C519" s="895"/>
      <c r="D519" s="895"/>
      <c r="E519" s="895"/>
      <c r="F519" s="895"/>
      <c r="G519" s="895"/>
      <c r="H519" s="774" t="s">
        <v>363</v>
      </c>
      <c r="I519" s="164" t="s">
        <v>79</v>
      </c>
      <c r="J519" s="157"/>
      <c r="K519" s="611" t="s">
        <v>45</v>
      </c>
      <c r="L519" s="611" t="s">
        <v>46</v>
      </c>
      <c r="M519" s="157"/>
      <c r="N519" s="175" t="s">
        <v>157</v>
      </c>
      <c r="O519" s="176"/>
      <c r="P519" s="176"/>
      <c r="Q519" s="176"/>
      <c r="R519" s="157"/>
      <c r="S519" s="170"/>
      <c r="T519" s="547"/>
      <c r="U519" s="171"/>
      <c r="V519" s="100" t="b">
        <f>IF(G519&gt;0,IF(AD519="me","",G519))</f>
        <v>0</v>
      </c>
      <c r="W519" s="100"/>
      <c r="X519" s="100"/>
      <c r="Y519" s="201"/>
      <c r="Z519" s="829" t="str">
        <f t="shared" si="1238"/>
        <v/>
      </c>
      <c r="AA519" s="829"/>
      <c r="AB519" s="830" t="str">
        <f>IF(G519=0,"",IF(AD519="free","re-planting",IF(AD519="me","not NVP, by",IF($AD$8="yes",(VLOOKUP(A519,'Discount Lookup'!J:K,2)*G519*(1-$AC$1786)*(1+$AC$1788)),IF(AD519="NVP",(VLOOKUP(A519,'Discount Lookup'!J:K,2)*G519*(1-$AC$1786)*(1+$AC$1788)),IF(AD519="free","re-planting",IF(G519=0,"",IF($AD$8="",IF(AD519="me","not NVP, by",IF(AD519="",IF(G519&gt;0,(VLOOKUP(A519,'Discount Lookup'!J:K,2)*G519*(1-$AC$1786)*(1+$AC$1788)),""),"")),"not NVP, by"))))))))</f>
        <v/>
      </c>
      <c r="AC519" s="830"/>
      <c r="AD519" s="375" t="str">
        <f t="shared" si="1374"/>
        <v/>
      </c>
      <c r="AE519" s="833" t="str">
        <f t="shared" si="1246"/>
        <v/>
      </c>
      <c r="AF519" s="833"/>
      <c r="AG519" s="833"/>
      <c r="AH519" s="91">
        <f>IF(AD519="free",0,IF(AD519="me",0,IF(G519&gt;0,(VLOOKUP(A519,'Discount Lookup'!J:K,2)*G519),0)))</f>
        <v>0</v>
      </c>
      <c r="AI519" s="92" t="str">
        <f t="shared" si="1334"/>
        <v/>
      </c>
      <c r="AJ519" s="828" t="str">
        <f t="shared" si="1240"/>
        <v/>
      </c>
      <c r="AK519" s="828"/>
      <c r="AL519" s="313" t="str">
        <f t="shared" si="1199"/>
        <v/>
      </c>
      <c r="AM519" s="312"/>
      <c r="AN519" s="101"/>
      <c r="AO519" s="101"/>
      <c r="AP519" s="101"/>
      <c r="AQ519" s="101"/>
      <c r="AR519" s="101"/>
      <c r="AS519" s="101"/>
      <c r="AT519" s="101"/>
    </row>
    <row r="520" spans="1:46" ht="12.95" customHeight="1">
      <c r="A520" s="383">
        <v>7</v>
      </c>
      <c r="B520" s="158" t="s">
        <v>50</v>
      </c>
      <c r="C520" s="160" t="s">
        <v>91</v>
      </c>
      <c r="D520" s="161" t="s">
        <v>54</v>
      </c>
      <c r="E520" s="162">
        <v>91.95</v>
      </c>
      <c r="F520" s="713" t="s">
        <v>1306</v>
      </c>
      <c r="G520" s="357">
        <v>0</v>
      </c>
      <c r="H520" s="748" t="str">
        <f t="shared" ref="H520:H521" si="1375">IF(G520=0,"",IF(F520="Qty=",IF(G520=1,"plant","plants"),IF(F520&gt;0.0001,"warranty","Error")))</f>
        <v/>
      </c>
      <c r="I520" s="592">
        <f t="shared" ref="I520:I521" si="1376">IF(F520="Qty=",(E520*G520),((E520*(1-F520))*G520))</f>
        <v>0</v>
      </c>
      <c r="J520" s="592">
        <f>IF(H520="warranty",0,(I520*($J$1782)))</f>
        <v>0</v>
      </c>
      <c r="K520" s="834">
        <f t="shared" ref="K520:K522" si="1377">I520+J520</f>
        <v>0</v>
      </c>
      <c r="L520" s="834"/>
      <c r="M520" s="832" t="str">
        <f>IF($H$1784=0,"",IF(G520=0,"",IF(F520="Qty=",CONCATENATE("$",ROUND(K520*(1-$H$1784),2)," with ",($H$1784*100),"% discount"),CONCATENATE("$",ROUND(K520*(1-$H$1784),2)," with ",(($H$1784*100+F520*100)-($H$1784*100*F520)),IF(F520&gt;0,"% discounts",IF($H$1781&gt;0,"% discounts","% discount"))))))</f>
        <v/>
      </c>
      <c r="N520" s="832"/>
      <c r="O520" s="832"/>
      <c r="P520" s="832"/>
      <c r="Q520" s="832"/>
      <c r="R520" s="832"/>
      <c r="S520" s="303">
        <f t="shared" ref="S520:S521" si="1378">E520*G520</f>
        <v>0</v>
      </c>
      <c r="T520" s="541">
        <f>VLOOKUP(A520,'Discount Lookup'!D:E,2,FALSE)*G520</f>
        <v>0</v>
      </c>
      <c r="U520" s="83">
        <f>VLOOKUP(A520,'Discount Lookup'!G:H,2,FALSE)*G520</f>
        <v>0</v>
      </c>
      <c r="V520" s="100">
        <f>E520*($J$1782)*G520</f>
        <v>0</v>
      </c>
      <c r="W520" s="100">
        <f t="shared" ref="W520:W521" si="1379">I520</f>
        <v>0</v>
      </c>
      <c r="X520" s="100" t="b">
        <f>IF(G520&gt;0,IF(AD520="me","",G520))</f>
        <v>0</v>
      </c>
      <c r="Y520" s="201"/>
      <c r="Z520" s="829" t="str">
        <f t="shared" ref="Z520:Z521" si="1380">IF(G520=0,"",IF(AD520="me","",IF($AD$8="me","",IF(AD520="free","warranty",IF($AD$8="yes","NVP planting:","to NVP install:")))))</f>
        <v/>
      </c>
      <c r="AA520" s="829"/>
      <c r="AB520" s="830" t="str">
        <f>IF(G520=0,"",IF(AD520="free","re-planting",IF(AD520="me","not NVP, by",IF($AD$8="yes",(VLOOKUP(A520,'Discount Lookup'!J:K,2)*G520*(1-$AC$1786)*(1+$AC$1788)),IF(AD520="NVP",(VLOOKUP(A520,'Discount Lookup'!J:K,2)*G520*(1-$AC$1786)*(1+$AC$1788)),IF(AD520="free","re-planting",IF(G520=0,"",IF($AD$8="",IF(AD520="me","not NVP, by",IF(AD520="",IF(G520&gt;0,(VLOOKUP(A520,'Discount Lookup'!J:K,2)*G520*(1-$AC$1786)*(1+$AC$1788)),""),"")),"not NVP, by"))))))))</f>
        <v/>
      </c>
      <c r="AC520" s="830"/>
      <c r="AD520" s="375" t="str">
        <f t="shared" si="1374"/>
        <v/>
      </c>
      <c r="AE520" s="833" t="str">
        <f t="shared" ref="AE520:AE521" si="1381">IF(G520&gt;0,(CONCATENATE((G520)," quantity, ",(A520)," ",B520)),"")</f>
        <v/>
      </c>
      <c r="AF520" s="833"/>
      <c r="AG520" s="833"/>
      <c r="AH520" s="91">
        <f>IF(AD520="free",0,IF(AD520="me",0,IF(G520&gt;0,(VLOOKUP(A520,'Discount Lookup'!J:K,2)*G520),0)))</f>
        <v>0</v>
      </c>
      <c r="AI520" s="92" t="str">
        <f t="shared" si="1334"/>
        <v/>
      </c>
      <c r="AJ520" s="828" t="str">
        <f t="shared" ref="AJ520:AJ521" si="1382">IF(G520=0,"",IF(AD520="me","  delivery-only",IF($AD$8="me","  delivery-only",CONCATENATE(" $",ROUND(AI520/G520,2)," each"))))</f>
        <v/>
      </c>
      <c r="AK520" s="828"/>
      <c r="AL520" s="313" t="str">
        <f t="shared" si="1199"/>
        <v/>
      </c>
      <c r="AM520" s="312"/>
      <c r="AN520" s="101"/>
      <c r="AO520" s="101"/>
      <c r="AP520" s="101"/>
      <c r="AQ520" s="101"/>
      <c r="AR520" s="101"/>
      <c r="AS520" s="101"/>
      <c r="AT520" s="101"/>
    </row>
    <row r="521" spans="1:46" ht="12.95" customHeight="1">
      <c r="A521" s="383">
        <v>15</v>
      </c>
      <c r="B521" s="158" t="s">
        <v>50</v>
      </c>
      <c r="C521" s="160" t="s">
        <v>91</v>
      </c>
      <c r="D521" s="161" t="s">
        <v>87</v>
      </c>
      <c r="E521" s="162">
        <v>146.94999999999999</v>
      </c>
      <c r="F521" s="713" t="s">
        <v>1306</v>
      </c>
      <c r="G521" s="357">
        <v>0</v>
      </c>
      <c r="H521" s="748" t="str">
        <f t="shared" si="1375"/>
        <v/>
      </c>
      <c r="I521" s="592">
        <f t="shared" si="1376"/>
        <v>0</v>
      </c>
      <c r="J521" s="592">
        <f>IF(H521="warranty",0,(I521*($J$1782)))</f>
        <v>0</v>
      </c>
      <c r="K521" s="834">
        <f t="shared" si="1377"/>
        <v>0</v>
      </c>
      <c r="L521" s="834"/>
      <c r="M521" s="832" t="str">
        <f>IF($H$1784=0,"",IF(G521=0,"",IF(F521="Qty=",CONCATENATE("$",ROUND(K521*(1-$H$1784),2)," with ",($H$1784*100),"% discount"),CONCATENATE("$",ROUND(K521*(1-$H$1784),2)," with ",(($H$1784*100+F521*100)-($H$1784*100*F521)),IF(F521&gt;0,"% discounts",IF($H$1781&gt;0,"% discounts","% discount"))))))</f>
        <v/>
      </c>
      <c r="N521" s="832"/>
      <c r="O521" s="832"/>
      <c r="P521" s="832"/>
      <c r="Q521" s="832"/>
      <c r="R521" s="832"/>
      <c r="S521" s="303">
        <f t="shared" si="1378"/>
        <v>0</v>
      </c>
      <c r="T521" s="541">
        <f>VLOOKUP(A521,'Discount Lookup'!D:E,2,FALSE)*G521</f>
        <v>0</v>
      </c>
      <c r="U521" s="83">
        <f>VLOOKUP(A521,'Discount Lookup'!G:H,2,FALSE)*G521</f>
        <v>0</v>
      </c>
      <c r="V521" s="100">
        <f>E521*($J$1782)*G521</f>
        <v>0</v>
      </c>
      <c r="W521" s="100">
        <f t="shared" si="1379"/>
        <v>0</v>
      </c>
      <c r="X521" s="100" t="b">
        <f>IF(G521&gt;0,IF(AD521="me","",G521))</f>
        <v>0</v>
      </c>
      <c r="Y521" s="201"/>
      <c r="Z521" s="829" t="str">
        <f t="shared" si="1380"/>
        <v/>
      </c>
      <c r="AA521" s="829"/>
      <c r="AB521" s="830" t="str">
        <f>IF(G521=0,"",IF(AD521="free","re-planting",IF(AD521="me","not NVP, by",IF($AD$8="yes",(VLOOKUP(A521,'Discount Lookup'!J:K,2)*G521*(1-$AC$1786)*(1+$AC$1788)),IF(AD521="NVP",(VLOOKUP(A521,'Discount Lookup'!J:K,2)*G521*(1-$AC$1786)*(1+$AC$1788)),IF(AD521="free","re-planting",IF(G521=0,"",IF($AD$8="",IF(AD521="me","not NVP, by",IF(AD521="",IF(G521&gt;0,(VLOOKUP(A521,'Discount Lookup'!J:K,2)*G521*(1-$AC$1786)*(1+$AC$1788)),""),"")),"not NVP, by"))))))))</f>
        <v/>
      </c>
      <c r="AC521" s="830"/>
      <c r="AD521" s="375" t="str">
        <f t="shared" si="1374"/>
        <v/>
      </c>
      <c r="AE521" s="833" t="str">
        <f t="shared" si="1381"/>
        <v/>
      </c>
      <c r="AF521" s="833"/>
      <c r="AG521" s="833"/>
      <c r="AH521" s="91">
        <f>IF(AD521="free",0,IF(AD521="me",0,IF(G521&gt;0,(VLOOKUP(A521,'Discount Lookup'!J:K,2)*G521),0)))</f>
        <v>0</v>
      </c>
      <c r="AI521" s="92" t="str">
        <f t="shared" si="1334"/>
        <v/>
      </c>
      <c r="AJ521" s="828" t="str">
        <f t="shared" si="1382"/>
        <v/>
      </c>
      <c r="AK521" s="828"/>
      <c r="AL521" s="313" t="str">
        <f t="shared" si="1199"/>
        <v/>
      </c>
      <c r="AM521" s="312"/>
      <c r="AN521" s="101"/>
      <c r="AO521" s="101"/>
      <c r="AP521" s="101"/>
      <c r="AQ521" s="101"/>
      <c r="AR521" s="101"/>
      <c r="AS521" s="101"/>
      <c r="AT521" s="101"/>
    </row>
    <row r="522" spans="1:46" ht="12.95" customHeight="1">
      <c r="A522" s="383">
        <v>15</v>
      </c>
      <c r="B522" s="158" t="s">
        <v>50</v>
      </c>
      <c r="C522" s="160" t="s">
        <v>1434</v>
      </c>
      <c r="D522" s="161" t="s">
        <v>54</v>
      </c>
      <c r="E522" s="162">
        <v>169.95</v>
      </c>
      <c r="F522" s="713" t="s">
        <v>1306</v>
      </c>
      <c r="G522" s="357">
        <v>0</v>
      </c>
      <c r="H522" s="748" t="str">
        <f t="shared" ref="H522" si="1383">IF(G522=0,"",IF(F522="Qty=",IF(G522=1,"plant","plants"),IF(F522&gt;0.0001,"warranty","Error")))</f>
        <v/>
      </c>
      <c r="I522" s="592">
        <f t="shared" ref="I522" si="1384">IF(F522="Qty=",(E522*G522),((E522*(1-F522))*G522))</f>
        <v>0</v>
      </c>
      <c r="J522" s="592">
        <f>IF(H522="warranty",0,(I522*($J$1782)))</f>
        <v>0</v>
      </c>
      <c r="K522" s="834">
        <f t="shared" si="1377"/>
        <v>0</v>
      </c>
      <c r="L522" s="834"/>
      <c r="M522" s="832" t="str">
        <f>IF($H$1784=0,"",IF(G522=0,"",IF(F522="Qty=",CONCATENATE("$",ROUND(K522*(1-$H$1784),2)," with ",($H$1784*100),"% discount"),CONCATENATE("$",ROUND(K522*(1-$H$1784),2)," with ",(($H$1784*100+F522*100)-($H$1784*100*F522)),IF(F522&gt;0,"% discounts",IF($H$1781&gt;0,"% discounts","% discount"))))))</f>
        <v/>
      </c>
      <c r="N522" s="832"/>
      <c r="O522" s="832"/>
      <c r="P522" s="832"/>
      <c r="Q522" s="832"/>
      <c r="R522" s="832"/>
      <c r="S522" s="303">
        <f t="shared" ref="S522" si="1385">E522*G522</f>
        <v>0</v>
      </c>
      <c r="T522" s="541">
        <f>VLOOKUP(A522,'Discount Lookup'!D:E,2,FALSE)*G522</f>
        <v>0</v>
      </c>
      <c r="U522" s="83">
        <f>VLOOKUP(A522,'Discount Lookup'!G:H,2,FALSE)*G522</f>
        <v>0</v>
      </c>
      <c r="V522" s="100">
        <f>E522*($J$1782)*G522</f>
        <v>0</v>
      </c>
      <c r="W522" s="100">
        <f t="shared" ref="W522" si="1386">I522</f>
        <v>0</v>
      </c>
      <c r="X522" s="100" t="b">
        <f>IF(G522&gt;0,IF(AD522="me","",G522))</f>
        <v>0</v>
      </c>
      <c r="Y522" s="201"/>
      <c r="Z522" s="829" t="str">
        <f t="shared" si="1238"/>
        <v/>
      </c>
      <c r="AA522" s="829"/>
      <c r="AB522" s="830" t="str">
        <f>IF(G522=0,"",IF(AD522="free","re-planting",IF(AD522="me","not NVP, by",IF($AD$8="yes",(VLOOKUP(A522,'Discount Lookup'!J:K,2)*G522*(1-$AC$1786)*(1+$AC$1788)),IF(AD522="NVP",(VLOOKUP(A522,'Discount Lookup'!J:K,2)*G522*(1-$AC$1786)*(1+$AC$1788)),IF(AD522="free","re-planting",IF(G522=0,"",IF($AD$8="",IF(AD522="me","not NVP, by",IF(AD522="",IF(G522&gt;0,(VLOOKUP(A522,'Discount Lookup'!J:K,2)*G522*(1-$AC$1786)*(1+$AC$1788)),""),"")),"not NVP, by"))))))))</f>
        <v/>
      </c>
      <c r="AC522" s="830"/>
      <c r="AD522" s="375" t="str">
        <f t="shared" si="1374"/>
        <v/>
      </c>
      <c r="AE522" s="833" t="str">
        <f t="shared" si="1246"/>
        <v/>
      </c>
      <c r="AF522" s="833"/>
      <c r="AG522" s="833"/>
      <c r="AH522" s="91">
        <f>IF(AD522="free",0,IF(AD522="me",0,IF(G522&gt;0,(VLOOKUP(A522,'Discount Lookup'!J:K,2)*G522),0)))</f>
        <v>0</v>
      </c>
      <c r="AI522" s="92" t="str">
        <f t="shared" si="1334"/>
        <v/>
      </c>
      <c r="AJ522" s="828" t="str">
        <f t="shared" si="1240"/>
        <v/>
      </c>
      <c r="AK522" s="828"/>
      <c r="AL522" s="313" t="str">
        <f t="shared" si="1199"/>
        <v/>
      </c>
      <c r="AM522" s="312"/>
      <c r="AN522" s="101"/>
      <c r="AO522" s="101"/>
      <c r="AP522" s="101"/>
      <c r="AQ522" s="101"/>
      <c r="AR522" s="101"/>
      <c r="AS522" s="101"/>
      <c r="AT522" s="101"/>
    </row>
    <row r="523" spans="1:46" ht="12.95" customHeight="1">
      <c r="A523" s="475"/>
      <c r="B523" s="103" t="s">
        <v>1200</v>
      </c>
      <c r="G523" s="361"/>
      <c r="H523" s="746"/>
      <c r="M523" s="121"/>
      <c r="N523" s="122" t="s">
        <v>277</v>
      </c>
      <c r="O523" s="123"/>
      <c r="P523" s="124">
        <f>VLOOKUP(A523,'Discount Lookup'!G:H,2,FALSE)*G523</f>
        <v>0</v>
      </c>
      <c r="Q523" s="124"/>
      <c r="R523" s="83">
        <f>IF(F523=0,E523*($J$1782)*G523,0)</f>
        <v>0</v>
      </c>
      <c r="S523" s="82">
        <f>E523*G523</f>
        <v>0</v>
      </c>
      <c r="T523" s="540"/>
      <c r="U523" s="83"/>
      <c r="V523" s="100" t="b">
        <f>IF(G523&gt;0,IF(AD523="me","",G523))</f>
        <v>0</v>
      </c>
      <c r="W523" s="100"/>
      <c r="X523" s="100"/>
      <c r="Y523" s="201"/>
      <c r="Z523" s="829" t="str">
        <f t="shared" si="1238"/>
        <v/>
      </c>
      <c r="AA523" s="829"/>
      <c r="AB523" s="830" t="str">
        <f>IF(G523=0,"",IF(AD523="free","re-planting",IF(AD523="me","not NVP, by",IF($AD$8="yes",(VLOOKUP(A523,'Discount Lookup'!J:K,2)*G523*(1-$AC$1786)*(1+$AC$1788)),IF(AD523="NVP",(VLOOKUP(A523,'Discount Lookup'!J:K,2)*G523*(1-$AC$1786)*(1+$AC$1788)),IF(AD523="free","re-planting",IF(G523=0,"",IF($AD$8="",IF(AD523="me","not NVP, by",IF(AD523="",IF(G523&gt;0,(VLOOKUP(A523,'Discount Lookup'!J:K,2)*G523*(1-$AC$1786)*(1+$AC$1788)),""),"")),"not NVP, by"))))))))</f>
        <v/>
      </c>
      <c r="AC523" s="830"/>
      <c r="AD523" s="375" t="str">
        <f t="shared" si="1374"/>
        <v/>
      </c>
      <c r="AE523" s="833" t="str">
        <f t="shared" si="1246"/>
        <v/>
      </c>
      <c r="AF523" s="833"/>
      <c r="AG523" s="833"/>
      <c r="AH523" s="91">
        <f>IF(AD523="free",0,IF(AD523="me",0,IF(G523&gt;0,(VLOOKUP(A523,'Discount Lookup'!J:K,2)*G523),0)))</f>
        <v>0</v>
      </c>
      <c r="AI523" s="92" t="str">
        <f t="shared" si="1334"/>
        <v/>
      </c>
      <c r="AJ523" s="828" t="str">
        <f t="shared" si="1240"/>
        <v/>
      </c>
      <c r="AK523" s="828"/>
      <c r="AL523" s="313" t="str">
        <f t="shared" ref="AL523:AL586" si="1387">IF(AD523="free","      ~ discounts included, no tax or planting fee applies ~",IF(G523=0,"",IF($AD$8="me",CONCATENATE(" $",ROUND(AI523/G523,2)," per plant, with tax &amp; discount"),IF(AD523="me",CONCATENATE(" $",ROUND(AI523/G523,2)," per plant, with tax &amp; discount"),CONCATENATE("= $",ROUND((K523*(1-$H$1784))/G523,2)," per plant + $",AB523/G523,(" per planting      ~ includes tax &amp; discounts ~"))))))</f>
        <v/>
      </c>
      <c r="AM523" s="312"/>
      <c r="AN523" s="101"/>
      <c r="AO523" s="101"/>
      <c r="AP523" s="101"/>
      <c r="AQ523" s="101"/>
      <c r="AR523" s="101"/>
      <c r="AS523" s="101"/>
      <c r="AT523" s="101"/>
    </row>
    <row r="524" spans="1:46" ht="12.75" customHeight="1">
      <c r="A524" s="889" t="s">
        <v>366</v>
      </c>
      <c r="B524" s="890"/>
      <c r="C524" s="890"/>
      <c r="D524" s="890"/>
      <c r="E524" s="890"/>
      <c r="F524" s="890"/>
      <c r="G524" s="890"/>
      <c r="H524" s="774" t="s">
        <v>363</v>
      </c>
      <c r="I524" s="349" t="s">
        <v>280</v>
      </c>
      <c r="J524" s="157"/>
      <c r="K524" s="611" t="s">
        <v>45</v>
      </c>
      <c r="L524" s="630" t="s">
        <v>46</v>
      </c>
      <c r="M524" s="157"/>
      <c r="N524" s="158" t="s">
        <v>69</v>
      </c>
      <c r="O524" s="165"/>
      <c r="P524" s="166"/>
      <c r="Q524" s="166"/>
      <c r="R524" s="157"/>
      <c r="S524" s="170"/>
      <c r="T524" s="547"/>
      <c r="U524" s="171"/>
      <c r="V524" s="100" t="b">
        <f>IF(G524&gt;0,IF(AD524="me","",G524))</f>
        <v>0</v>
      </c>
      <c r="W524" s="100"/>
      <c r="X524" s="100"/>
      <c r="Y524" s="201"/>
      <c r="Z524" s="829" t="str">
        <f t="shared" si="1238"/>
        <v/>
      </c>
      <c r="AA524" s="829"/>
      <c r="AB524" s="830" t="str">
        <f>IF(G524=0,"",IF(AD524="free","re-planting",IF(AD524="me","not NVP, by",IF($AD$8="yes",(VLOOKUP(A524,'Discount Lookup'!J:K,2)*G524*(1-$AC$1786)*(1+$AC$1788)),IF(AD524="NVP",(VLOOKUP(A524,'Discount Lookup'!J:K,2)*G524*(1-$AC$1786)*(1+$AC$1788)),IF(AD524="free","re-planting",IF(G524=0,"",IF($AD$8="",IF(AD524="me","not NVP, by",IF(AD524="",IF(G524&gt;0,(VLOOKUP(A524,'Discount Lookup'!J:K,2)*G524*(1-$AC$1786)*(1+$AC$1788)),""),"")),"not NVP, by"))))))))</f>
        <v/>
      </c>
      <c r="AC524" s="830"/>
      <c r="AD524" s="375" t="str">
        <f t="shared" si="1374"/>
        <v/>
      </c>
      <c r="AE524" s="833" t="str">
        <f t="shared" si="1246"/>
        <v/>
      </c>
      <c r="AF524" s="833"/>
      <c r="AG524" s="833"/>
      <c r="AH524" s="91">
        <f>IF(AD524="free",0,IF(AD524="me",0,IF(G524&gt;0,(VLOOKUP(A524,'Discount Lookup'!J:K,2)*G524),0)))</f>
        <v>0</v>
      </c>
      <c r="AI524" s="92" t="str">
        <f t="shared" si="1334"/>
        <v/>
      </c>
      <c r="AJ524" s="828" t="str">
        <f t="shared" si="1240"/>
        <v/>
      </c>
      <c r="AK524" s="828"/>
      <c r="AL524" s="313" t="str">
        <f t="shared" si="1387"/>
        <v/>
      </c>
      <c r="AM524" s="312"/>
      <c r="AN524" s="101"/>
      <c r="AO524" s="101"/>
      <c r="AP524" s="101"/>
      <c r="AQ524" s="101"/>
      <c r="AR524" s="101"/>
      <c r="AS524" s="101"/>
      <c r="AT524" s="101"/>
    </row>
    <row r="525" spans="1:46" ht="12.95" customHeight="1">
      <c r="A525" s="383">
        <v>15</v>
      </c>
      <c r="B525" s="158" t="s">
        <v>50</v>
      </c>
      <c r="C525" s="160" t="s">
        <v>263</v>
      </c>
      <c r="D525" s="161" t="s">
        <v>54</v>
      </c>
      <c r="E525" s="162">
        <v>169.95</v>
      </c>
      <c r="F525" s="713" t="s">
        <v>1306</v>
      </c>
      <c r="G525" s="357">
        <v>0</v>
      </c>
      <c r="H525" s="748" t="str">
        <f t="shared" ref="H525" si="1388">IF(G525=0,"",IF(F525="Qty=",IF(G525=1,"plant","plants"),IF(F525&gt;0.0001,"warranty","Error")))</f>
        <v/>
      </c>
      <c r="I525" s="592">
        <f t="shared" ref="I525" si="1389">IF(F525="Qty=",(E525*G525),((E525*(1-F525))*G525))</f>
        <v>0</v>
      </c>
      <c r="J525" s="592">
        <f>IF(H525="warranty",0,(I525*($J$1782)))</f>
        <v>0</v>
      </c>
      <c r="K525" s="834">
        <f t="shared" ref="K525:K526" si="1390">I525+J525</f>
        <v>0</v>
      </c>
      <c r="L525" s="834"/>
      <c r="M525" s="832" t="str">
        <f>IF($H$1784=0,"",IF(G525=0,"",IF(F525="Qty=",CONCATENATE("$",ROUND(K525*(1-$H$1784),2)," with ",($H$1784*100),"% discount"),CONCATENATE("$",ROUND(K525*(1-$H$1784),2)," with ",(($H$1784*100+F525*100)-($H$1784*100*F525)),IF(F525&gt;0,"% discounts",IF($H$1781&gt;0,"% discounts","% discount"))))))</f>
        <v/>
      </c>
      <c r="N525" s="832"/>
      <c r="O525" s="832"/>
      <c r="P525" s="832"/>
      <c r="Q525" s="832"/>
      <c r="R525" s="832"/>
      <c r="S525" s="303">
        <f t="shared" ref="S525" si="1391">E525*G525</f>
        <v>0</v>
      </c>
      <c r="T525" s="541">
        <f>VLOOKUP(A525,'Discount Lookup'!D:E,2,FALSE)*G525</f>
        <v>0</v>
      </c>
      <c r="U525" s="83">
        <f>VLOOKUP(A525,'Discount Lookup'!G:H,2,FALSE)*G525</f>
        <v>0</v>
      </c>
      <c r="V525" s="100">
        <f>E525*($J$1782)*G525</f>
        <v>0</v>
      </c>
      <c r="W525" s="100">
        <f t="shared" ref="W525" si="1392">I525</f>
        <v>0</v>
      </c>
      <c r="X525" s="100" t="b">
        <f>IF(G525&gt;0,IF(AD525="me","",G525))</f>
        <v>0</v>
      </c>
      <c r="Y525" s="201"/>
      <c r="Z525" s="829" t="str">
        <f t="shared" ref="Z525:Z577" si="1393">IF(G525=0,"",IF(AD525="me","",IF($AD$8="me","",IF(AD525="free","warranty",IF($AD$8="yes","NVP planting:","to NVP install:")))))</f>
        <v/>
      </c>
      <c r="AA525" s="829"/>
      <c r="AB525" s="830" t="str">
        <f>IF(G525=0,"",IF(AD525="free","re-planting",IF(AD525="me","not NVP, by",IF($AD$8="yes",(VLOOKUP(A525,'Discount Lookup'!J:K,2)*G525*(1-$AC$1786)*(1+$AC$1788)),IF(AD525="NVP",(VLOOKUP(A525,'Discount Lookup'!J:K,2)*G525*(1-$AC$1786)*(1+$AC$1788)),IF(AD525="free","re-planting",IF(G525=0,"",IF($AD$8="",IF(AD525="me","not NVP, by",IF(AD525="",IF(G525&gt;0,(VLOOKUP(A525,'Discount Lookup'!J:K,2)*G525*(1-$AC$1786)*(1+$AC$1788)),""),"")),"not NVP, by"))))))))</f>
        <v/>
      </c>
      <c r="AC525" s="830"/>
      <c r="AD525" s="375" t="str">
        <f t="shared" si="1374"/>
        <v/>
      </c>
      <c r="AE525" s="833" t="str">
        <f t="shared" si="1246"/>
        <v/>
      </c>
      <c r="AF525" s="833"/>
      <c r="AG525" s="833"/>
      <c r="AH525" s="91">
        <f>IF(AD525="free",0,IF(AD525="me",0,IF(G525&gt;0,(VLOOKUP(A525,'Discount Lookup'!J:K,2)*G525),0)))</f>
        <v>0</v>
      </c>
      <c r="AI525" s="92" t="str">
        <f t="shared" si="1334"/>
        <v/>
      </c>
      <c r="AJ525" s="828" t="str">
        <f t="shared" ref="AJ525:AJ577" si="1394">IF(G525=0,"",IF(AD525="me","  delivery-only",IF($AD$8="me","  delivery-only",CONCATENATE(" $",ROUND(AI525/G525,2)," each"))))</f>
        <v/>
      </c>
      <c r="AK525" s="828"/>
      <c r="AL525" s="313" t="str">
        <f t="shared" si="1387"/>
        <v/>
      </c>
      <c r="AM525" s="312"/>
      <c r="AN525" s="101"/>
      <c r="AO525" s="101"/>
      <c r="AP525" s="101"/>
      <c r="AQ525" s="101"/>
      <c r="AR525" s="101"/>
      <c r="AS525" s="101"/>
      <c r="AT525" s="101"/>
    </row>
    <row r="526" spans="1:46" ht="12.95" customHeight="1">
      <c r="A526" s="383">
        <v>15</v>
      </c>
      <c r="B526" s="158" t="s">
        <v>50</v>
      </c>
      <c r="C526" s="160" t="s">
        <v>292</v>
      </c>
      <c r="D526" s="161" t="s">
        <v>90</v>
      </c>
      <c r="E526" s="162">
        <v>290.95</v>
      </c>
      <c r="F526" s="713" t="s">
        <v>1306</v>
      </c>
      <c r="G526" s="357">
        <v>0</v>
      </c>
      <c r="H526" s="748" t="str">
        <f t="shared" ref="H526" si="1395">IF(G526=0,"",IF(F526="Qty=",IF(G526=1,"plant","plants"),IF(F526&gt;0.0001,"warranty","Error")))</f>
        <v/>
      </c>
      <c r="I526" s="592">
        <f t="shared" ref="I526" si="1396">IF(F526="Qty=",(E526*G526),((E526*(1-F526))*G526))</f>
        <v>0</v>
      </c>
      <c r="J526" s="592">
        <f>IF(H526="warranty",0,(I526*($J$1782)))</f>
        <v>0</v>
      </c>
      <c r="K526" s="834">
        <f t="shared" si="1390"/>
        <v>0</v>
      </c>
      <c r="L526" s="834"/>
      <c r="M526" s="832" t="str">
        <f>IF($H$1784=0,"",IF(G526=0,"",IF(F526="Qty=",CONCATENATE("$",ROUND(K526*(1-$H$1784),2)," with ",($H$1784*100),"% discount"),CONCATENATE("$",ROUND(K526*(1-$H$1784),2)," with ",(($H$1784*100+F526*100)-($H$1784*100*F526)),IF(F526&gt;0,"% discounts",IF($H$1781&gt;0,"% discounts","% discount"))))))</f>
        <v/>
      </c>
      <c r="N526" s="832"/>
      <c r="O526" s="832"/>
      <c r="P526" s="832"/>
      <c r="Q526" s="832"/>
      <c r="R526" s="832"/>
      <c r="S526" s="303">
        <f t="shared" ref="S526" si="1397">E526*G526</f>
        <v>0</v>
      </c>
      <c r="T526" s="541">
        <f>VLOOKUP(A526,'Discount Lookup'!D:E,2,FALSE)*G526</f>
        <v>0</v>
      </c>
      <c r="U526" s="83">
        <f>VLOOKUP(A526,'Discount Lookup'!G:H,2,FALSE)*G526</f>
        <v>0</v>
      </c>
      <c r="V526" s="100">
        <f>E526*($J$1782)*G526</f>
        <v>0</v>
      </c>
      <c r="W526" s="100">
        <f t="shared" ref="W526" si="1398">I526</f>
        <v>0</v>
      </c>
      <c r="X526" s="100" t="b">
        <f>IF(G526&gt;0,IF(AD526="me","",G526))</f>
        <v>0</v>
      </c>
      <c r="Y526" s="201"/>
      <c r="Z526" s="829" t="str">
        <f t="shared" ref="Z526" si="1399">IF(G526=0,"",IF(AD526="me","",IF($AD$8="me","",IF(AD526="free","warranty",IF($AD$8="yes","NVP planting:","to NVP install:")))))</f>
        <v/>
      </c>
      <c r="AA526" s="829"/>
      <c r="AB526" s="830" t="str">
        <f>IF(G526=0,"",IF(AD526="free","re-planting",IF(AD526="me","not NVP, by",IF($AD$8="yes",(VLOOKUP(A526,'Discount Lookup'!J:K,2)*G526*(1-$AC$1786)*(1+$AC$1788)),IF(AD526="NVP",(VLOOKUP(A526,'Discount Lookup'!J:K,2)*G526*(1-$AC$1786)*(1+$AC$1788)),IF(AD526="free","re-planting",IF(G526=0,"",IF($AD$8="",IF(AD526="me","not NVP, by",IF(AD526="",IF(G526&gt;0,(VLOOKUP(A526,'Discount Lookup'!J:K,2)*G526*(1-$AC$1786)*(1+$AC$1788)),""),"")),"not NVP, by"))))))))</f>
        <v/>
      </c>
      <c r="AC526" s="830"/>
      <c r="AD526" s="375" t="str">
        <f t="shared" si="1374"/>
        <v/>
      </c>
      <c r="AE526" s="833" t="str">
        <f t="shared" ref="AE526" si="1400">IF(G526&gt;0,(CONCATENATE((G526)," quantity, ",(A526)," ",B526)),"")</f>
        <v/>
      </c>
      <c r="AF526" s="833"/>
      <c r="AG526" s="833"/>
      <c r="AH526" s="91">
        <f>IF(AD526="free",0,IF(AD526="me",0,IF(G526&gt;0,(VLOOKUP(A526,'Discount Lookup'!J:K,2)*G526),0)))</f>
        <v>0</v>
      </c>
      <c r="AI526" s="92" t="str">
        <f t="shared" si="1334"/>
        <v/>
      </c>
      <c r="AJ526" s="828" t="str">
        <f t="shared" ref="AJ526" si="1401">IF(G526=0,"",IF(AD526="me","  delivery-only",IF($AD$8="me","  delivery-only",CONCATENATE(" $",ROUND(AI526/G526,2)," each"))))</f>
        <v/>
      </c>
      <c r="AK526" s="828"/>
      <c r="AL526" s="313" t="str">
        <f t="shared" si="1387"/>
        <v/>
      </c>
      <c r="AM526" s="312"/>
      <c r="AN526" s="101"/>
      <c r="AO526" s="101"/>
      <c r="AP526" s="101"/>
      <c r="AQ526" s="101"/>
      <c r="AR526" s="101"/>
      <c r="AS526" s="101"/>
      <c r="AT526" s="101"/>
    </row>
    <row r="527" spans="1:46" ht="12.95" customHeight="1">
      <c r="A527" s="472"/>
      <c r="B527" s="173" t="s">
        <v>367</v>
      </c>
      <c r="D527" s="118"/>
      <c r="E527" s="119"/>
      <c r="F527" s="711"/>
      <c r="G527" s="358"/>
      <c r="H527" s="745"/>
      <c r="I527" s="119"/>
      <c r="J527" s="119"/>
      <c r="K527" s="609"/>
      <c r="L527" s="609"/>
      <c r="M527" s="48"/>
      <c r="N527" s="163" t="s">
        <v>268</v>
      </c>
      <c r="O527" s="123"/>
      <c r="P527" s="124"/>
      <c r="Q527" s="124"/>
      <c r="R527" s="83"/>
      <c r="S527" s="82"/>
      <c r="T527" s="540"/>
      <c r="U527" s="83"/>
      <c r="V527" s="100" t="b">
        <f>IF(G527&gt;0,IF(AD527="me","",G527))</f>
        <v>0</v>
      </c>
      <c r="W527" s="100"/>
      <c r="X527" s="100"/>
      <c r="Y527" s="201"/>
      <c r="Z527" s="829" t="str">
        <f t="shared" si="1393"/>
        <v/>
      </c>
      <c r="AA527" s="829"/>
      <c r="AB527" s="830" t="str">
        <f>IF(G527=0,"",IF(AD527="free","re-planting",IF(AD527="me","not NVP, by",IF($AD$8="yes",(VLOOKUP(A527,'Discount Lookup'!J:K,2)*G527*(1-$AC$1786)*(1+$AC$1788)),IF(AD527="NVP",(VLOOKUP(A527,'Discount Lookup'!J:K,2)*G527*(1-$AC$1786)*(1+$AC$1788)),IF(AD527="free","re-planting",IF(G527=0,"",IF($AD$8="",IF(AD527="me","not NVP, by",IF(AD527="",IF(G527&gt;0,(VLOOKUP(A527,'Discount Lookup'!J:K,2)*G527*(1-$AC$1786)*(1+$AC$1788)),""),"")),"not NVP, by"))))))))</f>
        <v/>
      </c>
      <c r="AC527" s="830"/>
      <c r="AD527" s="375" t="str">
        <f t="shared" si="1374"/>
        <v/>
      </c>
      <c r="AE527" s="833" t="str">
        <f t="shared" si="1246"/>
        <v/>
      </c>
      <c r="AF527" s="833"/>
      <c r="AG527" s="833"/>
      <c r="AH527" s="91">
        <f>IF(AD527="free",0,IF(AD527="me",0,IF(G527&gt;0,(VLOOKUP(A527,'Discount Lookup'!J:K,2)*G527),0)))</f>
        <v>0</v>
      </c>
      <c r="AI527" s="92" t="str">
        <f t="shared" si="1334"/>
        <v/>
      </c>
      <c r="AJ527" s="828" t="str">
        <f t="shared" si="1394"/>
        <v/>
      </c>
      <c r="AK527" s="828"/>
      <c r="AL527" s="313" t="str">
        <f t="shared" si="1387"/>
        <v/>
      </c>
      <c r="AM527" s="312"/>
      <c r="AN527" s="101"/>
      <c r="AO527" s="101"/>
      <c r="AP527" s="101"/>
      <c r="AQ527" s="101"/>
      <c r="AR527" s="101"/>
      <c r="AS527" s="101"/>
      <c r="AT527" s="101"/>
    </row>
    <row r="528" spans="1:46" ht="12.95" customHeight="1">
      <c r="A528" s="889" t="s">
        <v>1212</v>
      </c>
      <c r="B528" s="890"/>
      <c r="C528" s="890"/>
      <c r="D528" s="890"/>
      <c r="E528" s="890"/>
      <c r="F528" s="890"/>
      <c r="G528" s="890"/>
      <c r="H528" s="774" t="s">
        <v>363</v>
      </c>
      <c r="I528" s="164" t="s">
        <v>79</v>
      </c>
      <c r="J528" s="157"/>
      <c r="K528" s="611" t="s">
        <v>45</v>
      </c>
      <c r="L528" s="630" t="s">
        <v>46</v>
      </c>
      <c r="M528" s="157"/>
      <c r="N528" s="158" t="s">
        <v>69</v>
      </c>
      <c r="O528" s="165"/>
      <c r="P528" s="166"/>
      <c r="Q528" s="166"/>
      <c r="R528" s="157"/>
      <c r="S528" s="170"/>
      <c r="T528" s="547"/>
      <c r="U528" s="171"/>
      <c r="V528" s="100" t="b">
        <f>IF(G528&gt;0,IF(AD528="me","",G528))</f>
        <v>0</v>
      </c>
      <c r="W528" s="100"/>
      <c r="X528" s="100"/>
      <c r="Y528" s="201"/>
      <c r="Z528" s="829" t="str">
        <f t="shared" si="1393"/>
        <v/>
      </c>
      <c r="AA528" s="829"/>
      <c r="AB528" s="830" t="str">
        <f>IF(G528=0,"",IF(AD528="free","re-planting",IF(AD528="me","not NVP, by",IF($AD$8="yes",(VLOOKUP(A528,'Discount Lookup'!J:K,2)*G528*(1-$AC$1786)*(1+$AC$1788)),IF(AD528="NVP",(VLOOKUP(A528,'Discount Lookup'!J:K,2)*G528*(1-$AC$1786)*(1+$AC$1788)),IF(AD528="free","re-planting",IF(G528=0,"",IF($AD$8="",IF(AD528="me","not NVP, by",IF(AD528="",IF(G528&gt;0,(VLOOKUP(A528,'Discount Lookup'!J:K,2)*G528*(1-$AC$1786)*(1+$AC$1788)),""),"")),"not NVP, by"))))))))</f>
        <v/>
      </c>
      <c r="AC528" s="830"/>
      <c r="AD528" s="375" t="str">
        <f t="shared" si="1374"/>
        <v/>
      </c>
      <c r="AE528" s="833" t="str">
        <f t="shared" ref="AE528:AE530" si="1402">IF(G528&gt;0,(CONCATENATE((G528)," quantity, ",(A528)," ",B528)),"")</f>
        <v/>
      </c>
      <c r="AF528" s="833"/>
      <c r="AG528" s="833"/>
      <c r="AH528" s="91">
        <f>IF(AD528="free",0,IF(AD528="me",0,IF(G528&gt;0,(VLOOKUP(A528,'Discount Lookup'!J:K,2)*G528),0)))</f>
        <v>0</v>
      </c>
      <c r="AI528" s="92" t="str">
        <f t="shared" si="1334"/>
        <v/>
      </c>
      <c r="AJ528" s="828" t="str">
        <f t="shared" si="1394"/>
        <v/>
      </c>
      <c r="AK528" s="828"/>
      <c r="AL528" s="313" t="str">
        <f t="shared" si="1387"/>
        <v/>
      </c>
      <c r="AM528" s="312"/>
      <c r="AN528" s="101"/>
      <c r="AO528" s="101"/>
      <c r="AP528" s="101"/>
      <c r="AQ528" s="101"/>
      <c r="AR528" s="101"/>
      <c r="AS528" s="101"/>
      <c r="AT528" s="101"/>
    </row>
    <row r="529" spans="1:46" ht="12.95" customHeight="1">
      <c r="A529" s="383">
        <v>15</v>
      </c>
      <c r="B529" s="158" t="s">
        <v>50</v>
      </c>
      <c r="C529" s="160" t="s">
        <v>1479</v>
      </c>
      <c r="D529" s="161" t="s">
        <v>54</v>
      </c>
      <c r="E529" s="162">
        <v>169.95</v>
      </c>
      <c r="F529" s="713" t="s">
        <v>1306</v>
      </c>
      <c r="G529" s="357">
        <v>0</v>
      </c>
      <c r="H529" s="748" t="str">
        <f t="shared" ref="H529" si="1403">IF(G529=0,"",IF(F529="Qty=",IF(G529=1,"plant","plants"),IF(F529&gt;0.0001,"warranty","Error")))</f>
        <v/>
      </c>
      <c r="I529" s="592">
        <f t="shared" ref="I529" si="1404">IF(F529="Qty=",(E529*G529),((E529*(1-F529))*G529))</f>
        <v>0</v>
      </c>
      <c r="J529" s="592">
        <f>IF(H529="warranty",0,(I529*($J$1782)))</f>
        <v>0</v>
      </c>
      <c r="K529" s="834">
        <f t="shared" ref="K529" si="1405">I529+J529</f>
        <v>0</v>
      </c>
      <c r="L529" s="834"/>
      <c r="M529" s="832" t="str">
        <f>IF($H$1784=0,"",IF(G529=0,"",IF(F529="Qty=",CONCATENATE("$",ROUND(K529*(1-$H$1784),2)," with ",($H$1784*100),"% discount"),CONCATENATE("$",ROUND(K529*(1-$H$1784),2)," with ",(($H$1784*100+F529*100)-($H$1784*100*F529)),IF(F529&gt;0,"% discounts",IF($H$1781&gt;0,"% discounts","% discount"))))))</f>
        <v/>
      </c>
      <c r="N529" s="832"/>
      <c r="O529" s="832"/>
      <c r="P529" s="832"/>
      <c r="Q529" s="832"/>
      <c r="R529" s="832"/>
      <c r="S529" s="303">
        <f t="shared" ref="S529" si="1406">E529*G529</f>
        <v>0</v>
      </c>
      <c r="T529" s="541">
        <f>VLOOKUP(A529,'Discount Lookup'!D:E,2,FALSE)*G529</f>
        <v>0</v>
      </c>
      <c r="U529" s="83">
        <f>VLOOKUP(A529,'Discount Lookup'!G:H,2,FALSE)*G529</f>
        <v>0</v>
      </c>
      <c r="V529" s="100">
        <f>E529*($J$1782)*G529</f>
        <v>0</v>
      </c>
      <c r="W529" s="100">
        <f t="shared" ref="W529" si="1407">I529</f>
        <v>0</v>
      </c>
      <c r="X529" s="100" t="b">
        <f>IF(G529&gt;0,IF(AD529="me","",G529))</f>
        <v>0</v>
      </c>
      <c r="Y529" s="201"/>
      <c r="Z529" s="829" t="str">
        <f t="shared" si="1393"/>
        <v/>
      </c>
      <c r="AA529" s="829"/>
      <c r="AB529" s="830" t="str">
        <f>IF(G529=0,"",IF(AD529="free","re-planting",IF(AD529="me","not NVP, by",IF($AD$8="yes",(VLOOKUP(A529,'Discount Lookup'!J:K,2)*G529*(1-$AC$1786)*(1+$AC$1788)),IF(AD529="NVP",(VLOOKUP(A529,'Discount Lookup'!J:K,2)*G529*(1-$AC$1786)*(1+$AC$1788)),IF(AD529="free","re-planting",IF(G529=0,"",IF($AD$8="",IF(AD529="me","not NVP, by",IF(AD529="",IF(G529&gt;0,(VLOOKUP(A529,'Discount Lookup'!J:K,2)*G529*(1-$AC$1786)*(1+$AC$1788)),""),"")),"not NVP, by"))))))))</f>
        <v/>
      </c>
      <c r="AC529" s="830"/>
      <c r="AD529" s="375" t="str">
        <f t="shared" si="1374"/>
        <v/>
      </c>
      <c r="AE529" s="833" t="str">
        <f t="shared" si="1402"/>
        <v/>
      </c>
      <c r="AF529" s="833"/>
      <c r="AG529" s="833"/>
      <c r="AH529" s="91">
        <f>IF(AD529="free",0,IF(AD529="me",0,IF(G529&gt;0,(VLOOKUP(A529,'Discount Lookup'!J:K,2)*G529),0)))</f>
        <v>0</v>
      </c>
      <c r="AI529" s="92" t="str">
        <f t="shared" si="1334"/>
        <v/>
      </c>
      <c r="AJ529" s="828" t="str">
        <f t="shared" si="1394"/>
        <v/>
      </c>
      <c r="AK529" s="828"/>
      <c r="AL529" s="313" t="str">
        <f t="shared" si="1387"/>
        <v/>
      </c>
      <c r="AM529" s="312"/>
      <c r="AN529" s="101"/>
      <c r="AO529" s="101"/>
      <c r="AP529" s="101"/>
      <c r="AQ529" s="101"/>
      <c r="AR529" s="101"/>
      <c r="AS529" s="101"/>
      <c r="AT529" s="101"/>
    </row>
    <row r="530" spans="1:46" ht="12.95" customHeight="1">
      <c r="A530" s="475"/>
      <c r="B530" s="173" t="s">
        <v>1213</v>
      </c>
      <c r="G530" s="361"/>
      <c r="H530" s="746"/>
      <c r="M530" s="48"/>
      <c r="N530" s="163" t="s">
        <v>268</v>
      </c>
      <c r="O530" s="123"/>
      <c r="P530" s="124"/>
      <c r="Q530" s="841" t="s">
        <v>125</v>
      </c>
      <c r="R530" s="841"/>
      <c r="S530" s="841"/>
      <c r="T530" s="841"/>
      <c r="U530" s="841"/>
      <c r="V530" s="841"/>
      <c r="Y530" s="132"/>
      <c r="Z530" s="829" t="str">
        <f t="shared" si="1393"/>
        <v/>
      </c>
      <c r="AA530" s="829"/>
      <c r="AB530" s="830" t="str">
        <f>IF(G530=0,"",IF(AD530="free","re-planting",IF(AD530="me","not NVP, by",IF($AD$8="yes",(VLOOKUP(A530,'Discount Lookup'!J:K,2)*G530*(1-$AC$1786)*(1+$AC$1788)),IF(AD530="NVP",(VLOOKUP(A530,'Discount Lookup'!J:K,2)*G530*(1-$AC$1786)*(1+$AC$1788)),IF(AD530="free","re-planting",IF(G530=0,"",IF($AD$8="",IF(AD530="me","not NVP, by",IF(AD530="",IF(G530&gt;0,(VLOOKUP(A530,'Discount Lookup'!J:K,2)*G530*(1-$AC$1786)*(1+$AC$1788)),""),"")),"not NVP, by"))))))))</f>
        <v/>
      </c>
      <c r="AC530" s="830"/>
      <c r="AD530" s="375" t="str">
        <f t="shared" si="1374"/>
        <v/>
      </c>
      <c r="AE530" s="833" t="str">
        <f t="shared" si="1402"/>
        <v/>
      </c>
      <c r="AF530" s="833"/>
      <c r="AG530" s="833"/>
      <c r="AH530" s="91">
        <f>IF(AD530="free",0,IF(AD530="me",0,IF(G530&gt;0,(VLOOKUP(A530,'Discount Lookup'!J:K,2)*G530),0)))</f>
        <v>0</v>
      </c>
      <c r="AI530" s="92" t="str">
        <f t="shared" si="1334"/>
        <v/>
      </c>
      <c r="AJ530" s="828" t="str">
        <f t="shared" si="1394"/>
        <v/>
      </c>
      <c r="AK530" s="828"/>
      <c r="AL530" s="313" t="str">
        <f t="shared" si="1387"/>
        <v/>
      </c>
      <c r="AM530" s="312"/>
      <c r="AN530" s="101"/>
      <c r="AO530" s="101"/>
      <c r="AP530" s="101"/>
      <c r="AQ530" s="101"/>
      <c r="AR530" s="101"/>
      <c r="AS530" s="101"/>
      <c r="AT530" s="101"/>
    </row>
    <row r="531" spans="1:46" ht="12.95" customHeight="1">
      <c r="A531" s="889" t="s">
        <v>368</v>
      </c>
      <c r="B531" s="890"/>
      <c r="C531" s="890"/>
      <c r="D531" s="890"/>
      <c r="E531" s="890"/>
      <c r="F531" s="890"/>
      <c r="G531" s="890"/>
      <c r="H531" s="774" t="s">
        <v>134</v>
      </c>
      <c r="I531" s="164" t="s">
        <v>79</v>
      </c>
      <c r="J531" s="157"/>
      <c r="K531" s="611" t="s">
        <v>45</v>
      </c>
      <c r="L531" s="630" t="s">
        <v>46</v>
      </c>
      <c r="M531" s="157"/>
      <c r="N531" s="158" t="s">
        <v>69</v>
      </c>
      <c r="O531" s="158"/>
      <c r="P531" s="164"/>
      <c r="Q531" s="164"/>
      <c r="R531" s="157"/>
      <c r="S531" s="170"/>
      <c r="T531" s="547"/>
      <c r="U531" s="171"/>
      <c r="V531" s="100" t="b">
        <f>IF(G531&gt;0,IF(AD531="me","",G531))</f>
        <v>0</v>
      </c>
      <c r="W531" s="100"/>
      <c r="X531" s="100"/>
      <c r="Y531" s="201"/>
      <c r="Z531" s="838" t="str">
        <f>IF(G531=0,"",IF(AD531="me","",IF($AD$8="me","",IF(AD531="free","warranty",IF($AD$8="yes","NVP planting:","to NVP install:")))))</f>
        <v/>
      </c>
      <c r="AA531" s="838"/>
      <c r="AB531" s="830" t="str">
        <f>IF(G531=0,"",IF(AD531="free","re-planting",IF(AD531="me","not NVP, by",IF($AD$8="yes",(VLOOKUP(A531,'Discount Lookup'!J:K,2)*G531*(1-$AC$1786)*(1+$AC$1788)),IF(AD531="NVP",(VLOOKUP(A531,'Discount Lookup'!J:K,2)*G531*(1-$AC$1786)*(1+$AC$1788)),IF(AD531="free","re-planting",IF(G531=0,"",IF($AD$8="",IF(AD531="me","not NVP, by",IF(AD531="",IF(G531&gt;0,(VLOOKUP(A531,'Discount Lookup'!J:K,2)*G531*(1-$AC$1786)*(1+$AC$1788)),""),"")),"not NVP, by"))))))))</f>
        <v/>
      </c>
      <c r="AC531" s="830"/>
      <c r="AD531" s="375" t="str">
        <f t="shared" si="1374"/>
        <v/>
      </c>
      <c r="AE531" s="833" t="str">
        <f>IF(G531&gt;0,(CONCATENATE((G531)," quantity, ",(A531)," ",B531)),"")</f>
        <v/>
      </c>
      <c r="AF531" s="833"/>
      <c r="AG531" s="833"/>
      <c r="AH531" s="91">
        <f>IF(AD531="free",0,IF(AD531="me",0,IF(G531&gt;0,(VLOOKUP(A531,'Discount Lookup'!J:K,2)*G531),0)))</f>
        <v>0</v>
      </c>
      <c r="AI531" s="92" t="str">
        <f t="shared" si="1334"/>
        <v/>
      </c>
      <c r="AJ531" s="828" t="str">
        <f>IF(G531=0,"",IF(AD531="me","  delivery-only",CONCATENATE(" $",ROUND(AI531/G531,2)," each")))</f>
        <v/>
      </c>
      <c r="AK531" s="828"/>
      <c r="AL531" s="313" t="str">
        <f t="shared" si="1387"/>
        <v/>
      </c>
      <c r="AM531" s="312"/>
      <c r="AN531" s="101"/>
      <c r="AO531" s="101"/>
      <c r="AP531" s="101"/>
      <c r="AQ531" s="101"/>
      <c r="AR531" s="101"/>
      <c r="AS531" s="101"/>
      <c r="AT531" s="101"/>
    </row>
    <row r="532" spans="1:46" ht="12.95" customHeight="1">
      <c r="A532" s="383">
        <v>7</v>
      </c>
      <c r="B532" s="158" t="s">
        <v>50</v>
      </c>
      <c r="C532" s="404" t="s">
        <v>91</v>
      </c>
      <c r="D532" s="161" t="s">
        <v>54</v>
      </c>
      <c r="E532" s="162">
        <v>169.95</v>
      </c>
      <c r="F532" s="713" t="s">
        <v>1306</v>
      </c>
      <c r="G532" s="357">
        <v>0</v>
      </c>
      <c r="H532" s="748" t="str">
        <f t="shared" ref="H532" si="1408">IF(G532=0,"",IF(F532="Qty=",IF(G532=1,"plant","plants"),IF(F532&gt;0.0001,"warranty","Error")))</f>
        <v/>
      </c>
      <c r="I532" s="592">
        <f t="shared" ref="I532" si="1409">IF(F532="Qty=",(E532*G532),((E532*(1-F532))*G532))</f>
        <v>0</v>
      </c>
      <c r="J532" s="592">
        <f>IF(H532="warranty",0,(I532*($J$1782)))</f>
        <v>0</v>
      </c>
      <c r="K532" s="834">
        <f t="shared" ref="K532:K533" si="1410">I532+J532</f>
        <v>0</v>
      </c>
      <c r="L532" s="834"/>
      <c r="M532" s="832" t="str">
        <f>IF($H$1784=0,"",IF(G532=0,"",IF(F532="Qty=",CONCATENATE("$",ROUND(K532*(1-$H$1784),2)," with ",($H$1784*100),"% discount"),CONCATENATE("$",ROUND(K532*(1-$H$1784),2)," with ",(($H$1784*100+F532*100)-($H$1784*100*F532)),IF(F532&gt;0,"% discounts",IF($H$1781&gt;0,"% discounts","% discount"))))))</f>
        <v/>
      </c>
      <c r="N532" s="832"/>
      <c r="O532" s="832"/>
      <c r="P532" s="832"/>
      <c r="Q532" s="832"/>
      <c r="R532" s="832"/>
      <c r="S532" s="303">
        <f t="shared" ref="S532" si="1411">E532*G532</f>
        <v>0</v>
      </c>
      <c r="T532" s="541">
        <f>VLOOKUP(A532,'Discount Lookup'!D:E,2,FALSE)*G532</f>
        <v>0</v>
      </c>
      <c r="U532" s="83">
        <f>VLOOKUP(A532,'Discount Lookup'!G:H,2,FALSE)*G532</f>
        <v>0</v>
      </c>
      <c r="V532" s="100">
        <f>E532*($J$1782)*G532</f>
        <v>0</v>
      </c>
      <c r="W532" s="100">
        <f t="shared" ref="W532" si="1412">I532</f>
        <v>0</v>
      </c>
      <c r="X532" s="100" t="b">
        <f>IF(G532&gt;0,IF(AD532="me","",G532))</f>
        <v>0</v>
      </c>
      <c r="Y532" s="201"/>
      <c r="Z532" s="838" t="str">
        <f>IF(G532=0,"",IF(AD532="me","",IF($AD$8="me","",IF(AD532="free","warranty",IF($AD$8="yes","NVP planting:","to NVP install:")))))</f>
        <v/>
      </c>
      <c r="AA532" s="838"/>
      <c r="AB532" s="830" t="str">
        <f>IF(G532=0,"",IF(AD532="free","re-planting",IF(AD532="me","not NVP, by",IF($AD$8="yes",(VLOOKUP(A532,'Discount Lookup'!J:K,2)*G532*(1-$AC$1786)*(1+$AC$1788)),IF(AD532="NVP",(VLOOKUP(A532,'Discount Lookup'!J:K,2)*G532*(1-$AC$1786)*(1+$AC$1788)),IF(AD532="free","re-planting",IF(G532=0,"",IF($AD$8="",IF(AD532="me","not NVP, by",IF(AD532="",IF(G532&gt;0,(VLOOKUP(A532,'Discount Lookup'!J:K,2)*G532*(1-$AC$1786)*(1+$AC$1788)),""),"")),"not NVP, by"))))))))</f>
        <v/>
      </c>
      <c r="AC532" s="830"/>
      <c r="AD532" s="375" t="str">
        <f t="shared" si="1374"/>
        <v/>
      </c>
      <c r="AE532" s="833" t="str">
        <f>IF(G532&gt;0,(CONCATENATE((G532)," quantity, ",(A532)," ",B532)),"")</f>
        <v/>
      </c>
      <c r="AF532" s="833"/>
      <c r="AG532" s="833"/>
      <c r="AH532" s="91">
        <f>IF(AD532="free",0,IF(AD532="me",0,IF(G532&gt;0,(VLOOKUP(A532,'Discount Lookup'!J:K,2)*G532),0)))</f>
        <v>0</v>
      </c>
      <c r="AI532" s="92" t="str">
        <f t="shared" si="1334"/>
        <v/>
      </c>
      <c r="AJ532" s="828" t="str">
        <f>IF(G532=0,"",IF(AD532="me","  delivery-only",CONCATENATE(" $",ROUND(AI532/G532,2)," each")))</f>
        <v/>
      </c>
      <c r="AK532" s="828"/>
      <c r="AL532" s="313" t="str">
        <f t="shared" si="1387"/>
        <v/>
      </c>
      <c r="AM532" s="312"/>
      <c r="AN532" s="101"/>
      <c r="AO532" s="101"/>
      <c r="AP532" s="101"/>
      <c r="AQ532" s="101"/>
      <c r="AR532" s="101"/>
      <c r="AS532" s="101"/>
      <c r="AT532" s="101"/>
    </row>
    <row r="533" spans="1:46" ht="12.95" customHeight="1">
      <c r="A533" s="383">
        <v>25</v>
      </c>
      <c r="B533" s="158" t="s">
        <v>50</v>
      </c>
      <c r="C533" s="404" t="s">
        <v>1466</v>
      </c>
      <c r="D533" s="161" t="s">
        <v>54</v>
      </c>
      <c r="E533" s="162">
        <v>507.95</v>
      </c>
      <c r="F533" s="713" t="s">
        <v>1306</v>
      </c>
      <c r="G533" s="357">
        <v>0</v>
      </c>
      <c r="H533" s="748" t="str">
        <f t="shared" ref="H533" si="1413">IF(G533=0,"",IF(F533="Qty=",IF(G533=1,"plant","plants"),IF(F533&gt;0.0001,"warranty","Error")))</f>
        <v/>
      </c>
      <c r="I533" s="592">
        <f t="shared" ref="I533" si="1414">IF(F533="Qty=",(E533*G533),((E533*(1-F533))*G533))</f>
        <v>0</v>
      </c>
      <c r="J533" s="592">
        <f>IF(H533="warranty",0,(I533*($J$1782)))</f>
        <v>0</v>
      </c>
      <c r="K533" s="834">
        <f t="shared" si="1410"/>
        <v>0</v>
      </c>
      <c r="L533" s="834"/>
      <c r="M533" s="832" t="str">
        <f>IF($H$1784=0,"",IF(G533=0,"",IF(F533="Qty=",CONCATENATE("$",ROUND(K533*(1-$H$1784),2)," with ",($H$1784*100),"% discount"),CONCATENATE("$",ROUND(K533*(1-$H$1784),2)," with ",(($H$1784*100+F533*100)-($H$1784*100*F533)),IF(F533&gt;0,"% discounts",IF($H$1781&gt;0,"% discounts","% discount"))))))</f>
        <v/>
      </c>
      <c r="N533" s="832"/>
      <c r="O533" s="832"/>
      <c r="P533" s="832"/>
      <c r="Q533" s="832"/>
      <c r="R533" s="832"/>
      <c r="S533" s="303">
        <f t="shared" ref="S533" si="1415">E533*G533</f>
        <v>0</v>
      </c>
      <c r="T533" s="541">
        <f>VLOOKUP(A533,'Discount Lookup'!D:E,2,FALSE)*G533</f>
        <v>0</v>
      </c>
      <c r="U533" s="83">
        <f>VLOOKUP(A533,'Discount Lookup'!G:H,2,FALSE)*G533</f>
        <v>0</v>
      </c>
      <c r="V533" s="100">
        <f>E533*($J$1782)*G533</f>
        <v>0</v>
      </c>
      <c r="W533" s="100">
        <f t="shared" ref="W533" si="1416">I533</f>
        <v>0</v>
      </c>
      <c r="X533" s="100" t="b">
        <f>IF(G533&gt;0,IF(AD533="me","",G533))</f>
        <v>0</v>
      </c>
      <c r="Y533" s="201"/>
      <c r="Z533" s="838" t="str">
        <f>IF(G533=0,"",IF(AD533="me","",IF($AD$8="me","",IF(AD533="free","warranty",IF($AD$8="yes","NVP planting:","to NVP install:")))))</f>
        <v/>
      </c>
      <c r="AA533" s="838"/>
      <c r="AB533" s="830" t="str">
        <f>IF(G533=0,"",IF(AD533="free","re-planting",IF(AD533="me","not NVP, by",IF($AD$8="yes",(VLOOKUP(A533,'Discount Lookup'!J:K,2)*G533*(1-$AC$1786)*(1+$AC$1788)),IF(AD533="NVP",(VLOOKUP(A533,'Discount Lookup'!J:K,2)*G533*(1-$AC$1786)*(1+$AC$1788)),IF(AD533="free","re-planting",IF(G533=0,"",IF($AD$8="",IF(AD533="me","not NVP, by",IF(AD533="",IF(G533&gt;0,(VLOOKUP(A533,'Discount Lookup'!J:K,2)*G533*(1-$AC$1786)*(1+$AC$1788)),""),"")),"not NVP, by"))))))))</f>
        <v/>
      </c>
      <c r="AC533" s="830"/>
      <c r="AD533" s="375" t="str">
        <f t="shared" si="1374"/>
        <v/>
      </c>
      <c r="AE533" s="833" t="str">
        <f>IF(G533&gt;0,(CONCATENATE((G533)," quantity, ",(A533)," ",B533)),"")</f>
        <v/>
      </c>
      <c r="AF533" s="833"/>
      <c r="AG533" s="833"/>
      <c r="AH533" s="91">
        <f>IF(AD533="free",0,IF(AD533="me",0,IF(G533&gt;0,(VLOOKUP(A533,'Discount Lookup'!J:K,2)*G533),0)))</f>
        <v>0</v>
      </c>
      <c r="AI533" s="92" t="str">
        <f t="shared" si="1334"/>
        <v/>
      </c>
      <c r="AJ533" s="828" t="str">
        <f>IF(G533=0,"",IF(AD533="me","  delivery-only",CONCATENATE(" $",ROUND(AI533/G533,2)," each")))</f>
        <v/>
      </c>
      <c r="AK533" s="828"/>
      <c r="AL533" s="313" t="str">
        <f t="shared" si="1387"/>
        <v/>
      </c>
      <c r="AM533" s="312"/>
      <c r="AN533" s="101"/>
      <c r="AO533" s="101"/>
      <c r="AP533" s="101"/>
      <c r="AQ533" s="101"/>
      <c r="AR533" s="101"/>
      <c r="AS533" s="101"/>
      <c r="AT533" s="101"/>
    </row>
    <row r="534" spans="1:46" ht="12.95" customHeight="1">
      <c r="A534" s="474"/>
      <c r="B534" s="173" t="s">
        <v>369</v>
      </c>
      <c r="C534" s="130"/>
      <c r="D534" s="104"/>
      <c r="E534" s="131"/>
      <c r="G534" s="356"/>
      <c r="H534" s="744"/>
      <c r="J534" s="119"/>
      <c r="K534" s="609"/>
      <c r="L534" s="609"/>
      <c r="M534" s="48"/>
      <c r="N534" s="122" t="s">
        <v>370</v>
      </c>
      <c r="O534" s="123"/>
      <c r="P534" s="124"/>
      <c r="W534" s="100"/>
      <c r="X534" s="100"/>
      <c r="Y534" s="201"/>
      <c r="Z534" s="838" t="str">
        <f>IF(G534=0,"",IF(AD534="me","",IF($AD$8="me","",IF(AD534="free","warranty",IF($AD$8="yes","NVP planting:","to NVP install:")))))</f>
        <v/>
      </c>
      <c r="AA534" s="838"/>
      <c r="AB534" s="830" t="str">
        <f>IF(G534=0,"",IF(AD534="free","re-planting",IF(AD534="me","not NVP, by",IF($AD$8="yes",(VLOOKUP(A534,'Discount Lookup'!J:K,2)*G534*(1-$AC$1786)*(1+$AC$1788)),IF(AD534="NVP",(VLOOKUP(A534,'Discount Lookup'!J:K,2)*G534*(1-$AC$1786)*(1+$AC$1788)),IF(AD534="free","re-planting",IF(G534=0,"",IF($AD$8="",IF(AD534="me","not NVP, by",IF(AD534="",IF(G534&gt;0,(VLOOKUP(A534,'Discount Lookup'!J:K,2)*G534*(1-$AC$1786)*(1+$AC$1788)),""),"")),"not NVP, by"))))))))</f>
        <v/>
      </c>
      <c r="AC534" s="830"/>
      <c r="AD534" s="375" t="str">
        <f t="shared" si="1374"/>
        <v/>
      </c>
      <c r="AE534" s="833" t="str">
        <f>IF(G534&gt;0,(CONCATENATE((G534)," quantity, ",(A534)," ",B534)),"")</f>
        <v/>
      </c>
      <c r="AF534" s="833"/>
      <c r="AG534" s="833"/>
      <c r="AH534" s="91">
        <f>IF(AD534="free",0,IF(AD534="me",0,IF(G534&gt;0,(VLOOKUP(A534,'Discount Lookup'!J:K,2)*G534),0)))</f>
        <v>0</v>
      </c>
      <c r="AI534" s="92" t="str">
        <f t="shared" si="1334"/>
        <v/>
      </c>
      <c r="AJ534" s="828" t="str">
        <f>IF(G534=0,"",IF(AD534="me","  delivery-only",CONCATENATE(" $",ROUND(AI534/G534,2)," each")))</f>
        <v/>
      </c>
      <c r="AK534" s="828"/>
      <c r="AL534" s="313" t="str">
        <f t="shared" si="1387"/>
        <v/>
      </c>
      <c r="AM534" s="312"/>
      <c r="AN534" s="101"/>
      <c r="AO534" s="101"/>
      <c r="AP534" s="101"/>
      <c r="AQ534" s="101"/>
      <c r="AR534" s="101"/>
      <c r="AS534" s="101"/>
      <c r="AT534" s="101"/>
    </row>
    <row r="535" spans="1:46" ht="12.95" customHeight="1">
      <c r="A535" s="889" t="s">
        <v>371</v>
      </c>
      <c r="B535" s="890"/>
      <c r="C535" s="890"/>
      <c r="D535" s="890"/>
      <c r="E535" s="890"/>
      <c r="F535" s="890"/>
      <c r="G535" s="890"/>
      <c r="H535" s="774" t="s">
        <v>372</v>
      </c>
      <c r="I535" s="164" t="s">
        <v>79</v>
      </c>
      <c r="J535" s="157"/>
      <c r="K535" s="611" t="s">
        <v>45</v>
      </c>
      <c r="L535" s="630" t="s">
        <v>46</v>
      </c>
      <c r="M535" s="157"/>
      <c r="N535" s="158" t="s">
        <v>69</v>
      </c>
      <c r="O535" s="158"/>
      <c r="P535" s="164"/>
      <c r="Q535" s="164"/>
      <c r="R535" s="157"/>
      <c r="S535" s="170"/>
      <c r="T535" s="547"/>
      <c r="U535" s="171"/>
      <c r="V535" s="100" t="b">
        <f>IF(G535&gt;0,IF(AD535="me","",G535))</f>
        <v>0</v>
      </c>
      <c r="W535" s="100"/>
      <c r="X535" s="100"/>
      <c r="Y535" s="201"/>
      <c r="Z535" s="829" t="str">
        <f t="shared" si="1393"/>
        <v/>
      </c>
      <c r="AA535" s="829"/>
      <c r="AB535" s="830" t="str">
        <f>IF(G535=0,"",IF(AD535="free","re-planting",IF(AD535="me","not NVP, by",IF($AD$8="yes",(VLOOKUP(A535,'Discount Lookup'!J:K,2)*G535*(1-$AC$1786)*(1+$AC$1788)),IF(AD535="NVP",(VLOOKUP(A535,'Discount Lookup'!J:K,2)*G535*(1-$AC$1786)*(1+$AC$1788)),IF(AD535="free","re-planting",IF(G535=0,"",IF($AD$8="",IF(AD535="me","not NVP, by",IF(AD535="",IF(G535&gt;0,(VLOOKUP(A535,'Discount Lookup'!J:K,2)*G535*(1-$AC$1786)*(1+$AC$1788)),""),"")),"not NVP, by"))))))))</f>
        <v/>
      </c>
      <c r="AC535" s="830"/>
      <c r="AD535" s="375" t="str">
        <f t="shared" si="1374"/>
        <v/>
      </c>
      <c r="AE535" s="833" t="str">
        <f t="shared" ref="AE535:AE596" si="1417">IF(G535&gt;0,(CONCATENATE((G535)," quantity, ",(A535)," ",B535)),"")</f>
        <v/>
      </c>
      <c r="AF535" s="833"/>
      <c r="AG535" s="833"/>
      <c r="AH535" s="91">
        <f>IF(AD535="free",0,IF(AD535="me",0,IF(G535&gt;0,(VLOOKUP(A535,'Discount Lookup'!J:K,2)*G535),0)))</f>
        <v>0</v>
      </c>
      <c r="AI535" s="92" t="str">
        <f t="shared" si="1334"/>
        <v/>
      </c>
      <c r="AJ535" s="828" t="str">
        <f t="shared" si="1394"/>
        <v/>
      </c>
      <c r="AK535" s="828"/>
      <c r="AL535" s="313" t="str">
        <f t="shared" si="1387"/>
        <v/>
      </c>
      <c r="AM535" s="312"/>
      <c r="AN535" s="101"/>
      <c r="AO535" s="101"/>
      <c r="AP535" s="101"/>
      <c r="AQ535" s="101"/>
      <c r="AR535" s="101"/>
      <c r="AS535" s="101"/>
      <c r="AT535" s="101"/>
    </row>
    <row r="536" spans="1:46" ht="12.95" customHeight="1">
      <c r="A536" s="383">
        <v>7</v>
      </c>
      <c r="B536" s="158" t="s">
        <v>50</v>
      </c>
      <c r="C536" s="160" t="s">
        <v>89</v>
      </c>
      <c r="D536" s="161" t="s">
        <v>54</v>
      </c>
      <c r="E536" s="162">
        <v>118.95</v>
      </c>
      <c r="F536" s="713" t="s">
        <v>1306</v>
      </c>
      <c r="G536" s="357">
        <v>0</v>
      </c>
      <c r="H536" s="748" t="str">
        <f t="shared" ref="H536" si="1418">IF(G536=0,"",IF(F536="Qty=",IF(G536=1,"plant","plants"),IF(F536&gt;0.0001,"warranty","Error")))</f>
        <v/>
      </c>
      <c r="I536" s="592">
        <f t="shared" ref="I536" si="1419">IF(F536="Qty=",(E536*G536),((E536*(1-F536))*G536))</f>
        <v>0</v>
      </c>
      <c r="J536" s="592">
        <f>IF(H536="warranty",0,(I536*($J$1782)))</f>
        <v>0</v>
      </c>
      <c r="K536" s="834">
        <f t="shared" ref="K536:K537" si="1420">I536+J536</f>
        <v>0</v>
      </c>
      <c r="L536" s="834"/>
      <c r="M536" s="832" t="str">
        <f>IF($H$1784=0,"",IF(G536=0,"",IF(F536="Qty=",CONCATENATE("$",ROUND(K536*(1-$H$1784),2)," with ",($H$1784*100),"% discount"),CONCATENATE("$",ROUND(K536*(1-$H$1784),2)," with ",(($H$1784*100+F536*100)-($H$1784*100*F536)),IF(F536&gt;0,"% discounts",IF($H$1781&gt;0,"% discounts","% discount"))))))</f>
        <v/>
      </c>
      <c r="N536" s="832"/>
      <c r="O536" s="832"/>
      <c r="P536" s="832"/>
      <c r="Q536" s="832"/>
      <c r="R536" s="832"/>
      <c r="S536" s="303">
        <f t="shared" ref="S536" si="1421">E536*G536</f>
        <v>0</v>
      </c>
      <c r="T536" s="541">
        <f>VLOOKUP(A536,'Discount Lookup'!D:E,2,FALSE)*G536</f>
        <v>0</v>
      </c>
      <c r="U536" s="83">
        <f>VLOOKUP(A536,'Discount Lookup'!G:H,2,FALSE)*G536</f>
        <v>0</v>
      </c>
      <c r="V536" s="100">
        <f>E536*($J$1782)*G536</f>
        <v>0</v>
      </c>
      <c r="W536" s="100">
        <f t="shared" ref="W536" si="1422">I536</f>
        <v>0</v>
      </c>
      <c r="X536" s="100" t="b">
        <f>IF(G536&gt;0,IF(AD536="me","",G536))</f>
        <v>0</v>
      </c>
      <c r="Y536" s="201"/>
      <c r="Z536" s="829" t="str">
        <f t="shared" ref="Z536" si="1423">IF(G536=0,"",IF(AD536="me","",IF($AD$8="me","",IF(AD536="free","warranty",IF($AD$8="yes","NVP planting:","to NVP install:")))))</f>
        <v/>
      </c>
      <c r="AA536" s="829"/>
      <c r="AB536" s="830" t="str">
        <f>IF(G536=0,"",IF(AD536="free","re-planting",IF(AD536="me","not NVP, by",IF($AD$8="yes",(VLOOKUP(A536,'Discount Lookup'!J:K,2)*G536*(1-$AC$1786)*(1+$AC$1788)),IF(AD536="NVP",(VLOOKUP(A536,'Discount Lookup'!J:K,2)*G536*(1-$AC$1786)*(1+$AC$1788)),IF(AD536="free","re-planting",IF(G536=0,"",IF($AD$8="",IF(AD536="me","not NVP, by",IF(AD536="",IF(G536&gt;0,(VLOOKUP(A536,'Discount Lookup'!J:K,2)*G536*(1-$AC$1786)*(1+$AC$1788)),""),"")),"not NVP, by"))))))))</f>
        <v/>
      </c>
      <c r="AC536" s="830"/>
      <c r="AD536" s="375" t="str">
        <f t="shared" si="1374"/>
        <v/>
      </c>
      <c r="AE536" s="833" t="str">
        <f t="shared" si="1417"/>
        <v/>
      </c>
      <c r="AF536" s="833"/>
      <c r="AG536" s="833"/>
      <c r="AH536" s="91">
        <f>IF(AD536="free",0,IF(AD536="me",0,IF(G536&gt;0,(VLOOKUP(A536,'Discount Lookup'!J:K,2)*G536),0)))</f>
        <v>0</v>
      </c>
      <c r="AI536" s="92" t="str">
        <f t="shared" si="1334"/>
        <v/>
      </c>
      <c r="AJ536" s="828" t="str">
        <f t="shared" ref="AJ536" si="1424">IF(G536=0,"",IF(AD536="me","  delivery-only",IF($AD$8="me","  delivery-only",CONCATENATE(" $",ROUND(AI536/G536,2)," each"))))</f>
        <v/>
      </c>
      <c r="AK536" s="828"/>
      <c r="AL536" s="313" t="str">
        <f t="shared" si="1387"/>
        <v/>
      </c>
      <c r="AM536" s="312"/>
      <c r="AN536" s="101"/>
      <c r="AO536" s="101"/>
      <c r="AP536" s="101"/>
      <c r="AQ536" s="101"/>
      <c r="AR536" s="101"/>
      <c r="AS536" s="101"/>
      <c r="AT536" s="101"/>
    </row>
    <row r="537" spans="1:46" ht="12.95" customHeight="1">
      <c r="A537" s="383">
        <v>15</v>
      </c>
      <c r="B537" s="158" t="s">
        <v>50</v>
      </c>
      <c r="C537" s="160" t="s">
        <v>733</v>
      </c>
      <c r="D537" s="161" t="s">
        <v>54</v>
      </c>
      <c r="E537" s="162">
        <v>196.95</v>
      </c>
      <c r="F537" s="713" t="s">
        <v>1306</v>
      </c>
      <c r="G537" s="357">
        <v>0</v>
      </c>
      <c r="H537" s="748" t="str">
        <f t="shared" ref="H537" si="1425">IF(G537=0,"",IF(F537="Qty=",IF(G537=1,"plant","plants"),IF(F537&gt;0.0001,"warranty","Error")))</f>
        <v/>
      </c>
      <c r="I537" s="592">
        <f t="shared" ref="I537" si="1426">IF(F537="Qty=",(E537*G537),((E537*(1-F537))*G537))</f>
        <v>0</v>
      </c>
      <c r="J537" s="592">
        <f>IF(H537="warranty",0,(I537*($J$1782)))</f>
        <v>0</v>
      </c>
      <c r="K537" s="834">
        <f t="shared" si="1420"/>
        <v>0</v>
      </c>
      <c r="L537" s="834"/>
      <c r="M537" s="832" t="str">
        <f>IF($H$1784=0,"",IF(G537=0,"",IF(F537="Qty=",CONCATENATE("$",ROUND(K537*(1-$H$1784),2)," with ",($H$1784*100),"% discount"),CONCATENATE("$",ROUND(K537*(1-$H$1784),2)," with ",(($H$1784*100+F537*100)-($H$1784*100*F537)),IF(F537&gt;0,"% discounts",IF($H$1781&gt;0,"% discounts","% discount"))))))</f>
        <v/>
      </c>
      <c r="N537" s="832"/>
      <c r="O537" s="832"/>
      <c r="P537" s="832"/>
      <c r="Q537" s="832"/>
      <c r="R537" s="832"/>
      <c r="S537" s="303">
        <f t="shared" ref="S537" si="1427">E537*G537</f>
        <v>0</v>
      </c>
      <c r="T537" s="541">
        <f>VLOOKUP(A537,'Discount Lookup'!D:E,2,FALSE)*G537</f>
        <v>0</v>
      </c>
      <c r="U537" s="83">
        <f>VLOOKUP(A537,'Discount Lookup'!G:H,2,FALSE)*G537</f>
        <v>0</v>
      </c>
      <c r="V537" s="100">
        <f>E537*($J$1782)*G537</f>
        <v>0</v>
      </c>
      <c r="W537" s="100">
        <f t="shared" ref="W537" si="1428">I537</f>
        <v>0</v>
      </c>
      <c r="X537" s="100" t="b">
        <f>IF(G537&gt;0,IF(AD537="me","",G537))</f>
        <v>0</v>
      </c>
      <c r="Y537" s="201"/>
      <c r="Z537" s="829" t="str">
        <f t="shared" si="1393"/>
        <v/>
      </c>
      <c r="AA537" s="829"/>
      <c r="AB537" s="830" t="str">
        <f>IF(G537=0,"",IF(AD537="free","re-planting",IF(AD537="me","not NVP, by",IF($AD$8="yes",(VLOOKUP(A537,'Discount Lookup'!J:K,2)*G537*(1-$AC$1786)*(1+$AC$1788)),IF(AD537="NVP",(VLOOKUP(A537,'Discount Lookup'!J:K,2)*G537*(1-$AC$1786)*(1+$AC$1788)),IF(AD537="free","re-planting",IF(G537=0,"",IF($AD$8="",IF(AD537="me","not NVP, by",IF(AD537="",IF(G537&gt;0,(VLOOKUP(A537,'Discount Lookup'!J:K,2)*G537*(1-$AC$1786)*(1+$AC$1788)),""),"")),"not NVP, by"))))))))</f>
        <v/>
      </c>
      <c r="AC537" s="830"/>
      <c r="AD537" s="375" t="str">
        <f t="shared" si="1374"/>
        <v/>
      </c>
      <c r="AE537" s="833" t="str">
        <f t="shared" ref="AE537" si="1429">IF(G537&gt;0,(CONCATENATE((G537)," quantity, ",(A537)," ",B537)),"")</f>
        <v/>
      </c>
      <c r="AF537" s="833"/>
      <c r="AG537" s="833"/>
      <c r="AH537" s="91">
        <f>IF(AD537="free",0,IF(AD537="me",0,IF(G537&gt;0,(VLOOKUP(A537,'Discount Lookup'!J:K,2)*G537),0)))</f>
        <v>0</v>
      </c>
      <c r="AI537" s="92" t="str">
        <f t="shared" si="1334"/>
        <v/>
      </c>
      <c r="AJ537" s="828" t="str">
        <f t="shared" si="1394"/>
        <v/>
      </c>
      <c r="AK537" s="828"/>
      <c r="AL537" s="313" t="str">
        <f t="shared" si="1387"/>
        <v/>
      </c>
      <c r="AM537" s="312"/>
      <c r="AN537" s="101"/>
      <c r="AO537" s="101"/>
      <c r="AP537" s="101"/>
      <c r="AQ537" s="101"/>
      <c r="AR537" s="101"/>
      <c r="AS537" s="101"/>
      <c r="AT537" s="101"/>
    </row>
    <row r="538" spans="1:46" ht="12.95" customHeight="1">
      <c r="A538" s="383">
        <v>15</v>
      </c>
      <c r="B538" s="158" t="s">
        <v>50</v>
      </c>
      <c r="C538" s="160" t="s">
        <v>211</v>
      </c>
      <c r="D538" s="161" t="s">
        <v>90</v>
      </c>
      <c r="E538" s="162">
        <v>290.95</v>
      </c>
      <c r="F538" s="713" t="s">
        <v>1306</v>
      </c>
      <c r="G538" s="357">
        <v>0</v>
      </c>
      <c r="H538" s="748" t="str">
        <f t="shared" ref="H538" si="1430">IF(G538=0,"",IF(F538="Qty=",IF(G538=1,"plant","plants"),IF(F538&gt;0.0001,"warranty","Error")))</f>
        <v/>
      </c>
      <c r="I538" s="592">
        <f t="shared" ref="I538" si="1431">IF(F538="Qty=",(E538*G538),((E538*(1-F538))*G538))</f>
        <v>0</v>
      </c>
      <c r="J538" s="592">
        <f>IF(H538="warranty",0,(I538*($J$1782)))</f>
        <v>0</v>
      </c>
      <c r="K538" s="834">
        <f t="shared" ref="K538" si="1432">I538+J538</f>
        <v>0</v>
      </c>
      <c r="L538" s="834"/>
      <c r="M538" s="832" t="str">
        <f>IF($H$1784=0,"",IF(G538=0,"",IF(F538="Qty=",CONCATENATE("$",ROUND(K538*(1-$H$1784),2)," with ",($H$1784*100),"% discount"),CONCATENATE("$",ROUND(K538*(1-$H$1784),2)," with ",(($H$1784*100+F538*100)-($H$1784*100*F538)),IF(F538&gt;0,"% discounts",IF($H$1781&gt;0,"% discounts","% discount"))))))</f>
        <v/>
      </c>
      <c r="N538" s="832"/>
      <c r="O538" s="832"/>
      <c r="P538" s="832"/>
      <c r="Q538" s="832"/>
      <c r="R538" s="832"/>
      <c r="S538" s="303">
        <f t="shared" ref="S538" si="1433">E538*G538</f>
        <v>0</v>
      </c>
      <c r="T538" s="541">
        <f>VLOOKUP(A538,'Discount Lookup'!D:E,2,FALSE)*G538</f>
        <v>0</v>
      </c>
      <c r="U538" s="83">
        <f>VLOOKUP(A538,'Discount Lookup'!G:H,2,FALSE)*G538</f>
        <v>0</v>
      </c>
      <c r="V538" s="100">
        <f>E538*($J$1782)*G538</f>
        <v>0</v>
      </c>
      <c r="W538" s="100">
        <f t="shared" ref="W538" si="1434">I538</f>
        <v>0</v>
      </c>
      <c r="X538" s="100" t="b">
        <f>IF(G538&gt;0,IF(AD538="me","",G538))</f>
        <v>0</v>
      </c>
      <c r="Y538" s="201"/>
      <c r="Z538" s="829" t="str">
        <f t="shared" ref="Z538" si="1435">IF(G538=0,"",IF(AD538="me","",IF($AD$8="me","",IF(AD538="free","warranty",IF($AD$8="yes","NVP planting:","to NVP install:")))))</f>
        <v/>
      </c>
      <c r="AA538" s="829"/>
      <c r="AB538" s="830" t="str">
        <f>IF(G538=0,"",IF(AD538="free","re-planting",IF(AD538="me","not NVP, by",IF($AD$8="yes",(VLOOKUP(A538,'Discount Lookup'!J:K,2)*G538*(1-$AC$1786)*(1+$AC$1788)),IF(AD538="NVP",(VLOOKUP(A538,'Discount Lookup'!J:K,2)*G538*(1-$AC$1786)*(1+$AC$1788)),IF(AD538="free","re-planting",IF(G538=0,"",IF($AD$8="",IF(AD538="me","not NVP, by",IF(AD538="",IF(G538&gt;0,(VLOOKUP(A538,'Discount Lookup'!J:K,2)*G538*(1-$AC$1786)*(1+$AC$1788)),""),"")),"not NVP, by"))))))))</f>
        <v/>
      </c>
      <c r="AC538" s="830"/>
      <c r="AD538" s="375" t="str">
        <f t="shared" ref="AD538" si="1436">IF(G538=0,"",IF($AD$8="me","me",IF(H538="warranty","free",IF($AD$8="yes","NVP",""))))</f>
        <v/>
      </c>
      <c r="AE538" s="833" t="str">
        <f t="shared" ref="AE538" si="1437">IF(G538&gt;0,(CONCATENATE((G538)," quantity, ",(A538)," ",B538)),"")</f>
        <v/>
      </c>
      <c r="AF538" s="833"/>
      <c r="AG538" s="833"/>
      <c r="AH538" s="91">
        <f>IF(AD538="free",0,IF(AD538="me",0,IF(G538&gt;0,(VLOOKUP(A538,'Discount Lookup'!J:K,2)*G538),0)))</f>
        <v>0</v>
      </c>
      <c r="AI538" s="92" t="str">
        <f t="shared" si="1334"/>
        <v/>
      </c>
      <c r="AJ538" s="828" t="str">
        <f t="shared" ref="AJ538" si="1438">IF(G538=0,"",IF(AD538="me","  delivery-only",IF($AD$8="me","  delivery-only",CONCATENATE(" $",ROUND(AI538/G538,2)," each"))))</f>
        <v/>
      </c>
      <c r="AK538" s="828"/>
      <c r="AL538" s="313" t="str">
        <f t="shared" si="1387"/>
        <v/>
      </c>
      <c r="AM538" s="312"/>
      <c r="AN538" s="101"/>
      <c r="AO538" s="101"/>
      <c r="AP538" s="101"/>
      <c r="AQ538" s="101"/>
      <c r="AR538" s="101"/>
      <c r="AS538" s="101"/>
      <c r="AT538" s="101"/>
    </row>
    <row r="539" spans="1:46" ht="12.95" customHeight="1">
      <c r="A539" s="474"/>
      <c r="B539" s="173" t="s">
        <v>373</v>
      </c>
      <c r="C539" s="130"/>
      <c r="D539" s="104"/>
      <c r="E539" s="131"/>
      <c r="G539" s="356"/>
      <c r="H539" s="744"/>
      <c r="J539" s="119"/>
      <c r="K539" s="609"/>
      <c r="L539" s="609"/>
      <c r="M539" s="48"/>
      <c r="N539" s="163" t="s">
        <v>268</v>
      </c>
      <c r="O539" s="123"/>
      <c r="P539" s="124"/>
      <c r="Q539" s="124"/>
      <c r="R539" s="840"/>
      <c r="S539" s="840"/>
      <c r="T539" s="840"/>
      <c r="U539" s="840"/>
      <c r="V539" s="100" t="b">
        <f>IF(G539&gt;0,IF(AD539="me","",G539))</f>
        <v>0</v>
      </c>
      <c r="W539" s="100"/>
      <c r="X539" s="100"/>
      <c r="Y539" s="201"/>
      <c r="Z539" s="829" t="str">
        <f t="shared" si="1393"/>
        <v/>
      </c>
      <c r="AA539" s="829"/>
      <c r="AB539" s="830" t="str">
        <f>IF(G539=0,"",IF(AD539="free","re-planting",IF(AD539="me","not NVP, by",IF($AD$8="yes",(VLOOKUP(A539,'Discount Lookup'!J:K,2)*G539*(1-$AC$1786)*(1+$AC$1788)),IF(AD539="NVP",(VLOOKUP(A539,'Discount Lookup'!J:K,2)*G539*(1-$AC$1786)*(1+$AC$1788)),IF(AD539="free","re-planting",IF(G539=0,"",IF($AD$8="",IF(AD539="me","not NVP, by",IF(AD539="",IF(G539&gt;0,(VLOOKUP(A539,'Discount Lookup'!J:K,2)*G539*(1-$AC$1786)*(1+$AC$1788)),""),"")),"not NVP, by"))))))))</f>
        <v/>
      </c>
      <c r="AC539" s="830"/>
      <c r="AD539" s="375" t="str">
        <f t="shared" si="1374"/>
        <v/>
      </c>
      <c r="AE539" s="833" t="str">
        <f t="shared" si="1417"/>
        <v/>
      </c>
      <c r="AF539" s="833"/>
      <c r="AG539" s="833"/>
      <c r="AH539" s="91">
        <f>IF(AD539="free",0,IF(AD539="me",0,IF(G539&gt;0,(VLOOKUP(A539,'Discount Lookup'!J:K,2)*G539),0)))</f>
        <v>0</v>
      </c>
      <c r="AI539" s="92" t="str">
        <f t="shared" si="1334"/>
        <v/>
      </c>
      <c r="AJ539" s="828" t="str">
        <f t="shared" si="1394"/>
        <v/>
      </c>
      <c r="AK539" s="828"/>
      <c r="AL539" s="313" t="str">
        <f t="shared" si="1387"/>
        <v/>
      </c>
      <c r="AM539" s="312"/>
      <c r="AN539" s="101"/>
      <c r="AO539" s="101"/>
      <c r="AP539" s="101"/>
      <c r="AQ539" s="101"/>
      <c r="AR539" s="101"/>
      <c r="AS539" s="101"/>
      <c r="AT539" s="101"/>
    </row>
    <row r="540" spans="1:46" ht="12.75" customHeight="1">
      <c r="A540" s="889" t="s">
        <v>1219</v>
      </c>
      <c r="B540" s="890"/>
      <c r="C540" s="890"/>
      <c r="D540" s="890"/>
      <c r="E540" s="890"/>
      <c r="F540" s="890"/>
      <c r="G540" s="890"/>
      <c r="H540" s="774" t="s">
        <v>372</v>
      </c>
      <c r="I540" s="164" t="s">
        <v>79</v>
      </c>
      <c r="J540" s="157"/>
      <c r="K540" s="611" t="s">
        <v>45</v>
      </c>
      <c r="L540" s="630" t="s">
        <v>46</v>
      </c>
      <c r="M540" s="157"/>
      <c r="N540" s="158" t="s">
        <v>1222</v>
      </c>
      <c r="O540" s="158"/>
      <c r="P540" s="164"/>
      <c r="Q540" s="164"/>
      <c r="R540" s="835" t="s">
        <v>49</v>
      </c>
      <c r="S540" s="835"/>
      <c r="T540" s="835"/>
      <c r="U540" s="835"/>
      <c r="V540" s="100" t="b">
        <f>IF(G540&gt;0,IF(AD540="me","",G540))</f>
        <v>0</v>
      </c>
      <c r="W540" s="100"/>
      <c r="X540" s="100"/>
      <c r="Y540" s="201"/>
      <c r="Z540" s="829" t="str">
        <f t="shared" si="1393"/>
        <v/>
      </c>
      <c r="AA540" s="829"/>
      <c r="AB540" s="830" t="str">
        <f>IF(G540=0,"",IF(AD540="free","re-planting",IF(AD540="me","not NVP, by",IF($AD$8="yes",(VLOOKUP(A540,'Discount Lookup'!J:K,2)*G540*(1-$AC$1786)*(1+$AC$1788)),IF(AD540="NVP",(VLOOKUP(A540,'Discount Lookup'!J:K,2)*G540*(1-$AC$1786)*(1+$AC$1788)),IF(AD540="free","re-planting",IF(G540=0,"",IF($AD$8="",IF(AD540="me","not NVP, by",IF(AD540="",IF(G540&gt;0,(VLOOKUP(A540,'Discount Lookup'!J:K,2)*G540*(1-$AC$1786)*(1+$AC$1788)),""),"")),"not NVP, by"))))))))</f>
        <v/>
      </c>
      <c r="AC540" s="830"/>
      <c r="AD540" s="375" t="str">
        <f t="shared" si="1374"/>
        <v/>
      </c>
      <c r="AE540" s="833" t="str">
        <f t="shared" ref="AE540:AE543" si="1439">IF(G540&gt;0,(CONCATENATE((G540)," quantity, ",(A540)," ",B540)),"")</f>
        <v/>
      </c>
      <c r="AF540" s="833"/>
      <c r="AG540" s="833"/>
      <c r="AH540" s="91">
        <f>IF(AD540="free",0,IF(AD540="me",0,IF(G540&gt;0,(VLOOKUP(A540,'Discount Lookup'!J:K,2)*G540),0)))</f>
        <v>0</v>
      </c>
      <c r="AI540" s="92" t="str">
        <f t="shared" si="1334"/>
        <v/>
      </c>
      <c r="AJ540" s="828" t="str">
        <f t="shared" si="1394"/>
        <v/>
      </c>
      <c r="AK540" s="828"/>
      <c r="AL540" s="313" t="str">
        <f t="shared" si="1387"/>
        <v/>
      </c>
      <c r="AM540" s="312"/>
      <c r="AN540" s="101"/>
      <c r="AO540" s="101"/>
      <c r="AP540" s="101"/>
      <c r="AQ540" s="101"/>
      <c r="AR540" s="101"/>
      <c r="AS540" s="101"/>
      <c r="AT540" s="101"/>
    </row>
    <row r="541" spans="1:46" ht="12.95" customHeight="1">
      <c r="A541" s="383">
        <v>7</v>
      </c>
      <c r="B541" s="158" t="s">
        <v>50</v>
      </c>
      <c r="C541" s="172" t="s">
        <v>1680</v>
      </c>
      <c r="D541" s="161" t="s">
        <v>54</v>
      </c>
      <c r="E541" s="162">
        <v>102.95</v>
      </c>
      <c r="F541" s="713" t="s">
        <v>1306</v>
      </c>
      <c r="G541" s="357">
        <v>0</v>
      </c>
      <c r="H541" s="748" t="str">
        <f t="shared" ref="H541:H542" si="1440">IF(G541=0,"",IF(F541="Qty=",IF(G541=1,"plant","plants"),IF(F541&gt;0.0001,"warranty","Error")))</f>
        <v/>
      </c>
      <c r="I541" s="592">
        <f t="shared" ref="I541:I542" si="1441">IF(F541="Qty=",(E541*G541),((E541*(1-F541))*G541))</f>
        <v>0</v>
      </c>
      <c r="J541" s="592">
        <f>IF(H541="warranty",0,(I541*($J$1782)))</f>
        <v>0</v>
      </c>
      <c r="K541" s="834">
        <f t="shared" ref="K541:K542" si="1442">I541+J541</f>
        <v>0</v>
      </c>
      <c r="L541" s="834"/>
      <c r="M541" s="832" t="str">
        <f>IF($H$1784=0,"",IF(G541=0,"",IF(F541="Qty=",CONCATENATE("$",ROUND(K541*(1-$H$1784),2)," with ",($H$1784*100),"% discount"),CONCATENATE("$",ROUND(K541*(1-$H$1784),2)," with ",(($H$1784*100+F541*100)-($H$1784*100*F541)),IF(F541&gt;0,"% discounts",IF($H$1781&gt;0,"% discounts","% discount"))))))</f>
        <v/>
      </c>
      <c r="N541" s="832"/>
      <c r="O541" s="832"/>
      <c r="P541" s="832"/>
      <c r="Q541" s="832"/>
      <c r="R541" s="832"/>
      <c r="S541" s="303">
        <f t="shared" ref="S541:S542" si="1443">E541*G541</f>
        <v>0</v>
      </c>
      <c r="T541" s="541">
        <f>VLOOKUP(A541,'Discount Lookup'!D:E,2,FALSE)*G541</f>
        <v>0</v>
      </c>
      <c r="U541" s="83">
        <f>VLOOKUP(A541,'Discount Lookup'!G:H,2,FALSE)*G541</f>
        <v>0</v>
      </c>
      <c r="V541" s="100">
        <f>E541*($J$1782)*G541</f>
        <v>0</v>
      </c>
      <c r="W541" s="100">
        <f t="shared" ref="W541:W542" si="1444">I541</f>
        <v>0</v>
      </c>
      <c r="X541" s="100" t="b">
        <f t="shared" ref="X541:X542" si="1445">IF(G541&gt;0,IF(AD541="me","",G541))</f>
        <v>0</v>
      </c>
      <c r="Y541" s="201"/>
      <c r="Z541" s="829" t="str">
        <f t="shared" ref="Z541:Z542" si="1446">IF(G541=0,"",IF(AD541="me","",IF($AD$8="me","",IF(AD541="free","warranty",IF($AD$8="yes","NVP planting:","to NVP install:")))))</f>
        <v/>
      </c>
      <c r="AA541" s="829"/>
      <c r="AB541" s="830" t="str">
        <f>IF(G541=0,"",IF(AD541="free","re-planting",IF(AD541="me","not NVP, by",IF($AD$8="yes",(VLOOKUP(A541,'Discount Lookup'!J:K,2)*G541*(1-$AC$1786)*(1+$AC$1788)),IF(AD541="NVP",(VLOOKUP(A541,'Discount Lookup'!J:K,2)*G541*(1-$AC$1786)*(1+$AC$1788)),IF(AD541="free","re-planting",IF(G541=0,"",IF($AD$8="",IF(AD541="me","not NVP, by",IF(AD541="",IF(G541&gt;0,(VLOOKUP(A541,'Discount Lookup'!J:K,2)*G541*(1-$AC$1786)*(1+$AC$1788)),""),"")),"not NVP, by"))))))))</f>
        <v/>
      </c>
      <c r="AC541" s="830"/>
      <c r="AD541" s="375" t="str">
        <f t="shared" si="1374"/>
        <v/>
      </c>
      <c r="AE541" s="833" t="str">
        <f t="shared" si="1439"/>
        <v/>
      </c>
      <c r="AF541" s="833"/>
      <c r="AG541" s="833"/>
      <c r="AH541" s="91">
        <f>IF(AD541="free",0,IF(AD541="me",0,IF(G541&gt;0,(VLOOKUP(A541,'Discount Lookup'!J:K,2)*G541),0)))</f>
        <v>0</v>
      </c>
      <c r="AI541" s="92" t="str">
        <f t="shared" si="1334"/>
        <v/>
      </c>
      <c r="AJ541" s="828" t="str">
        <f t="shared" ref="AJ541:AJ542" si="1447">IF(G541=0,"",IF(AD541="me","  delivery-only",IF($AD$8="me","  delivery-only",CONCATENATE(" $",ROUND(AI541/G541,2)," each"))))</f>
        <v/>
      </c>
      <c r="AK541" s="828"/>
      <c r="AL541" s="313" t="str">
        <f t="shared" si="1387"/>
        <v/>
      </c>
      <c r="AM541" s="312"/>
      <c r="AN541" s="101"/>
      <c r="AO541" s="101"/>
      <c r="AP541" s="101"/>
      <c r="AQ541" s="101"/>
      <c r="AR541" s="101"/>
      <c r="AS541" s="101"/>
      <c r="AT541" s="101"/>
    </row>
    <row r="542" spans="1:46" ht="12.95" customHeight="1">
      <c r="A542" s="383">
        <v>7</v>
      </c>
      <c r="B542" s="158" t="s">
        <v>50</v>
      </c>
      <c r="C542" s="172" t="s">
        <v>1606</v>
      </c>
      <c r="D542" s="161" t="s">
        <v>54</v>
      </c>
      <c r="E542" s="162">
        <v>155.94999999999999</v>
      </c>
      <c r="F542" s="713" t="s">
        <v>1306</v>
      </c>
      <c r="G542" s="357">
        <v>0</v>
      </c>
      <c r="H542" s="748" t="str">
        <f t="shared" si="1440"/>
        <v/>
      </c>
      <c r="I542" s="592">
        <f t="shared" si="1441"/>
        <v>0</v>
      </c>
      <c r="J542" s="592">
        <f>IF(H542="warranty",0,(I542*($J$1782)))</f>
        <v>0</v>
      </c>
      <c r="K542" s="834">
        <f t="shared" si="1442"/>
        <v>0</v>
      </c>
      <c r="L542" s="834"/>
      <c r="M542" s="832" t="str">
        <f>IF($H$1784=0,"",IF(G542=0,"",IF(F542="Qty=",CONCATENATE("$",ROUND(K542*(1-$H$1784),2)," with ",($H$1784*100),"% discount"),CONCATENATE("$",ROUND(K542*(1-$H$1784),2)," with ",(($H$1784*100+F542*100)-($H$1784*100*F542)),IF(F542&gt;0,"% discounts",IF($H$1781&gt;0,"% discounts","% discount"))))))</f>
        <v/>
      </c>
      <c r="N542" s="832"/>
      <c r="O542" s="832"/>
      <c r="P542" s="832"/>
      <c r="Q542" s="832"/>
      <c r="R542" s="832"/>
      <c r="S542" s="303">
        <f t="shared" si="1443"/>
        <v>0</v>
      </c>
      <c r="T542" s="541">
        <f>VLOOKUP(A542,'Discount Lookup'!D:E,2,FALSE)*G542</f>
        <v>0</v>
      </c>
      <c r="U542" s="83">
        <f>VLOOKUP(A542,'Discount Lookup'!G:H,2,FALSE)*G542</f>
        <v>0</v>
      </c>
      <c r="V542" s="100">
        <f>E542*($J$1782)*G542</f>
        <v>0</v>
      </c>
      <c r="W542" s="100">
        <f t="shared" si="1444"/>
        <v>0</v>
      </c>
      <c r="X542" s="100" t="b">
        <f t="shared" si="1445"/>
        <v>0</v>
      </c>
      <c r="Y542" s="201"/>
      <c r="Z542" s="829" t="str">
        <f t="shared" si="1446"/>
        <v/>
      </c>
      <c r="AA542" s="829"/>
      <c r="AB542" s="830" t="str">
        <f>IF(G542=0,"",IF(AD542="free","re-planting",IF(AD542="me","not NVP, by",IF($AD$8="yes",(VLOOKUP(A542,'Discount Lookup'!J:K,2)*G542*(1-$AC$1786)*(1+$AC$1788)),IF(AD542="NVP",(VLOOKUP(A542,'Discount Lookup'!J:K,2)*G542*(1-$AC$1786)*(1+$AC$1788)),IF(AD542="free","re-planting",IF(G542=0,"",IF($AD$8="",IF(AD542="me","not NVP, by",IF(AD542="",IF(G542&gt;0,(VLOOKUP(A542,'Discount Lookup'!J:K,2)*G542*(1-$AC$1786)*(1+$AC$1788)),""),"")),"not NVP, by"))))))))</f>
        <v/>
      </c>
      <c r="AC542" s="830"/>
      <c r="AD542" s="375" t="str">
        <f t="shared" si="1374"/>
        <v/>
      </c>
      <c r="AE542" s="833" t="str">
        <f t="shared" si="1439"/>
        <v/>
      </c>
      <c r="AF542" s="833"/>
      <c r="AG542" s="833"/>
      <c r="AH542" s="91">
        <f>IF(AD542="free",0,IF(AD542="me",0,IF(G542&gt;0,(VLOOKUP(A542,'Discount Lookup'!J:K,2)*G542),0)))</f>
        <v>0</v>
      </c>
      <c r="AI542" s="92" t="str">
        <f t="shared" si="1334"/>
        <v/>
      </c>
      <c r="AJ542" s="828" t="str">
        <f t="shared" si="1447"/>
        <v/>
      </c>
      <c r="AK542" s="828"/>
      <c r="AL542" s="313" t="str">
        <f t="shared" si="1387"/>
        <v/>
      </c>
      <c r="AM542" s="312"/>
      <c r="AN542" s="101"/>
      <c r="AO542" s="101"/>
      <c r="AP542" s="101"/>
      <c r="AQ542" s="101"/>
      <c r="AR542" s="101"/>
      <c r="AS542" s="101"/>
      <c r="AT542" s="101"/>
    </row>
    <row r="543" spans="1:46" ht="12.95" customHeight="1">
      <c r="A543" s="474"/>
      <c r="B543" s="173" t="s">
        <v>1220</v>
      </c>
      <c r="C543" s="130"/>
      <c r="D543" s="104"/>
      <c r="E543" s="131"/>
      <c r="G543" s="356"/>
      <c r="H543" s="744"/>
      <c r="J543" s="119"/>
      <c r="K543" s="609"/>
      <c r="L543" s="609"/>
      <c r="M543" s="48"/>
      <c r="N543" s="163" t="s">
        <v>268</v>
      </c>
      <c r="O543" s="123"/>
      <c r="P543" s="124"/>
      <c r="Q543" s="124"/>
      <c r="R543" s="840"/>
      <c r="S543" s="840"/>
      <c r="T543" s="840"/>
      <c r="U543" s="840"/>
      <c r="V543" s="100" t="b">
        <f>IF(G543&gt;0,IF(AD543="me","",G543))</f>
        <v>0</v>
      </c>
      <c r="W543" s="100"/>
      <c r="X543" s="100"/>
      <c r="Y543" s="201"/>
      <c r="Z543" s="829" t="str">
        <f t="shared" si="1393"/>
        <v/>
      </c>
      <c r="AA543" s="829"/>
      <c r="AB543" s="830" t="str">
        <f>IF(G543=0,"",IF(AD543="free","re-planting",IF(AD543="me","not NVP, by",IF($AD$8="yes",(VLOOKUP(A543,'Discount Lookup'!J:K,2)*G543*(1-$AC$1786)*(1+$AC$1788)),IF(AD543="NVP",(VLOOKUP(A543,'Discount Lookup'!J:K,2)*G543*(1-$AC$1786)*(1+$AC$1788)),IF(AD543="free","re-planting",IF(G543=0,"",IF($AD$8="",IF(AD543="me","not NVP, by",IF(AD543="",IF(G543&gt;0,(VLOOKUP(A543,'Discount Lookup'!J:K,2)*G543*(1-$AC$1786)*(1+$AC$1788)),""),"")),"not NVP, by"))))))))</f>
        <v/>
      </c>
      <c r="AC543" s="830"/>
      <c r="AD543" s="375" t="str">
        <f t="shared" si="1374"/>
        <v/>
      </c>
      <c r="AE543" s="833" t="str">
        <f t="shared" si="1439"/>
        <v/>
      </c>
      <c r="AF543" s="833"/>
      <c r="AG543" s="833"/>
      <c r="AH543" s="91">
        <f>IF(AD543="free",0,IF(AD543="me",0,IF(G543&gt;0,(VLOOKUP(A543,'Discount Lookup'!J:K,2)*G543),0)))</f>
        <v>0</v>
      </c>
      <c r="AI543" s="92" t="str">
        <f t="shared" si="1334"/>
        <v/>
      </c>
      <c r="AJ543" s="828" t="str">
        <f t="shared" si="1394"/>
        <v/>
      </c>
      <c r="AK543" s="828"/>
      <c r="AL543" s="313" t="str">
        <f t="shared" si="1387"/>
        <v/>
      </c>
      <c r="AM543" s="312"/>
      <c r="AN543" s="101"/>
      <c r="AO543" s="101"/>
      <c r="AP543" s="101"/>
      <c r="AQ543" s="101"/>
      <c r="AR543" s="101"/>
      <c r="AS543" s="101"/>
      <c r="AT543" s="101"/>
    </row>
    <row r="544" spans="1:46" ht="12.95" customHeight="1">
      <c r="A544" s="894" t="s">
        <v>374</v>
      </c>
      <c r="B544" s="895"/>
      <c r="C544" s="895"/>
      <c r="D544" s="895"/>
      <c r="E544" s="895"/>
      <c r="F544" s="895"/>
      <c r="G544" s="895"/>
      <c r="H544" s="774" t="s">
        <v>159</v>
      </c>
      <c r="I544" s="164" t="s">
        <v>79</v>
      </c>
      <c r="J544" s="157"/>
      <c r="K544" s="611" t="s">
        <v>45</v>
      </c>
      <c r="L544" s="630" t="s">
        <v>46</v>
      </c>
      <c r="M544" s="157"/>
      <c r="N544" s="158" t="s">
        <v>1615</v>
      </c>
      <c r="O544" s="158"/>
      <c r="P544" s="158"/>
      <c r="Q544" s="804"/>
      <c r="R544" s="157"/>
      <c r="S544" s="170"/>
      <c r="T544" s="547"/>
      <c r="U544" s="159"/>
      <c r="V544" s="100" t="b">
        <f>IF(G544&gt;0,IF(AD544="me","",G544))</f>
        <v>0</v>
      </c>
      <c r="W544" s="100"/>
      <c r="X544" s="100"/>
      <c r="Y544" s="201"/>
      <c r="Z544" s="829" t="str">
        <f t="shared" si="1393"/>
        <v/>
      </c>
      <c r="AA544" s="829"/>
      <c r="AB544" s="830" t="str">
        <f>IF(G544=0,"",IF(AD544="free","re-planting",IF(AD544="me","not NVP, by",IF($AD$8="yes",(VLOOKUP(A544,'Discount Lookup'!J:K,2)*G544*(1-$AC$1786)*(1+$AC$1788)),IF(AD544="NVP",(VLOOKUP(A544,'Discount Lookup'!J:K,2)*G544*(1-$AC$1786)*(1+$AC$1788)),IF(AD544="free","re-planting",IF(G544=0,"",IF($AD$8="",IF(AD544="me","not NVP, by",IF(AD544="",IF(G544&gt;0,(VLOOKUP(A544,'Discount Lookup'!J:K,2)*G544*(1-$AC$1786)*(1+$AC$1788)),""),"")),"not NVP, by"))))))))</f>
        <v/>
      </c>
      <c r="AC544" s="830"/>
      <c r="AD544" s="375" t="str">
        <f t="shared" si="1374"/>
        <v/>
      </c>
      <c r="AE544" s="833" t="str">
        <f t="shared" si="1417"/>
        <v/>
      </c>
      <c r="AF544" s="833"/>
      <c r="AG544" s="833"/>
      <c r="AH544" s="91">
        <f>IF(AD544="free",0,IF(AD544="me",0,IF(G544&gt;0,(VLOOKUP(A544,'Discount Lookup'!J:K,2)*G544),0)))</f>
        <v>0</v>
      </c>
      <c r="AI544" s="92" t="str">
        <f t="shared" si="1334"/>
        <v/>
      </c>
      <c r="AJ544" s="828" t="str">
        <f t="shared" si="1394"/>
        <v/>
      </c>
      <c r="AK544" s="828"/>
      <c r="AL544" s="313" t="str">
        <f t="shared" si="1387"/>
        <v/>
      </c>
      <c r="AM544" s="312"/>
      <c r="AN544" s="101"/>
      <c r="AO544" s="101"/>
      <c r="AP544" s="101"/>
      <c r="AQ544" s="101"/>
      <c r="AR544" s="101"/>
      <c r="AS544" s="101"/>
      <c r="AT544" s="101"/>
    </row>
    <row r="545" spans="1:46" ht="12.95" customHeight="1">
      <c r="A545" s="383">
        <v>7</v>
      </c>
      <c r="B545" s="158" t="s">
        <v>50</v>
      </c>
      <c r="C545" s="168" t="s">
        <v>136</v>
      </c>
      <c r="D545" s="161" t="s">
        <v>87</v>
      </c>
      <c r="E545" s="162">
        <v>175.95</v>
      </c>
      <c r="F545" s="713" t="s">
        <v>1306</v>
      </c>
      <c r="G545" s="357">
        <v>0</v>
      </c>
      <c r="H545" s="748" t="str">
        <f t="shared" ref="H545" si="1448">IF(G545=0,"",IF(F545="Qty=",IF(G545=1,"plant","plants"),IF(F545&gt;0.0001,"warranty","Error")))</f>
        <v/>
      </c>
      <c r="I545" s="592">
        <f t="shared" ref="I545" si="1449">IF(F545="Qty=",(E545*G545),((E545*(1-F545))*G545))</f>
        <v>0</v>
      </c>
      <c r="J545" s="592">
        <f>IF(H545="warranty",0,(I545*($J$1782)))</f>
        <v>0</v>
      </c>
      <c r="K545" s="834">
        <f t="shared" ref="K545:K548" si="1450">I545+J545</f>
        <v>0</v>
      </c>
      <c r="L545" s="834"/>
      <c r="M545" s="832" t="str">
        <f>IF($H$1784=0,"",IF(G545=0,"",IF(F545="Qty=",CONCATENATE("$",ROUND(K545*(1-$H$1784),2)," with ",($H$1784*100),"% discount"),CONCATENATE("$",ROUND(K545*(1-$H$1784),2)," with ",(($H$1784*100+F545*100)-($H$1784*100*F545)),IF(F545&gt;0,"% discounts",IF($H$1781&gt;0,"% discounts","% discount"))))))</f>
        <v/>
      </c>
      <c r="N545" s="832"/>
      <c r="O545" s="832"/>
      <c r="P545" s="832"/>
      <c r="Q545" s="832"/>
      <c r="R545" s="832"/>
      <c r="S545" s="303">
        <f t="shared" ref="S545" si="1451">E545*G545</f>
        <v>0</v>
      </c>
      <c r="T545" s="541">
        <f>VLOOKUP(A545,'Discount Lookup'!D:E,2,FALSE)*G545</f>
        <v>0</v>
      </c>
      <c r="U545" s="83">
        <f>VLOOKUP(A545,'Discount Lookup'!G:H,2,FALSE)*G545</f>
        <v>0</v>
      </c>
      <c r="V545" s="100">
        <f>E545*($J$1782)*G545</f>
        <v>0</v>
      </c>
      <c r="W545" s="100">
        <f t="shared" ref="W545" si="1452">I545</f>
        <v>0</v>
      </c>
      <c r="X545" s="100" t="b">
        <f t="shared" ref="X545" si="1453">IF(G545&gt;0,IF(AD545="me","",G545))</f>
        <v>0</v>
      </c>
      <c r="Y545" s="201"/>
      <c r="Z545" s="829" t="str">
        <f t="shared" ref="Z545" si="1454">IF(G545=0,"",IF(AD545="me","",IF($AD$8="me","",IF(AD545="free","warranty",IF($AD$8="yes","NVP planting:","to NVP install:")))))</f>
        <v/>
      </c>
      <c r="AA545" s="829"/>
      <c r="AB545" s="830" t="str">
        <f>IF(G545=0,"",IF(AD545="free","re-planting",IF(AD545="me","not NVP, by",IF($AD$8="yes",(VLOOKUP(A545,'Discount Lookup'!J:K,2)*G545*(1-$AC$1786)*(1+$AC$1788)),IF(AD545="NVP",(VLOOKUP(A545,'Discount Lookup'!J:K,2)*G545*(1-$AC$1786)*(1+$AC$1788)),IF(AD545="free","re-planting",IF(G545=0,"",IF($AD$8="",IF(AD545="me","not NVP, by",IF(AD545="",IF(G545&gt;0,(VLOOKUP(A545,'Discount Lookup'!J:K,2)*G545*(1-$AC$1786)*(1+$AC$1788)),""),"")),"not NVP, by"))))))))</f>
        <v/>
      </c>
      <c r="AC545" s="830"/>
      <c r="AD545" s="375" t="str">
        <f t="shared" si="1374"/>
        <v/>
      </c>
      <c r="AE545" s="833" t="str">
        <f t="shared" si="1417"/>
        <v/>
      </c>
      <c r="AF545" s="833"/>
      <c r="AG545" s="833"/>
      <c r="AH545" s="91">
        <f>IF(AD545="free",0,IF(AD545="me",0,IF(G545&gt;0,(VLOOKUP(A545,'Discount Lookup'!J:K,2)*G545),0)))</f>
        <v>0</v>
      </c>
      <c r="AI545" s="92" t="str">
        <f t="shared" si="1334"/>
        <v/>
      </c>
      <c r="AJ545" s="828" t="str">
        <f t="shared" ref="AJ545" si="1455">IF(G545=0,"",IF(AD545="me","  delivery-only",IF($AD$8="me","  delivery-only",CONCATENATE(" $",ROUND(AI545/G545,2)," each"))))</f>
        <v/>
      </c>
      <c r="AK545" s="828"/>
      <c r="AL545" s="313" t="str">
        <f t="shared" si="1387"/>
        <v/>
      </c>
      <c r="AM545" s="312"/>
      <c r="AN545" s="101"/>
      <c r="AO545" s="101"/>
      <c r="AP545" s="101"/>
      <c r="AQ545" s="101"/>
      <c r="AR545" s="101"/>
      <c r="AS545" s="101"/>
      <c r="AT545" s="101"/>
    </row>
    <row r="546" spans="1:46" ht="12.95" customHeight="1">
      <c r="A546" s="383">
        <v>7</v>
      </c>
      <c r="B546" s="158" t="s">
        <v>50</v>
      </c>
      <c r="C546" s="160" t="s">
        <v>70</v>
      </c>
      <c r="D546" s="161" t="s">
        <v>54</v>
      </c>
      <c r="E546" s="162">
        <v>201.95</v>
      </c>
      <c r="F546" s="713" t="s">
        <v>1306</v>
      </c>
      <c r="G546" s="357">
        <v>0</v>
      </c>
      <c r="H546" s="748" t="str">
        <f t="shared" ref="H546:H547" si="1456">IF(G546=0,"",IF(F546="Qty=",IF(G546=1,"plant","plants"),IF(F546&gt;0.0001,"warranty","Error")))</f>
        <v/>
      </c>
      <c r="I546" s="592">
        <f t="shared" ref="I546:I547" si="1457">IF(F546="Qty=",(E546*G546),((E546*(1-F546))*G546))</f>
        <v>0</v>
      </c>
      <c r="J546" s="592">
        <f>IF(H546="warranty",0,(I546*($J$1782)))</f>
        <v>0</v>
      </c>
      <c r="K546" s="834">
        <f t="shared" si="1450"/>
        <v>0</v>
      </c>
      <c r="L546" s="834"/>
      <c r="M546" s="832" t="str">
        <f>IF($H$1784=0,"",IF(G546=0,"",IF(F546="Qty=",CONCATENATE("$",ROUND(K546*(1-$H$1784),2)," with ",($H$1784*100),"% discount"),CONCATENATE("$",ROUND(K546*(1-$H$1784),2)," with ",(($H$1784*100+F546*100)-($H$1784*100*F546)),IF(F546&gt;0,"% discounts",IF($H$1781&gt;0,"% discounts","% discount"))))))</f>
        <v/>
      </c>
      <c r="N546" s="832"/>
      <c r="O546" s="832"/>
      <c r="P546" s="832"/>
      <c r="Q546" s="832"/>
      <c r="R546" s="832"/>
      <c r="S546" s="303">
        <f t="shared" ref="S546:S548" si="1458">E546*G546</f>
        <v>0</v>
      </c>
      <c r="T546" s="541">
        <f>VLOOKUP(A546,'Discount Lookup'!D:E,2,FALSE)*G546</f>
        <v>0</v>
      </c>
      <c r="U546" s="83">
        <f>VLOOKUP(A546,'Discount Lookup'!G:H,2,FALSE)*G546</f>
        <v>0</v>
      </c>
      <c r="V546" s="100">
        <f>E546*($J$1782)*G546</f>
        <v>0</v>
      </c>
      <c r="W546" s="100">
        <f t="shared" ref="W546:W548" si="1459">I546</f>
        <v>0</v>
      </c>
      <c r="X546" s="100" t="b">
        <f t="shared" ref="X546:X547" si="1460">IF(G546&gt;0,IF(AD546="me","",G546))</f>
        <v>0</v>
      </c>
      <c r="Y546" s="201"/>
      <c r="Z546" s="829" t="str">
        <f t="shared" si="1393"/>
        <v/>
      </c>
      <c r="AA546" s="829"/>
      <c r="AB546" s="830" t="str">
        <f>IF(G546=0,"",IF(AD546="free","re-planting",IF(AD546="me","not NVP, by",IF($AD$8="yes",(VLOOKUP(A546,'Discount Lookup'!J:K,2)*G546*(1-$AC$1786)*(1+$AC$1788)),IF(AD546="NVP",(VLOOKUP(A546,'Discount Lookup'!J:K,2)*G546*(1-$AC$1786)*(1+$AC$1788)),IF(AD546="free","re-planting",IF(G546=0,"",IF($AD$8="",IF(AD546="me","not NVP, by",IF(AD546="",IF(G546&gt;0,(VLOOKUP(A546,'Discount Lookup'!J:K,2)*G546*(1-$AC$1786)*(1+$AC$1788)),""),"")),"not NVP, by"))))))))</f>
        <v/>
      </c>
      <c r="AC546" s="830"/>
      <c r="AD546" s="375" t="str">
        <f t="shared" si="1374"/>
        <v/>
      </c>
      <c r="AE546" s="833" t="str">
        <f t="shared" ref="AE546:AE548" si="1461">IF(G546&gt;0,(CONCATENATE((G546)," quantity, ",(A546)," ",B546)),"")</f>
        <v/>
      </c>
      <c r="AF546" s="833"/>
      <c r="AG546" s="833"/>
      <c r="AH546" s="91">
        <f>IF(AD546="free",0,IF(AD546="me",0,IF(G546&gt;0,(VLOOKUP(A546,'Discount Lookup'!J:K,2)*G546),0)))</f>
        <v>0</v>
      </c>
      <c r="AI546" s="92" t="str">
        <f t="shared" si="1334"/>
        <v/>
      </c>
      <c r="AJ546" s="828" t="str">
        <f t="shared" si="1394"/>
        <v/>
      </c>
      <c r="AK546" s="828"/>
      <c r="AL546" s="313" t="str">
        <f t="shared" si="1387"/>
        <v/>
      </c>
      <c r="AM546" s="312"/>
      <c r="AN546" s="101"/>
      <c r="AO546" s="101"/>
      <c r="AP546" s="101"/>
      <c r="AQ546" s="101"/>
      <c r="AR546" s="101"/>
      <c r="AS546" s="101"/>
      <c r="AT546" s="101"/>
    </row>
    <row r="547" spans="1:46" ht="12.95" customHeight="1">
      <c r="A547" s="383">
        <v>15</v>
      </c>
      <c r="B547" s="158" t="s">
        <v>50</v>
      </c>
      <c r="C547" s="160" t="s">
        <v>89</v>
      </c>
      <c r="D547" s="161" t="s">
        <v>54</v>
      </c>
      <c r="E547" s="162">
        <v>367.95</v>
      </c>
      <c r="F547" s="713" t="s">
        <v>1306</v>
      </c>
      <c r="G547" s="357">
        <v>0</v>
      </c>
      <c r="H547" s="748" t="str">
        <f t="shared" si="1456"/>
        <v/>
      </c>
      <c r="I547" s="592">
        <f t="shared" si="1457"/>
        <v>0</v>
      </c>
      <c r="J547" s="592">
        <f>IF(H547="warranty",0,(I547*($J$1782)))</f>
        <v>0</v>
      </c>
      <c r="K547" s="834">
        <f t="shared" si="1450"/>
        <v>0</v>
      </c>
      <c r="L547" s="834"/>
      <c r="M547" s="832" t="str">
        <f>IF($H$1784=0,"",IF(G547=0,"",IF(F547="Qty=",CONCATENATE("$",ROUND(K547*(1-$H$1784),2)," with ",($H$1784*100),"% discount"),CONCATENATE("$",ROUND(K547*(1-$H$1784),2)," with ",(($H$1784*100+F547*100)-($H$1784*100*F547)),IF(F547&gt;0,"% discounts",IF($H$1781&gt;0,"% discounts","% discount"))))))</f>
        <v/>
      </c>
      <c r="N547" s="832"/>
      <c r="O547" s="832"/>
      <c r="P547" s="832"/>
      <c r="Q547" s="832"/>
      <c r="R547" s="832"/>
      <c r="S547" s="303">
        <f t="shared" si="1458"/>
        <v>0</v>
      </c>
      <c r="T547" s="541">
        <f>VLOOKUP(A547,'Discount Lookup'!D:E,2,FALSE)*G547</f>
        <v>0</v>
      </c>
      <c r="U547" s="83">
        <f>VLOOKUP(A547,'Discount Lookup'!G:H,2,FALSE)*G547</f>
        <v>0</v>
      </c>
      <c r="V547" s="100">
        <f>E547*($J$1782)*G547</f>
        <v>0</v>
      </c>
      <c r="W547" s="100">
        <f t="shared" si="1459"/>
        <v>0</v>
      </c>
      <c r="X547" s="100" t="b">
        <f t="shared" si="1460"/>
        <v>0</v>
      </c>
      <c r="Y547" s="201"/>
      <c r="Z547" s="829" t="str">
        <f t="shared" si="1393"/>
        <v/>
      </c>
      <c r="AA547" s="829"/>
      <c r="AB547" s="830" t="str">
        <f>IF(G547=0,"",IF(AD547="free","re-planting",IF(AD547="me","not NVP, by",IF($AD$8="yes",(VLOOKUP(A547,'Discount Lookup'!J:K,2)*G547*(1-$AC$1786)*(1+$AC$1788)),IF(AD547="NVP",(VLOOKUP(A547,'Discount Lookup'!J:K,2)*G547*(1-$AC$1786)*(1+$AC$1788)),IF(AD547="free","re-planting",IF(G547=0,"",IF($AD$8="",IF(AD547="me","not NVP, by",IF(AD547="",IF(G547&gt;0,(VLOOKUP(A547,'Discount Lookup'!J:K,2)*G547*(1-$AC$1786)*(1+$AC$1788)),""),"")),"not NVP, by"))))))))</f>
        <v/>
      </c>
      <c r="AC547" s="830"/>
      <c r="AD547" s="375" t="str">
        <f t="shared" si="1374"/>
        <v/>
      </c>
      <c r="AE547" s="833" t="str">
        <f t="shared" si="1461"/>
        <v/>
      </c>
      <c r="AF547" s="833"/>
      <c r="AG547" s="833"/>
      <c r="AH547" s="91">
        <f>IF(AD547="free",0,IF(AD547="me",0,IF(G547&gt;0,(VLOOKUP(A547,'Discount Lookup'!J:K,2)*G547),0)))</f>
        <v>0</v>
      </c>
      <c r="AI547" s="92" t="str">
        <f t="shared" si="1334"/>
        <v/>
      </c>
      <c r="AJ547" s="828" t="str">
        <f t="shared" si="1394"/>
        <v/>
      </c>
      <c r="AK547" s="828"/>
      <c r="AL547" s="313" t="str">
        <f t="shared" si="1387"/>
        <v/>
      </c>
      <c r="AM547" s="312"/>
      <c r="AN547" s="101"/>
      <c r="AO547" s="101"/>
      <c r="AP547" s="101"/>
      <c r="AQ547" s="101"/>
      <c r="AR547" s="101"/>
      <c r="AS547" s="101"/>
      <c r="AT547" s="101"/>
    </row>
    <row r="548" spans="1:46" ht="12.95" customHeight="1">
      <c r="A548" s="383">
        <v>25</v>
      </c>
      <c r="B548" s="158" t="s">
        <v>50</v>
      </c>
      <c r="C548" s="160" t="s">
        <v>1285</v>
      </c>
      <c r="D548" s="161" t="s">
        <v>54</v>
      </c>
      <c r="E548" s="162">
        <v>790.95</v>
      </c>
      <c r="F548" s="713" t="s">
        <v>1306</v>
      </c>
      <c r="G548" s="357">
        <v>0</v>
      </c>
      <c r="H548" s="748" t="str">
        <f t="shared" ref="H548" si="1462">IF(G548=0,"",IF(F548="Qty=",IF(G548=1,"plant","plants"),IF(F548&gt;0.0001,"warranty","Error")))</f>
        <v/>
      </c>
      <c r="I548" s="592">
        <f t="shared" ref="I548" si="1463">IF(F548="Qty=",(E548*G548),((E548*(1-F548))*G548))</f>
        <v>0</v>
      </c>
      <c r="J548" s="592">
        <f>IF(H548="warranty",0,(I548*($J$1782)))</f>
        <v>0</v>
      </c>
      <c r="K548" s="834">
        <f t="shared" si="1450"/>
        <v>0</v>
      </c>
      <c r="L548" s="834"/>
      <c r="M548" s="832" t="str">
        <f>IF($H$1784=0,"",IF(G548=0,"",IF(F548="Qty=",CONCATENATE("$",ROUND(K548*(1-$H$1784),2)," with ",($H$1784*100),"% discount"),CONCATENATE("$",ROUND(K548*(1-$H$1784),2)," with ",(($H$1784*100+F548*100)-($H$1784*100*F548)),IF(F548&gt;0,"% discounts",IF($H$1781&gt;0,"% discounts","% discount"))))))</f>
        <v/>
      </c>
      <c r="N548" s="832"/>
      <c r="O548" s="832"/>
      <c r="P548" s="832"/>
      <c r="Q548" s="832"/>
      <c r="R548" s="832"/>
      <c r="S548" s="303">
        <f t="shared" si="1458"/>
        <v>0</v>
      </c>
      <c r="T548" s="541">
        <f>VLOOKUP(A548,'Discount Lookup'!D:E,2,FALSE)*G548</f>
        <v>0</v>
      </c>
      <c r="U548" s="83">
        <f>VLOOKUP(A548,'Discount Lookup'!G:H,2,FALSE)*G548</f>
        <v>0</v>
      </c>
      <c r="V548" s="100">
        <f>E548*($J$1782)*G548</f>
        <v>0</v>
      </c>
      <c r="W548" s="100">
        <f t="shared" si="1459"/>
        <v>0</v>
      </c>
      <c r="X548" s="100" t="b">
        <f>IF(G548&gt;0,IF(AD548="me","",G548))</f>
        <v>0</v>
      </c>
      <c r="Y548" s="201"/>
      <c r="Z548" s="829" t="str">
        <f t="shared" ref="Z548" si="1464">IF(G548=0,"",IF(AD548="me","",IF($AD$8="me","",IF(AD548="free","warranty",IF($AD$8="yes","NVP planting:","to NVP install:")))))</f>
        <v/>
      </c>
      <c r="AA548" s="829"/>
      <c r="AB548" s="830" t="str">
        <f>IF(G548=0,"",IF(AD548="free","re-planting",IF(AD548="me","not NVP, by",IF($AD$8="yes",(VLOOKUP(A548,'Discount Lookup'!J:K,2)*G548*(1-$AC$1786)*(1+$AC$1788)),IF(AD548="NVP",(VLOOKUP(A548,'Discount Lookup'!J:K,2)*G548*(1-$AC$1786)*(1+$AC$1788)),IF(AD548="free","re-planting",IF(G548=0,"",IF($AD$8="",IF(AD548="me","not NVP, by",IF(AD548="",IF(G548&gt;0,(VLOOKUP(A548,'Discount Lookup'!J:K,2)*G548*(1-$AC$1786)*(1+$AC$1788)),""),"")),"not NVP, by"))))))))</f>
        <v/>
      </c>
      <c r="AC548" s="830"/>
      <c r="AD548" s="375" t="str">
        <f t="shared" si="1374"/>
        <v/>
      </c>
      <c r="AE548" s="833" t="str">
        <f t="shared" si="1461"/>
        <v/>
      </c>
      <c r="AF548" s="833"/>
      <c r="AG548" s="833"/>
      <c r="AH548" s="91">
        <f>IF(AD548="free",0,IF(AD548="me",0,IF(G548&gt;0,(VLOOKUP(A548,'Discount Lookup'!J:K,2)*G548),0)))</f>
        <v>0</v>
      </c>
      <c r="AI548" s="92" t="str">
        <f t="shared" si="1334"/>
        <v/>
      </c>
      <c r="AJ548" s="828" t="str">
        <f t="shared" ref="AJ548" si="1465">IF(G548=0,"",IF(AD548="me","  delivery-only",IF($AD$8="me","  delivery-only",CONCATENATE(" $",ROUND(AI548/G548,2)," each"))))</f>
        <v/>
      </c>
      <c r="AK548" s="828"/>
      <c r="AL548" s="313" t="str">
        <f t="shared" si="1387"/>
        <v/>
      </c>
      <c r="AM548" s="312"/>
      <c r="AN548" s="101"/>
      <c r="AO548" s="101"/>
      <c r="AP548" s="101"/>
      <c r="AQ548" s="101"/>
      <c r="AR548" s="101"/>
      <c r="AS548" s="101"/>
      <c r="AT548" s="101"/>
    </row>
    <row r="549" spans="1:46" ht="12.95" customHeight="1">
      <c r="A549" s="479"/>
      <c r="B549" s="103" t="s">
        <v>375</v>
      </c>
      <c r="C549" s="104"/>
      <c r="D549" s="104"/>
      <c r="E549" s="105"/>
      <c r="F549" s="709"/>
      <c r="G549" s="358"/>
      <c r="H549" s="743"/>
      <c r="I549" s="102"/>
      <c r="J549" s="102"/>
      <c r="K549" s="607"/>
      <c r="L549" s="607"/>
      <c r="M549" s="154"/>
      <c r="N549" s="154"/>
      <c r="O549" s="151"/>
      <c r="P549" s="152"/>
      <c r="Q549" s="152"/>
      <c r="R549" s="152"/>
      <c r="S549" s="82">
        <f>E549*G549</f>
        <v>0</v>
      </c>
      <c r="T549" s="540"/>
      <c r="U549" s="83"/>
      <c r="V549" s="100" t="b">
        <f>IF(G549&gt;0,IF(AD549="me","",G549))</f>
        <v>0</v>
      </c>
      <c r="W549" s="100"/>
      <c r="X549" s="100"/>
      <c r="Y549" s="201"/>
      <c r="Z549" s="829" t="str">
        <f t="shared" si="1393"/>
        <v/>
      </c>
      <c r="AA549" s="829"/>
      <c r="AB549" s="830" t="str">
        <f>IF(G549=0,"",IF(AD549="free","re-planting",IF(AD549="me","not NVP, by",IF($AD$8="yes",(VLOOKUP(A549,'Discount Lookup'!J:K,2)*G549*(1-$AC$1786)*(1+$AC$1788)),IF(AD549="NVP",(VLOOKUP(A549,'Discount Lookup'!J:K,2)*G549*(1-$AC$1786)*(1+$AC$1788)),IF(AD549="free","re-planting",IF(G549=0,"",IF($AD$8="",IF(AD549="me","not NVP, by",IF(AD549="",IF(G549&gt;0,(VLOOKUP(A549,'Discount Lookup'!J:K,2)*G549*(1-$AC$1786)*(1+$AC$1788)),""),"")),"not NVP, by"))))))))</f>
        <v/>
      </c>
      <c r="AC549" s="830"/>
      <c r="AD549" s="375" t="str">
        <f t="shared" si="1374"/>
        <v/>
      </c>
      <c r="AE549" s="833" t="str">
        <f t="shared" si="1417"/>
        <v/>
      </c>
      <c r="AF549" s="833"/>
      <c r="AG549" s="833"/>
      <c r="AH549" s="91">
        <f>IF(AD549="free",0,IF(AD549="me",0,IF(G549&gt;0,(VLOOKUP(A549,'Discount Lookup'!J:K,2)*G549),0)))</f>
        <v>0</v>
      </c>
      <c r="AI549" s="92" t="str">
        <f t="shared" si="1334"/>
        <v/>
      </c>
      <c r="AJ549" s="828" t="str">
        <f t="shared" si="1394"/>
        <v/>
      </c>
      <c r="AK549" s="828"/>
      <c r="AL549" s="313" t="str">
        <f t="shared" si="1387"/>
        <v/>
      </c>
      <c r="AM549" s="312"/>
      <c r="AN549" s="101"/>
      <c r="AO549" s="101"/>
      <c r="AP549" s="101"/>
      <c r="AQ549" s="101"/>
      <c r="AR549" s="101"/>
      <c r="AS549" s="101"/>
      <c r="AT549" s="101"/>
    </row>
    <row r="550" spans="1:46" ht="12.95" customHeight="1">
      <c r="A550" s="889" t="s">
        <v>376</v>
      </c>
      <c r="B550" s="890"/>
      <c r="C550" s="890"/>
      <c r="D550" s="890"/>
      <c r="E550" s="890"/>
      <c r="F550" s="890"/>
      <c r="G550" s="890"/>
      <c r="H550" s="774" t="s">
        <v>159</v>
      </c>
      <c r="I550" s="349" t="s">
        <v>280</v>
      </c>
      <c r="J550" s="157"/>
      <c r="K550" s="611" t="s">
        <v>45</v>
      </c>
      <c r="L550" s="630" t="s">
        <v>46</v>
      </c>
      <c r="M550" s="157"/>
      <c r="N550" s="158" t="s">
        <v>69</v>
      </c>
      <c r="O550" s="165"/>
      <c r="P550" s="166"/>
      <c r="Q550" s="166"/>
      <c r="R550" s="157"/>
      <c r="S550" s="170"/>
      <c r="T550" s="547"/>
      <c r="U550" s="171"/>
      <c r="V550" s="100" t="b">
        <f>IF(G550&gt;0,IF(AD550="me","",G550))</f>
        <v>0</v>
      </c>
      <c r="W550" s="100"/>
      <c r="X550" s="100"/>
      <c r="Y550" s="201"/>
      <c r="Z550" s="829" t="str">
        <f t="shared" si="1393"/>
        <v/>
      </c>
      <c r="AA550" s="829"/>
      <c r="AB550" s="830" t="str">
        <f>IF(G550=0,"",IF(AD550="free","re-planting",IF(AD550="me","not NVP, by",IF($AD$8="yes",(VLOOKUP(A550,'Discount Lookup'!J:K,2)*G550*(1-$AC$1786)*(1+$AC$1788)),IF(AD550="NVP",(VLOOKUP(A550,'Discount Lookup'!J:K,2)*G550*(1-$AC$1786)*(1+$AC$1788)),IF(AD550="free","re-planting",IF(G550=0,"",IF($AD$8="",IF(AD550="me","not NVP, by",IF(AD550="",IF(G550&gt;0,(VLOOKUP(A550,'Discount Lookup'!J:K,2)*G550*(1-$AC$1786)*(1+$AC$1788)),""),"")),"not NVP, by"))))))))</f>
        <v/>
      </c>
      <c r="AC550" s="830"/>
      <c r="AD550" s="375" t="str">
        <f t="shared" si="1374"/>
        <v/>
      </c>
      <c r="AE550" s="833" t="str">
        <f t="shared" si="1417"/>
        <v/>
      </c>
      <c r="AF550" s="833"/>
      <c r="AG550" s="833"/>
      <c r="AH550" s="91">
        <f>IF(AD550="free",0,IF(AD550="me",0,IF(G550&gt;0,(VLOOKUP(A550,'Discount Lookup'!J:K,2)*G550),0)))</f>
        <v>0</v>
      </c>
      <c r="AI550" s="92" t="str">
        <f t="shared" si="1334"/>
        <v/>
      </c>
      <c r="AJ550" s="828" t="str">
        <f t="shared" si="1394"/>
        <v/>
      </c>
      <c r="AK550" s="828"/>
      <c r="AL550" s="313" t="str">
        <f t="shared" si="1387"/>
        <v/>
      </c>
      <c r="AM550" s="312"/>
      <c r="AN550" s="101"/>
      <c r="AO550" s="101"/>
      <c r="AP550" s="101"/>
      <c r="AQ550" s="101"/>
      <c r="AR550" s="101"/>
      <c r="AS550" s="101"/>
      <c r="AT550" s="101"/>
    </row>
    <row r="551" spans="1:46" ht="12.95" customHeight="1">
      <c r="A551" s="383">
        <v>7</v>
      </c>
      <c r="B551" s="158" t="s">
        <v>50</v>
      </c>
      <c r="C551" s="172" t="s">
        <v>1472</v>
      </c>
      <c r="D551" s="161" t="s">
        <v>54</v>
      </c>
      <c r="E551" s="162">
        <v>81.95</v>
      </c>
      <c r="F551" s="713" t="s">
        <v>1306</v>
      </c>
      <c r="G551" s="357">
        <v>0</v>
      </c>
      <c r="H551" s="748" t="str">
        <f t="shared" ref="H551" si="1466">IF(G551=0,"",IF(F551="Qty=",IF(G551=1,"plant","plants"),IF(F551&gt;0.0001,"warranty","Error")))</f>
        <v/>
      </c>
      <c r="I551" s="592">
        <f t="shared" ref="I551" si="1467">IF(F551="Qty=",(E551*G551),((E551*(1-F551))*G551))</f>
        <v>0</v>
      </c>
      <c r="J551" s="592">
        <f>IF(H551="warranty",0,(I551*($J$1782)))</f>
        <v>0</v>
      </c>
      <c r="K551" s="834">
        <f t="shared" ref="K551:K552" si="1468">I551+J551</f>
        <v>0</v>
      </c>
      <c r="L551" s="834"/>
      <c r="M551" s="832" t="str">
        <f>IF($H$1784=0,"",IF(G551=0,"",IF(F551="Qty=",CONCATENATE("$",ROUND(K551*(1-$H$1784),2)," with ",($H$1784*100),"% discount"),CONCATENATE("$",ROUND(K551*(1-$H$1784),2)," with ",(($H$1784*100+F551*100)-($H$1784*100*F551)),IF(F551&gt;0,"% discounts",IF($H$1781&gt;0,"% discounts","% discount"))))))</f>
        <v/>
      </c>
      <c r="N551" s="832"/>
      <c r="O551" s="832"/>
      <c r="P551" s="832"/>
      <c r="Q551" s="832"/>
      <c r="R551" s="832"/>
      <c r="S551" s="303">
        <f t="shared" ref="S551" si="1469">E551*G551</f>
        <v>0</v>
      </c>
      <c r="T551" s="541">
        <f>VLOOKUP(A551,'Discount Lookup'!D:E,2,FALSE)*G551</f>
        <v>0</v>
      </c>
      <c r="U551" s="83">
        <f>VLOOKUP(A551,'Discount Lookup'!G:H,2,FALSE)*G551</f>
        <v>0</v>
      </c>
      <c r="V551" s="100">
        <f>E551*($J$1782)*G551</f>
        <v>0</v>
      </c>
      <c r="W551" s="100">
        <f t="shared" ref="W551" si="1470">I551</f>
        <v>0</v>
      </c>
      <c r="X551" s="100" t="b">
        <f>IF(G551&gt;0,IF(AD551="me","",G551))</f>
        <v>0</v>
      </c>
      <c r="Y551" s="201"/>
      <c r="Z551" s="829" t="str">
        <f t="shared" ref="Z551" si="1471">IF(G551=0,"",IF(AD551="me","",IF($AD$8="me","",IF(AD551="free","warranty",IF($AD$8="yes","NVP planting:","to NVP install:")))))</f>
        <v/>
      </c>
      <c r="AA551" s="829"/>
      <c r="AB551" s="830" t="str">
        <f>IF(G551=0,"",IF(AD551="free","re-planting",IF(AD551="me","not NVP, by",IF($AD$8="yes",(VLOOKUP(A551,'Discount Lookup'!J:K,2)*G551*(1-$AC$1786)*(1+$AC$1788)),IF(AD551="NVP",(VLOOKUP(A551,'Discount Lookup'!J:K,2)*G551*(1-$AC$1786)*(1+$AC$1788)),IF(AD551="free","re-planting",IF(G551=0,"",IF($AD$8="",IF(AD551="me","not NVP, by",IF(AD551="",IF(G551&gt;0,(VLOOKUP(A551,'Discount Lookup'!J:K,2)*G551*(1-$AC$1786)*(1+$AC$1788)),""),"")),"not NVP, by"))))))))</f>
        <v/>
      </c>
      <c r="AC551" s="830"/>
      <c r="AD551" s="375" t="str">
        <f t="shared" si="1374"/>
        <v/>
      </c>
      <c r="AE551" s="833" t="str">
        <f t="shared" ref="AE551" si="1472">IF(G551&gt;0,(CONCATENATE((G551)," quantity, ",(A551)," ",B551)),"")</f>
        <v/>
      </c>
      <c r="AF551" s="833"/>
      <c r="AG551" s="833"/>
      <c r="AH551" s="91">
        <f>IF(AD551="free",0,IF(AD551="me",0,IF(G551&gt;0,(VLOOKUP(A551,'Discount Lookup'!J:K,2)*G551),0)))</f>
        <v>0</v>
      </c>
      <c r="AI551" s="92" t="str">
        <f t="shared" si="1334"/>
        <v/>
      </c>
      <c r="AJ551" s="828" t="str">
        <f t="shared" ref="AJ551" si="1473">IF(G551=0,"",IF(AD551="me","  delivery-only",IF($AD$8="me","  delivery-only",CONCATENATE(" $",ROUND(AI551/G551,2)," each"))))</f>
        <v/>
      </c>
      <c r="AK551" s="828"/>
      <c r="AL551" s="313" t="str">
        <f t="shared" si="1387"/>
        <v/>
      </c>
      <c r="AM551" s="312"/>
      <c r="AN551" s="101"/>
      <c r="AO551" s="101"/>
      <c r="AP551" s="101"/>
      <c r="AQ551" s="101"/>
      <c r="AR551" s="101"/>
      <c r="AS551" s="101"/>
      <c r="AT551" s="101"/>
    </row>
    <row r="552" spans="1:46" ht="12.95" customHeight="1">
      <c r="A552" s="383">
        <v>25</v>
      </c>
      <c r="B552" s="158" t="s">
        <v>50</v>
      </c>
      <c r="C552" s="172" t="s">
        <v>1498</v>
      </c>
      <c r="D552" s="161" t="s">
        <v>90</v>
      </c>
      <c r="E552" s="162">
        <v>304.95</v>
      </c>
      <c r="F552" s="713" t="s">
        <v>1306</v>
      </c>
      <c r="G552" s="357">
        <v>0</v>
      </c>
      <c r="H552" s="748" t="str">
        <f t="shared" ref="H552" si="1474">IF(G552=0,"",IF(F552="Qty=",IF(G552=1,"plant","plants"),IF(F552&gt;0.0001,"warranty","Error")))</f>
        <v/>
      </c>
      <c r="I552" s="592">
        <f t="shared" ref="I552" si="1475">IF(F552="Qty=",(E552*G552),((E552*(1-F552))*G552))</f>
        <v>0</v>
      </c>
      <c r="J552" s="592">
        <f>IF(H552="warranty",0,(I552*($J$1782)))</f>
        <v>0</v>
      </c>
      <c r="K552" s="834">
        <f t="shared" si="1468"/>
        <v>0</v>
      </c>
      <c r="L552" s="834"/>
      <c r="M552" s="832" t="str">
        <f>IF($H$1784=0,"",IF(G552=0,"",IF(F552="Qty=",CONCATENATE("$",ROUND(K552*(1-$H$1784),2)," with ",($H$1784*100),"% discount"),CONCATENATE("$",ROUND(K552*(1-$H$1784),2)," with ",(($H$1784*100+F552*100)-($H$1784*100*F552)),IF(F552&gt;0,"% discounts",IF($H$1781&gt;0,"% discounts","% discount"))))))</f>
        <v/>
      </c>
      <c r="N552" s="832"/>
      <c r="O552" s="832"/>
      <c r="P552" s="832"/>
      <c r="Q552" s="832"/>
      <c r="R552" s="832"/>
      <c r="S552" s="303">
        <f t="shared" ref="S552" si="1476">E552*G552</f>
        <v>0</v>
      </c>
      <c r="T552" s="541">
        <f>VLOOKUP(A552,'Discount Lookup'!D:E,2,FALSE)*G552</f>
        <v>0</v>
      </c>
      <c r="U552" s="83">
        <f>VLOOKUP(A552,'Discount Lookup'!G:H,2,FALSE)*G552</f>
        <v>0</v>
      </c>
      <c r="V552" s="100">
        <f>E552*($J$1782)*G552</f>
        <v>0</v>
      </c>
      <c r="W552" s="100">
        <f t="shared" ref="W552" si="1477">I552</f>
        <v>0</v>
      </c>
      <c r="X552" s="100" t="b">
        <f>IF(G552&gt;0,IF(AD552="me","",G552))</f>
        <v>0</v>
      </c>
      <c r="Y552" s="201"/>
      <c r="Z552" s="829" t="str">
        <f t="shared" ref="Z552" si="1478">IF(G552=0,"",IF(AD552="me","",IF($AD$8="me","",IF(AD552="free","warranty",IF($AD$8="yes","NVP planting:","to NVP install:")))))</f>
        <v/>
      </c>
      <c r="AA552" s="829"/>
      <c r="AB552" s="830" t="str">
        <f>IF(G552=0,"",IF(AD552="free","re-planting",IF(AD552="me","not NVP, by",IF($AD$8="yes",(VLOOKUP(A552,'Discount Lookup'!J:K,2)*G552*(1-$AC$1786)*(1+$AC$1788)),IF(AD552="NVP",(VLOOKUP(A552,'Discount Lookup'!J:K,2)*G552*(1-$AC$1786)*(1+$AC$1788)),IF(AD552="free","re-planting",IF(G552=0,"",IF($AD$8="",IF(AD552="me","not NVP, by",IF(AD552="",IF(G552&gt;0,(VLOOKUP(A552,'Discount Lookup'!J:K,2)*G552*(1-$AC$1786)*(1+$AC$1788)),""),"")),"not NVP, by"))))))))</f>
        <v/>
      </c>
      <c r="AC552" s="830"/>
      <c r="AD552" s="375" t="str">
        <f t="shared" ref="AD552" si="1479">IF(G552=0,"",IF($AD$8="me","me",IF(H552="warranty","free",IF($AD$8="yes","NVP",""))))</f>
        <v/>
      </c>
      <c r="AE552" s="833" t="str">
        <f t="shared" ref="AE552" si="1480">IF(G552&gt;0,(CONCATENATE((G552)," quantity, ",(A552)," ",B552)),"")</f>
        <v/>
      </c>
      <c r="AF552" s="833"/>
      <c r="AG552" s="833"/>
      <c r="AH552" s="91">
        <f>IF(AD552="free",0,IF(AD552="me",0,IF(G552&gt;0,(VLOOKUP(A552,'Discount Lookup'!J:K,2)*G552),0)))</f>
        <v>0</v>
      </c>
      <c r="AI552" s="92" t="str">
        <f t="shared" si="1334"/>
        <v/>
      </c>
      <c r="AJ552" s="828" t="str">
        <f t="shared" ref="AJ552" si="1481">IF(G552=0,"",IF(AD552="me","  delivery-only",IF($AD$8="me","  delivery-only",CONCATENATE(" $",ROUND(AI552/G552,2)," each"))))</f>
        <v/>
      </c>
      <c r="AK552" s="828"/>
      <c r="AL552" s="313" t="str">
        <f t="shared" si="1387"/>
        <v/>
      </c>
      <c r="AM552" s="312"/>
      <c r="AN552" s="101"/>
      <c r="AO552" s="101"/>
      <c r="AP552" s="101"/>
      <c r="AQ552" s="101"/>
      <c r="AR552" s="101"/>
      <c r="AS552" s="101"/>
      <c r="AT552" s="101"/>
    </row>
    <row r="553" spans="1:46" ht="12.95" customHeight="1">
      <c r="A553" s="475"/>
      <c r="B553" s="173" t="s">
        <v>377</v>
      </c>
      <c r="G553" s="361"/>
      <c r="H553" s="749"/>
      <c r="M553" s="121"/>
      <c r="N553" s="121"/>
      <c r="O553" s="123">
        <f>VLOOKUP(A553,'Discount Lookup'!D:E,2,FALSE)*G553</f>
        <v>0</v>
      </c>
      <c r="P553" s="124">
        <f>VLOOKUP(A553,'Discount Lookup'!G:H,2,FALSE)*G553</f>
        <v>0</v>
      </c>
      <c r="Q553" s="124"/>
      <c r="R553" s="83">
        <f>IF(F553=0,E553*($J$1782)*G553,0)</f>
        <v>0</v>
      </c>
      <c r="S553" s="82">
        <f t="shared" ref="S553" si="1482">E553*G553</f>
        <v>0</v>
      </c>
      <c r="T553" s="540"/>
      <c r="U553" s="83"/>
      <c r="V553" s="100" t="b">
        <f>IF(G553&gt;0,IF(AD553="me","",G553))</f>
        <v>0</v>
      </c>
      <c r="W553" s="100"/>
      <c r="X553" s="100"/>
      <c r="Y553" s="201"/>
      <c r="Z553" s="829" t="str">
        <f t="shared" si="1393"/>
        <v/>
      </c>
      <c r="AA553" s="829"/>
      <c r="AB553" s="830" t="str">
        <f>IF(G553=0,"",IF(AD553="free","re-planting",IF(AD553="me","not NVP, by",IF($AD$8="yes",(VLOOKUP(A553,'Discount Lookup'!J:K,2)*G553*(1-$AC$1786)*(1+$AC$1788)),IF(AD553="NVP",(VLOOKUP(A553,'Discount Lookup'!J:K,2)*G553*(1-$AC$1786)*(1+$AC$1788)),IF(AD553="free","re-planting",IF(G553=0,"",IF($AD$8="",IF(AD553="me","not NVP, by",IF(AD553="",IF(G553&gt;0,(VLOOKUP(A553,'Discount Lookup'!J:K,2)*G553*(1-$AC$1786)*(1+$AC$1788)),""),"")),"not NVP, by"))))))))</f>
        <v/>
      </c>
      <c r="AC553" s="830"/>
      <c r="AD553" s="375" t="str">
        <f t="shared" si="1374"/>
        <v/>
      </c>
      <c r="AE553" s="833" t="str">
        <f t="shared" si="1417"/>
        <v/>
      </c>
      <c r="AF553" s="833"/>
      <c r="AG553" s="833"/>
      <c r="AH553" s="91">
        <f>IF(AD553="free",0,IF(AD553="me",0,IF(G553&gt;0,(VLOOKUP(A553,'Discount Lookup'!J:K,2)*G553),0)))</f>
        <v>0</v>
      </c>
      <c r="AI553" s="92" t="str">
        <f t="shared" si="1334"/>
        <v/>
      </c>
      <c r="AJ553" s="828" t="str">
        <f t="shared" si="1394"/>
        <v/>
      </c>
      <c r="AK553" s="828"/>
      <c r="AL553" s="313" t="str">
        <f t="shared" si="1387"/>
        <v/>
      </c>
      <c r="AM553" s="312"/>
      <c r="AN553" s="101"/>
      <c r="AO553" s="101"/>
      <c r="AP553" s="101"/>
      <c r="AQ553" s="101"/>
      <c r="AR553" s="101"/>
      <c r="AS553" s="101"/>
      <c r="AT553" s="101"/>
    </row>
    <row r="554" spans="1:46" ht="12.95" customHeight="1">
      <c r="A554" s="894" t="s">
        <v>1241</v>
      </c>
      <c r="B554" s="895"/>
      <c r="C554" s="895"/>
      <c r="D554" s="895"/>
      <c r="E554" s="895"/>
      <c r="F554" s="895"/>
      <c r="G554" s="895"/>
      <c r="H554" s="774" t="s">
        <v>159</v>
      </c>
      <c r="I554" s="164" t="s">
        <v>79</v>
      </c>
      <c r="J554" s="157"/>
      <c r="K554" s="611" t="s">
        <v>45</v>
      </c>
      <c r="L554" s="630" t="s">
        <v>46</v>
      </c>
      <c r="M554" s="157"/>
      <c r="N554" s="158" t="s">
        <v>69</v>
      </c>
      <c r="O554" s="165"/>
      <c r="P554" s="166"/>
      <c r="Q554" s="166"/>
      <c r="R554" s="157"/>
      <c r="S554" s="170"/>
      <c r="T554" s="547"/>
      <c r="U554" s="171"/>
      <c r="V554" s="100" t="b">
        <f>IF(G554&gt;0,IF(AD554="me","",G554))</f>
        <v>0</v>
      </c>
      <c r="W554" s="100"/>
      <c r="X554" s="100"/>
      <c r="Y554" s="201"/>
      <c r="Z554" s="829" t="str">
        <f t="shared" si="1393"/>
        <v/>
      </c>
      <c r="AA554" s="829"/>
      <c r="AB554" s="830" t="str">
        <f>IF(G554=0,"",IF(AD554="free","re-planting",IF(AD554="me","not NVP, by",IF($AD$8="yes",(VLOOKUP(A554,'Discount Lookup'!J:K,2)*G554*(1-$AC$1786)*(1+$AC$1788)),IF(AD554="NVP",(VLOOKUP(A554,'Discount Lookup'!J:K,2)*G554*(1-$AC$1786)*(1+$AC$1788)),IF(AD554="free","re-planting",IF(G554=0,"",IF($AD$8="",IF(AD554="me","not NVP, by",IF(AD554="",IF(G554&gt;0,(VLOOKUP(A554,'Discount Lookup'!J:K,2)*G554*(1-$AC$1786)*(1+$AC$1788)),""),"")),"not NVP, by"))))))))</f>
        <v/>
      </c>
      <c r="AC554" s="830"/>
      <c r="AD554" s="375" t="str">
        <f t="shared" si="1374"/>
        <v/>
      </c>
      <c r="AE554" s="833" t="str">
        <f t="shared" si="1417"/>
        <v/>
      </c>
      <c r="AF554" s="833"/>
      <c r="AG554" s="833"/>
      <c r="AH554" s="91">
        <f>IF(AD554="free",0,IF(AD554="me",0,IF(G554&gt;0,(VLOOKUP(A554,'Discount Lookup'!J:K,2)*G554),0)))</f>
        <v>0</v>
      </c>
      <c r="AI554" s="92" t="str">
        <f t="shared" si="1334"/>
        <v/>
      </c>
      <c r="AJ554" s="828" t="str">
        <f t="shared" si="1394"/>
        <v/>
      </c>
      <c r="AK554" s="828"/>
      <c r="AL554" s="313" t="str">
        <f t="shared" si="1387"/>
        <v/>
      </c>
      <c r="AM554" s="312"/>
      <c r="AN554" s="101"/>
      <c r="AO554" s="101"/>
      <c r="AP554" s="101"/>
      <c r="AQ554" s="101"/>
      <c r="AR554" s="101"/>
      <c r="AS554" s="101"/>
      <c r="AT554" s="101"/>
    </row>
    <row r="555" spans="1:46" ht="12.95" customHeight="1">
      <c r="A555" s="383">
        <v>7</v>
      </c>
      <c r="B555" s="158" t="s">
        <v>50</v>
      </c>
      <c r="C555" s="160" t="s">
        <v>64</v>
      </c>
      <c r="D555" s="161" t="s">
        <v>54</v>
      </c>
      <c r="E555" s="162">
        <v>100.95</v>
      </c>
      <c r="F555" s="713" t="s">
        <v>1306</v>
      </c>
      <c r="G555" s="357">
        <v>0</v>
      </c>
      <c r="H555" s="748" t="str">
        <f t="shared" ref="H555" si="1483">IF(G555=0,"",IF(F555="Qty=",IF(G555=1,"plant","plants"),IF(F555&gt;0.0001,"warranty","Error")))</f>
        <v/>
      </c>
      <c r="I555" s="592">
        <f t="shared" ref="I555" si="1484">IF(F555="Qty=",(E555*G555),((E555*(1-F555))*G555))</f>
        <v>0</v>
      </c>
      <c r="J555" s="592">
        <f>IF(H555="warranty",0,(I555*($J$1782)))</f>
        <v>0</v>
      </c>
      <c r="K555" s="834">
        <f t="shared" ref="K555" si="1485">I555+J555</f>
        <v>0</v>
      </c>
      <c r="L555" s="834"/>
      <c r="M555" s="832" t="str">
        <f>IF($H$1784=0,"",IF(G555=0,"",IF(F555="Qty=",CONCATENATE("$",ROUND(K555*(1-$H$1784),2)," with ",($H$1784*100),"% discount"),CONCATENATE("$",ROUND(K555*(1-$H$1784),2)," with ",(($H$1784*100+F555*100)-($H$1784*100*F555)),IF(F555&gt;0,"% discounts",IF($H$1781&gt;0,"% discounts","% discount"))))))</f>
        <v/>
      </c>
      <c r="N555" s="832"/>
      <c r="O555" s="832"/>
      <c r="P555" s="832"/>
      <c r="Q555" s="832"/>
      <c r="R555" s="832"/>
      <c r="S555" s="303">
        <f t="shared" ref="S555" si="1486">E555*G555</f>
        <v>0</v>
      </c>
      <c r="T555" s="541">
        <f>VLOOKUP(A555,'Discount Lookup'!D:E,2,FALSE)*G555</f>
        <v>0</v>
      </c>
      <c r="U555" s="83">
        <f>VLOOKUP(A555,'Discount Lookup'!G:H,2,FALSE)*G555</f>
        <v>0</v>
      </c>
      <c r="V555" s="100">
        <f>E555*($J$1782)*G555</f>
        <v>0</v>
      </c>
      <c r="W555" s="100">
        <f t="shared" ref="W555" si="1487">I555</f>
        <v>0</v>
      </c>
      <c r="X555" s="100" t="b">
        <f>IF(G555&gt;0,IF(AD555="me","",G555))</f>
        <v>0</v>
      </c>
      <c r="Y555" s="201"/>
      <c r="Z555" s="829" t="str">
        <f t="shared" ref="Z555" si="1488">IF(G555=0,"",IF(AD555="me","",IF($AD$8="me","",IF(AD555="free","warranty",IF($AD$8="yes","NVP planting:","to NVP install:")))))</f>
        <v/>
      </c>
      <c r="AA555" s="829"/>
      <c r="AB555" s="830" t="str">
        <f>IF(G555=0,"",IF(AD555="free","re-planting",IF(AD555="me","not NVP, by",IF($AD$8="yes",(VLOOKUP(A555,'Discount Lookup'!J:K,2)*G555*(1-$AC$1786)*(1+$AC$1788)),IF(AD555="NVP",(VLOOKUP(A555,'Discount Lookup'!J:K,2)*G555*(1-$AC$1786)*(1+$AC$1788)),IF(AD555="free","re-planting",IF(G555=0,"",IF($AD$8="",IF(AD555="me","not NVP, by",IF(AD555="",IF(G555&gt;0,(VLOOKUP(A555,'Discount Lookup'!J:K,2)*G555*(1-$AC$1786)*(1+$AC$1788)),""),"")),"not NVP, by"))))))))</f>
        <v/>
      </c>
      <c r="AC555" s="830"/>
      <c r="AD555" s="375" t="str">
        <f t="shared" ref="AD555" si="1489">IF(G555=0,"",IF($AD$8="me","me",IF(H555="warranty","free",IF($AD$8="yes","NVP",""))))</f>
        <v/>
      </c>
      <c r="AE555" s="833" t="str">
        <f t="shared" ref="AE555" si="1490">IF(G555&gt;0,(CONCATENATE((G555)," quantity, ",(A555)," ",B555)),"")</f>
        <v/>
      </c>
      <c r="AF555" s="833"/>
      <c r="AG555" s="833"/>
      <c r="AH555" s="91">
        <f>IF(AD555="free",0,IF(AD555="me",0,IF(G555&gt;0,(VLOOKUP(A555,'Discount Lookup'!J:K,2)*G555),0)))</f>
        <v>0</v>
      </c>
      <c r="AI555" s="92" t="str">
        <f t="shared" si="1334"/>
        <v/>
      </c>
      <c r="AJ555" s="828" t="str">
        <f t="shared" ref="AJ555" si="1491">IF(G555=0,"",IF(AD555="me","  delivery-only",IF($AD$8="me","  delivery-only",CONCATENATE(" $",ROUND(AI555/G555,2)," each"))))</f>
        <v/>
      </c>
      <c r="AK555" s="828"/>
      <c r="AL555" s="313" t="str">
        <f t="shared" si="1387"/>
        <v/>
      </c>
      <c r="AM555" s="312"/>
      <c r="AN555" s="101"/>
      <c r="AO555" s="101"/>
      <c r="AP555" s="101"/>
      <c r="AQ555" s="101"/>
      <c r="AR555" s="101"/>
      <c r="AS555" s="101"/>
      <c r="AT555" s="101"/>
    </row>
    <row r="556" spans="1:46" ht="12.95" customHeight="1">
      <c r="A556" s="383">
        <v>10</v>
      </c>
      <c r="B556" s="158" t="s">
        <v>50</v>
      </c>
      <c r="C556" s="160" t="s">
        <v>70</v>
      </c>
      <c r="D556" s="161" t="s">
        <v>94</v>
      </c>
      <c r="E556" s="162">
        <v>119.95</v>
      </c>
      <c r="F556" s="713" t="s">
        <v>1306</v>
      </c>
      <c r="G556" s="357">
        <v>0</v>
      </c>
      <c r="H556" s="748" t="str">
        <f t="shared" ref="H556" si="1492">IF(G556=0,"",IF(F556="Qty=",IF(G556=1,"plant","plants"),IF(F556&gt;0.0001,"warranty","Error")))</f>
        <v/>
      </c>
      <c r="I556" s="592">
        <f t="shared" ref="I556" si="1493">IF(F556="Qty=",(E556*G556),((E556*(1-F556))*G556))</f>
        <v>0</v>
      </c>
      <c r="J556" s="592">
        <f>IF(H556="warranty",0,(I556*($J$1782)))</f>
        <v>0</v>
      </c>
      <c r="K556" s="834">
        <f t="shared" ref="K556" si="1494">I556+J556</f>
        <v>0</v>
      </c>
      <c r="L556" s="834"/>
      <c r="M556" s="832" t="str">
        <f>IF($H$1784=0,"",IF(G556=0,"",IF(F556="Qty=",CONCATENATE("$",ROUND(K556*(1-$H$1784),2)," with ",($H$1784*100),"% discount"),CONCATENATE("$",ROUND(K556*(1-$H$1784),2)," with ",(($H$1784*100+F556*100)-($H$1784*100*F556)),IF(F556&gt;0,"% discounts",IF($H$1781&gt;0,"% discounts","% discount"))))))</f>
        <v/>
      </c>
      <c r="N556" s="832"/>
      <c r="O556" s="832"/>
      <c r="P556" s="832"/>
      <c r="Q556" s="832"/>
      <c r="R556" s="832"/>
      <c r="S556" s="303">
        <f t="shared" ref="S556" si="1495">E556*G556</f>
        <v>0</v>
      </c>
      <c r="T556" s="541">
        <f>VLOOKUP(A556,'Discount Lookup'!D:E,2,FALSE)*G556</f>
        <v>0</v>
      </c>
      <c r="U556" s="83">
        <f>VLOOKUP(A556,'Discount Lookup'!G:H,2,FALSE)*G556</f>
        <v>0</v>
      </c>
      <c r="V556" s="100">
        <f>E556*($J$1782)*G556</f>
        <v>0</v>
      </c>
      <c r="W556" s="100">
        <f t="shared" ref="W556" si="1496">I556</f>
        <v>0</v>
      </c>
      <c r="X556" s="100" t="b">
        <f>IF(G556&gt;0,IF(AD556="me","",G556))</f>
        <v>0</v>
      </c>
      <c r="Y556" s="201"/>
      <c r="Z556" s="829" t="str">
        <f t="shared" si="1393"/>
        <v/>
      </c>
      <c r="AA556" s="829"/>
      <c r="AB556" s="830" t="str">
        <f>IF(G556=0,"",IF(AD556="free","re-planting",IF(AD556="me","not NVP, by",IF($AD$8="yes",(VLOOKUP(A556,'Discount Lookup'!J:K,2)*G556*(1-$AC$1786)*(1+$AC$1788)),IF(AD556="NVP",(VLOOKUP(A556,'Discount Lookup'!J:K,2)*G556*(1-$AC$1786)*(1+$AC$1788)),IF(AD556="free","re-planting",IF(G556=0,"",IF($AD$8="",IF(AD556="me","not NVP, by",IF(AD556="",IF(G556&gt;0,(VLOOKUP(A556,'Discount Lookup'!J:K,2)*G556*(1-$AC$1786)*(1+$AC$1788)),""),"")),"not NVP, by"))))))))</f>
        <v/>
      </c>
      <c r="AC556" s="830"/>
      <c r="AD556" s="375" t="str">
        <f t="shared" si="1374"/>
        <v/>
      </c>
      <c r="AE556" s="833" t="str">
        <f t="shared" si="1417"/>
        <v/>
      </c>
      <c r="AF556" s="833"/>
      <c r="AG556" s="833"/>
      <c r="AH556" s="91">
        <f>IF(AD556="free",0,IF(AD556="me",0,IF(G556&gt;0,(VLOOKUP(A556,'Discount Lookup'!J:K,2)*G556),0)))</f>
        <v>0</v>
      </c>
      <c r="AI556" s="92" t="str">
        <f t="shared" si="1334"/>
        <v/>
      </c>
      <c r="AJ556" s="828" t="str">
        <f t="shared" si="1394"/>
        <v/>
      </c>
      <c r="AK556" s="828"/>
      <c r="AL556" s="313" t="str">
        <f t="shared" si="1387"/>
        <v/>
      </c>
      <c r="AM556" s="312"/>
      <c r="AN556" s="101"/>
      <c r="AO556" s="101"/>
      <c r="AP556" s="101"/>
      <c r="AQ556" s="101"/>
      <c r="AR556" s="101"/>
      <c r="AS556" s="101"/>
      <c r="AT556" s="101"/>
    </row>
    <row r="557" spans="1:46" ht="12.95" customHeight="1">
      <c r="A557" s="472"/>
      <c r="B557" s="173" t="s">
        <v>378</v>
      </c>
      <c r="C557" s="118"/>
      <c r="D557" s="118"/>
      <c r="E557" s="119"/>
      <c r="F557" s="711"/>
      <c r="G557" s="358"/>
      <c r="H557" s="745"/>
      <c r="I557" s="119"/>
      <c r="J557" s="119"/>
      <c r="K557" s="609"/>
      <c r="L557" s="609"/>
      <c r="M557" s="121"/>
      <c r="N557" s="122" t="s">
        <v>176</v>
      </c>
      <c r="O557" s="123"/>
      <c r="P557" s="124"/>
      <c r="Q557" s="124"/>
      <c r="R557" s="83"/>
      <c r="S557" s="82">
        <f>E557*G557</f>
        <v>0</v>
      </c>
      <c r="T557" s="540"/>
      <c r="U557" s="83"/>
      <c r="V557" s="100" t="b">
        <f>IF(G557&gt;0,IF(AD557="me","",G557))</f>
        <v>0</v>
      </c>
      <c r="W557" s="100"/>
      <c r="X557" s="100"/>
      <c r="Y557" s="201"/>
      <c r="Z557" s="829" t="str">
        <f t="shared" si="1393"/>
        <v/>
      </c>
      <c r="AA557" s="829"/>
      <c r="AB557" s="830" t="str">
        <f>IF(G557=0,"",IF(AD557="free","re-planting",IF(AD557="me","not NVP, by",IF($AD$8="yes",(VLOOKUP(A557,'Discount Lookup'!J:K,2)*G557*(1-$AC$1786)*(1+$AC$1788)),IF(AD557="NVP",(VLOOKUP(A557,'Discount Lookup'!J:K,2)*G557*(1-$AC$1786)*(1+$AC$1788)),IF(AD557="free","re-planting",IF(G557=0,"",IF($AD$8="",IF(AD557="me","not NVP, by",IF(AD557="",IF(G557&gt;0,(VLOOKUP(A557,'Discount Lookup'!J:K,2)*G557*(1-$AC$1786)*(1+$AC$1788)),""),"")),"not NVP, by"))))))))</f>
        <v/>
      </c>
      <c r="AC557" s="830"/>
      <c r="AD557" s="375" t="str">
        <f t="shared" si="1374"/>
        <v/>
      </c>
      <c r="AE557" s="833" t="str">
        <f t="shared" si="1417"/>
        <v/>
      </c>
      <c r="AF557" s="833"/>
      <c r="AG557" s="833"/>
      <c r="AH557" s="91">
        <f>IF(AD557="free",0,IF(AD557="me",0,IF(G557&gt;0,(VLOOKUP(A557,'Discount Lookup'!J:K,2)*G557),0)))</f>
        <v>0</v>
      </c>
      <c r="AI557" s="92" t="str">
        <f t="shared" si="1334"/>
        <v/>
      </c>
      <c r="AJ557" s="828" t="str">
        <f t="shared" si="1394"/>
        <v/>
      </c>
      <c r="AK557" s="828"/>
      <c r="AL557" s="313" t="str">
        <f t="shared" si="1387"/>
        <v/>
      </c>
      <c r="AM557" s="312"/>
      <c r="AN557" s="101"/>
      <c r="AO557" s="101"/>
      <c r="AP557" s="101"/>
      <c r="AQ557" s="101"/>
      <c r="AR557" s="101"/>
      <c r="AS557" s="101"/>
      <c r="AT557" s="101"/>
    </row>
    <row r="558" spans="1:46" ht="12.95" customHeight="1">
      <c r="A558" s="903" t="s">
        <v>379</v>
      </c>
      <c r="B558" s="890"/>
      <c r="C558" s="890"/>
      <c r="D558" s="890"/>
      <c r="E558" s="890"/>
      <c r="F558" s="890"/>
      <c r="G558" s="890"/>
      <c r="H558" s="774" t="s">
        <v>159</v>
      </c>
      <c r="I558" s="349" t="s">
        <v>280</v>
      </c>
      <c r="J558" s="157"/>
      <c r="K558" s="611" t="s">
        <v>45</v>
      </c>
      <c r="L558" s="630" t="s">
        <v>46</v>
      </c>
      <c r="M558" s="157"/>
      <c r="N558" s="158" t="s">
        <v>69</v>
      </c>
      <c r="O558" s="158"/>
      <c r="P558" s="164"/>
      <c r="Q558" s="164"/>
      <c r="R558" s="157"/>
      <c r="S558" s="170"/>
      <c r="T558" s="547"/>
      <c r="U558" s="171"/>
      <c r="V558" s="100" t="b">
        <f>IF(G558&gt;0,IF(AD558="me","",G558))</f>
        <v>0</v>
      </c>
      <c r="W558" s="100"/>
      <c r="X558" s="100"/>
      <c r="Y558" s="201"/>
      <c r="Z558" s="829" t="str">
        <f t="shared" si="1393"/>
        <v/>
      </c>
      <c r="AA558" s="829"/>
      <c r="AB558" s="830" t="str">
        <f>IF(G558=0,"",IF(AD558="free","re-planting",IF(AD558="me","not NVP, by",IF($AD$8="yes",(VLOOKUP(A558,'Discount Lookup'!J:K,2)*G558*(1-$AC$1786)*(1+$AC$1788)),IF(AD558="NVP",(VLOOKUP(A558,'Discount Lookup'!J:K,2)*G558*(1-$AC$1786)*(1+$AC$1788)),IF(AD558="free","re-planting",IF(G558=0,"",IF($AD$8="",IF(AD558="me","not NVP, by",IF(AD558="",IF(G558&gt;0,(VLOOKUP(A558,'Discount Lookup'!J:K,2)*G558*(1-$AC$1786)*(1+$AC$1788)),""),"")),"not NVP, by"))))))))</f>
        <v/>
      </c>
      <c r="AC558" s="830"/>
      <c r="AD558" s="375" t="str">
        <f t="shared" si="1374"/>
        <v/>
      </c>
      <c r="AE558" s="833" t="str">
        <f t="shared" si="1417"/>
        <v/>
      </c>
      <c r="AF558" s="833"/>
      <c r="AG558" s="833"/>
      <c r="AH558" s="91">
        <f>IF(AD558="free",0,IF(AD558="me",0,IF(G558&gt;0,(VLOOKUP(A558,'Discount Lookup'!J:K,2)*G558),0)))</f>
        <v>0</v>
      </c>
      <c r="AI558" s="92" t="str">
        <f t="shared" si="1334"/>
        <v/>
      </c>
      <c r="AJ558" s="828" t="str">
        <f t="shared" si="1394"/>
        <v/>
      </c>
      <c r="AK558" s="828"/>
      <c r="AL558" s="313" t="str">
        <f t="shared" si="1387"/>
        <v/>
      </c>
      <c r="AM558" s="312"/>
      <c r="AN558" s="101"/>
      <c r="AO558" s="101"/>
      <c r="AP558" s="101"/>
      <c r="AQ558" s="101"/>
      <c r="AR558" s="101"/>
      <c r="AS558" s="101"/>
      <c r="AT558" s="101"/>
    </row>
    <row r="559" spans="1:46" ht="12.95" customHeight="1">
      <c r="A559" s="383">
        <v>25</v>
      </c>
      <c r="B559" s="158" t="s">
        <v>50</v>
      </c>
      <c r="C559" s="172" t="s">
        <v>1621</v>
      </c>
      <c r="D559" s="161" t="s">
        <v>90</v>
      </c>
      <c r="E559" s="162">
        <v>304.95</v>
      </c>
      <c r="F559" s="713" t="s">
        <v>1306</v>
      </c>
      <c r="G559" s="357">
        <v>0</v>
      </c>
      <c r="H559" s="748" t="str">
        <f t="shared" ref="H559" si="1497">IF(G559=0,"",IF(F559="Qty=",IF(G559=1,"plant","plants"),IF(F559&gt;0.0001,"warranty","Error")))</f>
        <v/>
      </c>
      <c r="I559" s="592">
        <f t="shared" ref="I559" si="1498">IF(F559="Qty=",(E559*G559),((E559*(1-F559))*G559))</f>
        <v>0</v>
      </c>
      <c r="J559" s="592">
        <f>IF(H559="warranty",0,(I559*($J$1782)))</f>
        <v>0</v>
      </c>
      <c r="K559" s="834">
        <f t="shared" ref="K559" si="1499">I559+J559</f>
        <v>0</v>
      </c>
      <c r="L559" s="834"/>
      <c r="M559" s="832" t="str">
        <f>IF($H$1784=0,"",IF(G559=0,"",IF(F559="Qty=",CONCATENATE("$",ROUND(K559*(1-$H$1784),2)," with ",($H$1784*100),"% discount"),CONCATENATE("$",ROUND(K559*(1-$H$1784),2)," with ",(($H$1784*100+F559*100)-($H$1784*100*F559)),IF(F559&gt;0,"% discounts",IF($H$1781&gt;0,"% discounts","% discount"))))))</f>
        <v/>
      </c>
      <c r="N559" s="832"/>
      <c r="O559" s="832"/>
      <c r="P559" s="832"/>
      <c r="Q559" s="832"/>
      <c r="R559" s="832"/>
      <c r="S559" s="303">
        <f t="shared" ref="S559" si="1500">E559*G559</f>
        <v>0</v>
      </c>
      <c r="T559" s="541">
        <f>VLOOKUP(A559,'Discount Lookup'!D:E,2,FALSE)*G559</f>
        <v>0</v>
      </c>
      <c r="U559" s="83">
        <f>VLOOKUP(A559,'Discount Lookup'!G:H,2,FALSE)*G559</f>
        <v>0</v>
      </c>
      <c r="V559" s="100">
        <f>E559*($J$1782)*G559</f>
        <v>0</v>
      </c>
      <c r="W559" s="100">
        <f t="shared" ref="W559" si="1501">I559</f>
        <v>0</v>
      </c>
      <c r="X559" s="100" t="b">
        <f>IF(G559&gt;0,IF(AD559="me","",G559))</f>
        <v>0</v>
      </c>
      <c r="Y559" s="201"/>
      <c r="Z559" s="829" t="str">
        <f t="shared" si="1393"/>
        <v/>
      </c>
      <c r="AA559" s="829"/>
      <c r="AB559" s="830" t="str">
        <f>IF(G559=0,"",IF(AD559="free","re-planting",IF(AD559="me","not NVP, by",IF($AD$8="yes",(VLOOKUP(A559,'Discount Lookup'!J:K,2)*G559*(1-$AC$1786)*(1+$AC$1788)),IF(AD559="NVP",(VLOOKUP(A559,'Discount Lookup'!J:K,2)*G559*(1-$AC$1786)*(1+$AC$1788)),IF(AD559="free","re-planting",IF(G559=0,"",IF($AD$8="",IF(AD559="me","not NVP, by",IF(AD559="",IF(G559&gt;0,(VLOOKUP(A559,'Discount Lookup'!J:K,2)*G559*(1-$AC$1786)*(1+$AC$1788)),""),"")),"not NVP, by"))))))))</f>
        <v/>
      </c>
      <c r="AC559" s="830"/>
      <c r="AD559" s="375" t="str">
        <f t="shared" si="1374"/>
        <v/>
      </c>
      <c r="AE559" s="833" t="str">
        <f t="shared" si="1417"/>
        <v/>
      </c>
      <c r="AF559" s="833"/>
      <c r="AG559" s="833"/>
      <c r="AH559" s="91">
        <f>IF(AD559="free",0,IF(AD559="me",0,IF(G559&gt;0,(VLOOKUP(A559,'Discount Lookup'!J:K,2)*G559),0)))</f>
        <v>0</v>
      </c>
      <c r="AI559" s="92" t="str">
        <f t="shared" si="1334"/>
        <v/>
      </c>
      <c r="AJ559" s="828" t="str">
        <f t="shared" si="1394"/>
        <v/>
      </c>
      <c r="AK559" s="828"/>
      <c r="AL559" s="313" t="str">
        <f t="shared" si="1387"/>
        <v/>
      </c>
      <c r="AM559" s="312"/>
      <c r="AN559" s="101"/>
      <c r="AO559" s="101"/>
      <c r="AP559" s="101"/>
      <c r="AQ559" s="101"/>
      <c r="AR559" s="101"/>
      <c r="AS559" s="101"/>
      <c r="AT559" s="101"/>
    </row>
    <row r="560" spans="1:46" ht="12.95" customHeight="1">
      <c r="A560" s="476"/>
      <c r="B560" s="173" t="s">
        <v>380</v>
      </c>
      <c r="C560" s="118"/>
      <c r="D560" s="118"/>
      <c r="E560" s="119"/>
      <c r="F560" s="711"/>
      <c r="G560" s="358"/>
      <c r="H560" s="745"/>
      <c r="I560" s="119"/>
      <c r="J560" s="183" t="s">
        <v>381</v>
      </c>
      <c r="K560" s="846" t="s">
        <v>382</v>
      </c>
      <c r="L560" s="846"/>
      <c r="M560" s="48"/>
      <c r="N560" s="48"/>
      <c r="O560" s="123"/>
      <c r="P560" s="124"/>
      <c r="Q560" s="124"/>
      <c r="R560" s="83"/>
      <c r="S560" s="82"/>
      <c r="T560" s="540"/>
      <c r="U560" s="83"/>
      <c r="V560" s="100"/>
      <c r="W560" s="100"/>
      <c r="X560" s="100"/>
      <c r="Y560" s="201"/>
      <c r="Z560" s="829" t="str">
        <f t="shared" si="1393"/>
        <v/>
      </c>
      <c r="AA560" s="829"/>
      <c r="AB560" s="830" t="str">
        <f>IF(G560=0,"",IF(AD560="free","re-planting",IF(AD560="me","not NVP, by",IF($AD$8="yes",(VLOOKUP(A560,'Discount Lookup'!J:K,2)*G560*(1-$AC$1786)*(1+$AC$1788)),IF(AD560="NVP",(VLOOKUP(A560,'Discount Lookup'!J:K,2)*G560*(1-$AC$1786)*(1+$AC$1788)),IF(AD560="free","re-planting",IF(G560=0,"",IF($AD$8="",IF(AD560="me","not NVP, by",IF(AD560="",IF(G560&gt;0,(VLOOKUP(A560,'Discount Lookup'!J:K,2)*G560*(1-$AC$1786)*(1+$AC$1788)),""),"")),"not NVP, by"))))))))</f>
        <v/>
      </c>
      <c r="AC560" s="830"/>
      <c r="AD560" s="375" t="str">
        <f t="shared" si="1374"/>
        <v/>
      </c>
      <c r="AE560" s="833" t="str">
        <f t="shared" si="1417"/>
        <v/>
      </c>
      <c r="AF560" s="833"/>
      <c r="AG560" s="833"/>
      <c r="AH560" s="91">
        <f>IF(AD560="free",0,IF(AD560="me",0,IF(G560&gt;0,(VLOOKUP(A560,'Discount Lookup'!J:K,2)*G560),0)))</f>
        <v>0</v>
      </c>
      <c r="AI560" s="92" t="str">
        <f t="shared" si="1334"/>
        <v/>
      </c>
      <c r="AJ560" s="828" t="str">
        <f t="shared" si="1394"/>
        <v/>
      </c>
      <c r="AK560" s="828"/>
      <c r="AL560" s="313" t="str">
        <f t="shared" si="1387"/>
        <v/>
      </c>
      <c r="AM560" s="312"/>
      <c r="AN560" s="101"/>
      <c r="AO560" s="101"/>
      <c r="AP560" s="101"/>
      <c r="AQ560" s="101"/>
      <c r="AR560" s="101"/>
      <c r="AS560" s="101"/>
      <c r="AT560" s="101"/>
    </row>
    <row r="561" spans="1:46" ht="12.95" customHeight="1">
      <c r="A561" s="889" t="s">
        <v>1016</v>
      </c>
      <c r="B561" s="890"/>
      <c r="C561" s="890"/>
      <c r="D561" s="890"/>
      <c r="E561" s="890"/>
      <c r="F561" s="890"/>
      <c r="G561" s="890"/>
      <c r="H561" s="774" t="s">
        <v>164</v>
      </c>
      <c r="I561" s="349" t="s">
        <v>280</v>
      </c>
      <c r="J561" s="157"/>
      <c r="K561" s="611" t="s">
        <v>45</v>
      </c>
      <c r="L561" s="630" t="s">
        <v>46</v>
      </c>
      <c r="M561" s="157"/>
      <c r="N561" s="158" t="s">
        <v>69</v>
      </c>
      <c r="O561" s="158"/>
      <c r="P561" s="164"/>
      <c r="Q561" s="164"/>
      <c r="R561" s="157"/>
      <c r="S561" s="170"/>
      <c r="T561" s="547"/>
      <c r="U561" s="171"/>
      <c r="V561" s="100" t="b">
        <f>IF(G561&gt;0,IF(AD561="me","",G561))</f>
        <v>0</v>
      </c>
      <c r="W561" s="100"/>
      <c r="X561" s="100"/>
      <c r="Y561" s="201"/>
      <c r="Z561" s="829" t="str">
        <f t="shared" si="1393"/>
        <v/>
      </c>
      <c r="AA561" s="829"/>
      <c r="AB561" s="830" t="str">
        <f>IF(G561=0,"",IF(AD561="free","re-planting",IF(AD561="me","not NVP, by",IF($AD$8="yes",(VLOOKUP(A561,'Discount Lookup'!J:K,2)*G561*(1-$AC$1786)*(1+$AC$1788)),IF(AD561="NVP",(VLOOKUP(A561,'Discount Lookup'!J:K,2)*G561*(1-$AC$1786)*(1+$AC$1788)),IF(AD561="free","re-planting",IF(G561=0,"",IF($AD$8="",IF(AD561="me","not NVP, by",IF(AD561="",IF(G561&gt;0,(VLOOKUP(A561,'Discount Lookup'!J:K,2)*G561*(1-$AC$1786)*(1+$AC$1788)),""),"")),"not NVP, by"))))))))</f>
        <v/>
      </c>
      <c r="AC561" s="830"/>
      <c r="AD561" s="375" t="str">
        <f t="shared" si="1374"/>
        <v/>
      </c>
      <c r="AE561" s="833" t="str">
        <f>IF(G561&gt;0,(CONCATENATE((G561)," quantity, ",(A561)," ",B561)),"")</f>
        <v/>
      </c>
      <c r="AF561" s="833"/>
      <c r="AG561" s="833"/>
      <c r="AH561" s="91" t="str">
        <f>IF(AD561="free",0,IF(AD561="me","",IF(G561&gt;0,(VLOOKUP(A561,'Discount Lookup'!J:K,2)*G561),"")))</f>
        <v/>
      </c>
      <c r="AI561" s="92" t="str">
        <f t="shared" si="1334"/>
        <v/>
      </c>
      <c r="AJ561" s="828" t="str">
        <f t="shared" si="1394"/>
        <v/>
      </c>
      <c r="AK561" s="828"/>
      <c r="AL561" s="313" t="str">
        <f t="shared" si="1387"/>
        <v/>
      </c>
      <c r="AM561" s="312"/>
      <c r="AN561" s="101"/>
      <c r="AO561" s="101"/>
      <c r="AP561" s="101"/>
      <c r="AQ561" s="101"/>
      <c r="AR561" s="101"/>
      <c r="AS561" s="101"/>
      <c r="AT561" s="101"/>
    </row>
    <row r="562" spans="1:46" ht="12.95" customHeight="1">
      <c r="A562" s="383">
        <v>7</v>
      </c>
      <c r="B562" s="158" t="s">
        <v>50</v>
      </c>
      <c r="C562" s="172" t="s">
        <v>1292</v>
      </c>
      <c r="D562" s="161" t="s">
        <v>87</v>
      </c>
      <c r="E562" s="162">
        <v>88.95</v>
      </c>
      <c r="F562" s="713" t="s">
        <v>1306</v>
      </c>
      <c r="G562" s="357">
        <v>0</v>
      </c>
      <c r="H562" s="748" t="str">
        <f t="shared" ref="H562" si="1502">IF(G562=0,"",IF(F562="Qty=",IF(G562=1,"plant","plants"),IF(F562&gt;0.0001,"warranty","Error")))</f>
        <v/>
      </c>
      <c r="I562" s="592">
        <f t="shared" ref="I562" si="1503">IF(F562="Qty=",(E562*G562),((E562*(1-F562))*G562))</f>
        <v>0</v>
      </c>
      <c r="J562" s="592">
        <f>IF(H562="warranty",0,(I562*($J$1782)))</f>
        <v>0</v>
      </c>
      <c r="K562" s="834">
        <f t="shared" ref="K562" si="1504">I562+J562</f>
        <v>0</v>
      </c>
      <c r="L562" s="834"/>
      <c r="M562" s="832" t="str">
        <f>IF($H$1784=0,"",IF(G562=0,"",IF(F562="Qty=",CONCATENATE("$",ROUND(K562*(1-$H$1784),2)," with ",($H$1784*100),"% discount"),CONCATENATE("$",ROUND(K562*(1-$H$1784),2)," with ",(($H$1784*100+F562*100)-($H$1784*100*F562)),IF(F562&gt;0,"% discounts",IF($H$1781&gt;0,"% discounts","% discount"))))))</f>
        <v/>
      </c>
      <c r="N562" s="832"/>
      <c r="O562" s="832"/>
      <c r="P562" s="832"/>
      <c r="Q562" s="832"/>
      <c r="R562" s="832"/>
      <c r="S562" s="303">
        <f t="shared" ref="S562" si="1505">E562*G562</f>
        <v>0</v>
      </c>
      <c r="T562" s="541">
        <f>VLOOKUP(A562,'Discount Lookup'!D:E,2,FALSE)*G562</f>
        <v>0</v>
      </c>
      <c r="U562" s="83">
        <f>VLOOKUP(A562,'Discount Lookup'!G:H,2,FALSE)*G562</f>
        <v>0</v>
      </c>
      <c r="V562" s="100">
        <f>E562*($J$1782)*G562</f>
        <v>0</v>
      </c>
      <c r="W562" s="100">
        <f t="shared" ref="W562" si="1506">I562</f>
        <v>0</v>
      </c>
      <c r="X562" s="100" t="b">
        <f>IF(G562&gt;0,IF(AD562="me","",G562))</f>
        <v>0</v>
      </c>
      <c r="Y562" s="201"/>
      <c r="Z562" s="829" t="str">
        <f t="shared" ref="Z562" si="1507">IF(G562=0,"",IF(AD562="me","",IF($AD$8="me","",IF(AD562="free","warranty",IF($AD$8="yes","NVP planting:","to NVP install:")))))</f>
        <v/>
      </c>
      <c r="AA562" s="829"/>
      <c r="AB562" s="830" t="str">
        <f>IF(G562=0,"",IF(AD562="free","re-planting",IF(AD562="me","not NVP, by",IF($AD$8="yes",(VLOOKUP(A562,'Discount Lookup'!J:K,2)*G562*(1-$AC$1786)*(1+$AC$1788)),IF(AD562="NVP",(VLOOKUP(A562,'Discount Lookup'!J:K,2)*G562*(1-$AC$1786)*(1+$AC$1788)),IF(AD562="free","re-planting",IF(G562=0,"",IF($AD$8="",IF(AD562="me","not NVP, by",IF(AD562="",IF(G562&gt;0,(VLOOKUP(A562,'Discount Lookup'!J:K,2)*G562*(1-$AC$1786)*(1+$AC$1788)),""),"")),"not NVP, by"))))))))</f>
        <v/>
      </c>
      <c r="AC562" s="830"/>
      <c r="AD562" s="375" t="str">
        <f t="shared" ref="AD562" si="1508">IF(G562=0,"",IF($AD$8="me","me",IF(H562="warranty","free",IF($AD$8="yes","NVP",""))))</f>
        <v/>
      </c>
      <c r="AE562" s="833" t="str">
        <f>IF(G562&gt;0,(CONCATENATE((G562)," quantity, ",(A562)," ",B562)),"")</f>
        <v/>
      </c>
      <c r="AF562" s="833"/>
      <c r="AG562" s="833"/>
      <c r="AH562" s="91" t="str">
        <f>IF(AD562="free",0,IF(AD562="me","",IF(G562&gt;0,(VLOOKUP(A562,'Discount Lookup'!J:K,2)*G562),"")))</f>
        <v/>
      </c>
      <c r="AI562" s="92" t="str">
        <f t="shared" si="1334"/>
        <v/>
      </c>
      <c r="AJ562" s="828" t="str">
        <f t="shared" ref="AJ562" si="1509">IF(G562=0,"",IF(AD562="me","  delivery-only",IF($AD$8="me","  delivery-only",CONCATENATE(" $",ROUND(AI562/G562,2)," each"))))</f>
        <v/>
      </c>
      <c r="AK562" s="828"/>
      <c r="AL562" s="313" t="str">
        <f t="shared" si="1387"/>
        <v/>
      </c>
      <c r="AM562" s="312"/>
      <c r="AN562" s="101"/>
      <c r="AO562" s="101"/>
      <c r="AP562" s="101"/>
      <c r="AQ562" s="101"/>
      <c r="AR562" s="101"/>
      <c r="AS562" s="101"/>
      <c r="AT562" s="101"/>
    </row>
    <row r="563" spans="1:46" ht="12.95" customHeight="1">
      <c r="A563" s="472"/>
      <c r="B563" s="173" t="s">
        <v>1017</v>
      </c>
      <c r="D563" s="118"/>
      <c r="E563" s="119"/>
      <c r="F563" s="711"/>
      <c r="G563" s="358"/>
      <c r="H563" s="745"/>
      <c r="I563" s="119"/>
      <c r="J563" s="119"/>
      <c r="K563" s="609"/>
      <c r="L563" s="609"/>
      <c r="M563" s="121"/>
      <c r="N563" s="145"/>
      <c r="O563" s="123"/>
      <c r="P563" s="124"/>
      <c r="Q563" s="124"/>
      <c r="R563" s="83"/>
      <c r="S563" s="82">
        <f>E563*G563</f>
        <v>0</v>
      </c>
      <c r="T563" s="540"/>
      <c r="U563" s="83"/>
      <c r="V563" s="100" t="b">
        <f>IF(G563&gt;0,IF(AD563="me","",G563))</f>
        <v>0</v>
      </c>
      <c r="W563" s="100"/>
      <c r="X563" s="100"/>
      <c r="Y563" s="201"/>
      <c r="Z563" s="829" t="str">
        <f t="shared" si="1393"/>
        <v/>
      </c>
      <c r="AA563" s="829"/>
      <c r="AB563" s="830" t="str">
        <f>IF(G563=0,"",IF(AD563="free","re-planting",IF(AD563="me","not NVP, by",IF($AD$8="yes",(VLOOKUP(A563,'Discount Lookup'!J:K,2)*G563*(1-$AC$1786)*(1+$AC$1788)),IF(AD563="NVP",(VLOOKUP(A563,'Discount Lookup'!J:K,2)*G563*(1-$AC$1786)*(1+$AC$1788)),IF(AD563="free","re-planting",IF(G563=0,"",IF($AD$8="",IF(AD563="me","not NVP, by",IF(AD563="",IF(G563&gt;0,(VLOOKUP(A563,'Discount Lookup'!J:K,2)*G563*(1-$AC$1786)*(1+$AC$1788)),""),"")),"not NVP, by"))))))))</f>
        <v/>
      </c>
      <c r="AC563" s="830"/>
      <c r="AD563" s="375" t="str">
        <f t="shared" si="1374"/>
        <v/>
      </c>
      <c r="AE563" s="833" t="str">
        <f>IF(G563&gt;0,(CONCATENATE((G563)," quantity, ",(A563)," ",B563)),"")</f>
        <v/>
      </c>
      <c r="AF563" s="833"/>
      <c r="AG563" s="833"/>
      <c r="AH563" s="91" t="str">
        <f>IF(AD563="free",0,IF(AD563="me","",IF(G563&gt;0,(VLOOKUP(A563,'Discount Lookup'!J:K,2)*G563),"")))</f>
        <v/>
      </c>
      <c r="AI563" s="92" t="str">
        <f t="shared" si="1334"/>
        <v/>
      </c>
      <c r="AJ563" s="828" t="str">
        <f t="shared" si="1394"/>
        <v/>
      </c>
      <c r="AK563" s="828"/>
      <c r="AL563" s="313" t="str">
        <f t="shared" si="1387"/>
        <v/>
      </c>
      <c r="AM563" s="312"/>
      <c r="AN563" s="101"/>
      <c r="AO563" s="101"/>
      <c r="AP563" s="101"/>
      <c r="AQ563" s="101"/>
      <c r="AR563" s="101"/>
      <c r="AS563" s="101"/>
      <c r="AT563" s="101"/>
    </row>
    <row r="564" spans="1:46" ht="12.95" customHeight="1">
      <c r="A564" s="889" t="s">
        <v>383</v>
      </c>
      <c r="B564" s="890"/>
      <c r="C564" s="890"/>
      <c r="D564" s="890"/>
      <c r="E564" s="890"/>
      <c r="F564" s="890"/>
      <c r="G564" s="890"/>
      <c r="H564" s="774" t="s">
        <v>167</v>
      </c>
      <c r="I564" s="349" t="s">
        <v>280</v>
      </c>
      <c r="J564" s="157"/>
      <c r="K564" s="611" t="s">
        <v>45</v>
      </c>
      <c r="L564" s="630" t="s">
        <v>46</v>
      </c>
      <c r="M564" s="157"/>
      <c r="N564" s="158" t="s">
        <v>69</v>
      </c>
      <c r="O564" s="158"/>
      <c r="P564" s="164"/>
      <c r="Q564" s="164"/>
      <c r="R564" s="157"/>
      <c r="S564" s="170"/>
      <c r="T564" s="547"/>
      <c r="U564" s="171"/>
      <c r="V564" s="100" t="b">
        <f>IF(G564&gt;0,IF(AD564="me","",G564))</f>
        <v>0</v>
      </c>
      <c r="W564" s="100"/>
      <c r="X564" s="100"/>
      <c r="Y564" s="201"/>
      <c r="Z564" s="829" t="str">
        <f t="shared" si="1393"/>
        <v/>
      </c>
      <c r="AA564" s="829"/>
      <c r="AB564" s="830" t="str">
        <f>IF(G564=0,"",IF(AD564="free","re-planting",IF(AD564="me","not NVP, by",IF($AD$8="yes",(VLOOKUP(A564,'Discount Lookup'!J:K,2)*G564*(1-$AC$1786)*(1+$AC$1788)),IF(AD564="NVP",(VLOOKUP(A564,'Discount Lookup'!J:K,2)*G564*(1-$AC$1786)*(1+$AC$1788)),IF(AD564="free","re-planting",IF(G564=0,"",IF($AD$8="",IF(AD564="me","not NVP, by",IF(AD564="",IF(G564&gt;0,(VLOOKUP(A564,'Discount Lookup'!J:K,2)*G564*(1-$AC$1786)*(1+$AC$1788)),""),"")),"not NVP, by"))))))))</f>
        <v/>
      </c>
      <c r="AC564" s="830"/>
      <c r="AD564" s="375" t="str">
        <f t="shared" si="1374"/>
        <v/>
      </c>
      <c r="AE564" s="833" t="str">
        <f t="shared" ref="AE564:AE567" si="1510">IF(G564&gt;0,(CONCATENATE((G564)," quantity, ",(A564)," ",B564)),"")</f>
        <v/>
      </c>
      <c r="AF564" s="833"/>
      <c r="AG564" s="833"/>
      <c r="AH564" s="91">
        <f>IF(AD564="free",0,IF(AD564="me",0,IF(G564&gt;0,(VLOOKUP(A564,'Discount Lookup'!J:K,2)*G564),0)))</f>
        <v>0</v>
      </c>
      <c r="AI564" s="92" t="str">
        <f t="shared" si="1334"/>
        <v/>
      </c>
      <c r="AJ564" s="828" t="str">
        <f t="shared" si="1394"/>
        <v/>
      </c>
      <c r="AK564" s="828"/>
      <c r="AL564" s="313" t="str">
        <f t="shared" si="1387"/>
        <v/>
      </c>
      <c r="AM564" s="312"/>
      <c r="AN564" s="101"/>
      <c r="AO564" s="101"/>
      <c r="AP564" s="101"/>
      <c r="AQ564" s="101"/>
      <c r="AR564" s="101"/>
      <c r="AS564" s="101"/>
      <c r="AT564" s="101"/>
    </row>
    <row r="565" spans="1:46" ht="12.95" customHeight="1">
      <c r="A565" s="383">
        <v>15</v>
      </c>
      <c r="B565" s="158" t="s">
        <v>50</v>
      </c>
      <c r="C565" s="160" t="s">
        <v>1318</v>
      </c>
      <c r="D565" s="161" t="s">
        <v>54</v>
      </c>
      <c r="E565" s="162">
        <v>169.95</v>
      </c>
      <c r="F565" s="713" t="s">
        <v>1306</v>
      </c>
      <c r="G565" s="357">
        <v>0</v>
      </c>
      <c r="H565" s="748" t="str">
        <f t="shared" ref="H565:H566" si="1511">IF(G565=0,"",IF(F565="Qty=",IF(G565=1,"plant","plants"),IF(F565&gt;0.0001,"warranty","Error")))</f>
        <v/>
      </c>
      <c r="I565" s="592">
        <f t="shared" ref="I565:I566" si="1512">IF(F565="Qty=",(E565*G565),((E565*(1-F565))*G565))</f>
        <v>0</v>
      </c>
      <c r="J565" s="592">
        <f>IF(H565="warranty",0,(I565*($J$1782)))</f>
        <v>0</v>
      </c>
      <c r="K565" s="834">
        <f t="shared" ref="K565:K566" si="1513">I565+J565</f>
        <v>0</v>
      </c>
      <c r="L565" s="834"/>
      <c r="M565" s="832" t="str">
        <f>IF($H$1784=0,"",IF(G565=0,"",IF(F565="Qty=",CONCATENATE("$",ROUND(K565*(1-$H$1784),2)," with ",($H$1784*100),"% discount"),CONCATENATE("$",ROUND(K565*(1-$H$1784),2)," with ",(($H$1784*100+F565*100)-($H$1784*100*F565)),IF(F565&gt;0,"% discounts",IF($H$1781&gt;0,"% discounts","% discount"))))))</f>
        <v/>
      </c>
      <c r="N565" s="832"/>
      <c r="O565" s="832"/>
      <c r="P565" s="832"/>
      <c r="Q565" s="832"/>
      <c r="R565" s="832"/>
      <c r="S565" s="303">
        <f t="shared" ref="S565" si="1514">E565*G565</f>
        <v>0</v>
      </c>
      <c r="T565" s="541">
        <f>VLOOKUP(A565,'Discount Lookup'!D:E,2,FALSE)*G565</f>
        <v>0</v>
      </c>
      <c r="U565" s="83">
        <f>VLOOKUP(A565,'Discount Lookup'!G:H,2,FALSE)*G565</f>
        <v>0</v>
      </c>
      <c r="V565" s="100">
        <f>E565*($J$1782)*G565</f>
        <v>0</v>
      </c>
      <c r="W565" s="100">
        <f t="shared" ref="W565" si="1515">I565</f>
        <v>0</v>
      </c>
      <c r="X565" s="100" t="b">
        <f>IF(G565&gt;0,IF(AD565="me","",G565))</f>
        <v>0</v>
      </c>
      <c r="Y565" s="201"/>
      <c r="Z565" s="829" t="str">
        <f t="shared" si="1393"/>
        <v/>
      </c>
      <c r="AA565" s="829"/>
      <c r="AB565" s="830" t="str">
        <f>IF(G565=0,"",IF(AD565="free","re-planting",IF(AD565="me","not NVP, by",IF($AD$8="yes",(VLOOKUP(A565,'Discount Lookup'!J:K,2)*G565*(1-$AC$1786)*(1+$AC$1788)),IF(AD565="NVP",(VLOOKUP(A565,'Discount Lookup'!J:K,2)*G565*(1-$AC$1786)*(1+$AC$1788)),IF(AD565="free","re-planting",IF(G565=0,"",IF($AD$8="",IF(AD565="me","not NVP, by",IF(AD565="",IF(G565&gt;0,(VLOOKUP(A565,'Discount Lookup'!J:K,2)*G565*(1-$AC$1786)*(1+$AC$1788)),""),"")),"not NVP, by"))))))))</f>
        <v/>
      </c>
      <c r="AC565" s="830"/>
      <c r="AD565" s="375" t="str">
        <f t="shared" ref="AD565:AD604" si="1516">IF(G565=0,"",IF($AD$8="me","me",IF(H565="warranty","free",IF($AD$8="yes","NVP",""))))</f>
        <v/>
      </c>
      <c r="AE565" s="833" t="str">
        <f t="shared" ref="AE565" si="1517">IF(G565&gt;0,(CONCATENATE((G565)," quantity, ",(A565)," ",B565)),"")</f>
        <v/>
      </c>
      <c r="AF565" s="833"/>
      <c r="AG565" s="833"/>
      <c r="AH565" s="91">
        <f>IF(AD565="free",0,IF(AD565="me",0,IF(G565&gt;0,(VLOOKUP(A565,'Discount Lookup'!J:K,2)*G565),0)))</f>
        <v>0</v>
      </c>
      <c r="AI565" s="92" t="str">
        <f t="shared" si="1334"/>
        <v/>
      </c>
      <c r="AJ565" s="828" t="str">
        <f t="shared" si="1394"/>
        <v/>
      </c>
      <c r="AK565" s="828"/>
      <c r="AL565" s="313" t="str">
        <f t="shared" si="1387"/>
        <v/>
      </c>
      <c r="AM565" s="312"/>
      <c r="AN565" s="101"/>
      <c r="AO565" s="101"/>
      <c r="AP565" s="101"/>
      <c r="AQ565" s="101"/>
      <c r="AR565" s="101"/>
      <c r="AS565" s="101"/>
      <c r="AT565" s="101"/>
    </row>
    <row r="566" spans="1:46" ht="12.95" customHeight="1">
      <c r="A566" s="383">
        <v>25</v>
      </c>
      <c r="B566" s="158" t="s">
        <v>50</v>
      </c>
      <c r="C566" s="160" t="s">
        <v>1473</v>
      </c>
      <c r="D566" s="161" t="s">
        <v>54</v>
      </c>
      <c r="E566" s="162">
        <v>293.95</v>
      </c>
      <c r="F566" s="713" t="s">
        <v>1306</v>
      </c>
      <c r="G566" s="357">
        <v>0</v>
      </c>
      <c r="H566" s="748" t="str">
        <f t="shared" si="1511"/>
        <v/>
      </c>
      <c r="I566" s="592">
        <f t="shared" si="1512"/>
        <v>0</v>
      </c>
      <c r="J566" s="592">
        <f>IF(H566="warranty",0,(I566*($J$1782)))</f>
        <v>0</v>
      </c>
      <c r="K566" s="834">
        <f t="shared" si="1513"/>
        <v>0</v>
      </c>
      <c r="L566" s="834"/>
      <c r="M566" s="832" t="str">
        <f>IF($H$1784=0,"",IF(G566=0,"",IF(F566="Qty=",CONCATENATE("$",ROUND(K566*(1-$H$1784),2)," with ",($H$1784*100),"% discount"),CONCATENATE("$",ROUND(K566*(1-$H$1784),2)," with ",(($H$1784*100+F566*100)-($H$1784*100*F566)),IF(F566&gt;0,"% discounts",IF($H$1781&gt;0,"% discounts","% discount"))))))</f>
        <v/>
      </c>
      <c r="N566" s="832"/>
      <c r="O566" s="832"/>
      <c r="P566" s="832"/>
      <c r="Q566" s="832"/>
      <c r="R566" s="832"/>
      <c r="S566" s="303">
        <f t="shared" ref="S566" si="1518">E566*G566</f>
        <v>0</v>
      </c>
      <c r="T566" s="541">
        <f>VLOOKUP(A566,'Discount Lookup'!D:E,2,FALSE)*G566</f>
        <v>0</v>
      </c>
      <c r="U566" s="83">
        <f>VLOOKUP(A566,'Discount Lookup'!G:H,2,FALSE)*G566</f>
        <v>0</v>
      </c>
      <c r="V566" s="100">
        <f>E566*($J$1782)*G566</f>
        <v>0</v>
      </c>
      <c r="W566" s="100">
        <f t="shared" ref="W566" si="1519">I566</f>
        <v>0</v>
      </c>
      <c r="X566" s="100" t="b">
        <f>IF(G566&gt;0,IF(AD566="me","",G566))</f>
        <v>0</v>
      </c>
      <c r="Y566" s="201"/>
      <c r="Z566" s="829" t="str">
        <f t="shared" si="1393"/>
        <v/>
      </c>
      <c r="AA566" s="829"/>
      <c r="AB566" s="830" t="str">
        <f>IF(G566=0,"",IF(AD566="free","re-planting",IF(AD566="me","not NVP, by",IF($AD$8="yes",(VLOOKUP(A566,'Discount Lookup'!J:K,2)*G566*(1-$AC$1786)*(1+$AC$1788)),IF(AD566="NVP",(VLOOKUP(A566,'Discount Lookup'!J:K,2)*G566*(1-$AC$1786)*(1+$AC$1788)),IF(AD566="free","re-planting",IF(G566=0,"",IF($AD$8="",IF(AD566="me","not NVP, by",IF(AD566="",IF(G566&gt;0,(VLOOKUP(A566,'Discount Lookup'!J:K,2)*G566*(1-$AC$1786)*(1+$AC$1788)),""),"")),"not NVP, by"))))))))</f>
        <v/>
      </c>
      <c r="AC566" s="830"/>
      <c r="AD566" s="375" t="str">
        <f t="shared" si="1516"/>
        <v/>
      </c>
      <c r="AE566" s="833" t="str">
        <f t="shared" si="1510"/>
        <v/>
      </c>
      <c r="AF566" s="833"/>
      <c r="AG566" s="833"/>
      <c r="AH566" s="91">
        <f>IF(AD566="free",0,IF(AD566="me",0,IF(G566&gt;0,(VLOOKUP(A566,'Discount Lookup'!J:K,2)*G566),0)))</f>
        <v>0</v>
      </c>
      <c r="AI566" s="92" t="str">
        <f t="shared" si="1334"/>
        <v/>
      </c>
      <c r="AJ566" s="828" t="str">
        <f t="shared" si="1394"/>
        <v/>
      </c>
      <c r="AK566" s="828"/>
      <c r="AL566" s="313" t="str">
        <f t="shared" si="1387"/>
        <v/>
      </c>
      <c r="AM566" s="312"/>
      <c r="AN566" s="101"/>
      <c r="AO566" s="101"/>
      <c r="AP566" s="101"/>
      <c r="AQ566" s="101"/>
      <c r="AR566" s="101"/>
      <c r="AS566" s="101"/>
      <c r="AT566" s="101"/>
    </row>
    <row r="567" spans="1:46" ht="12.95" customHeight="1">
      <c r="A567" s="472"/>
      <c r="B567" s="173" t="s">
        <v>384</v>
      </c>
      <c r="D567" s="118"/>
      <c r="E567" s="119"/>
      <c r="G567" s="358"/>
      <c r="H567" s="745"/>
      <c r="J567" s="119"/>
      <c r="K567" s="609"/>
      <c r="L567" s="609"/>
      <c r="M567" s="121"/>
      <c r="N567" s="145"/>
      <c r="O567" s="123"/>
      <c r="P567" s="124"/>
      <c r="Q567" s="841" t="s">
        <v>125</v>
      </c>
      <c r="R567" s="841"/>
      <c r="S567" s="841"/>
      <c r="T567" s="841"/>
      <c r="U567" s="841"/>
      <c r="V567" s="841"/>
      <c r="Y567" s="132"/>
      <c r="Z567" s="829" t="str">
        <f t="shared" si="1393"/>
        <v/>
      </c>
      <c r="AA567" s="829"/>
      <c r="AB567" s="830" t="str">
        <f>IF(G567=0,"",IF(AD567="free","re-planting",IF(AD567="me","not NVP, by",IF($AD$8="yes",(VLOOKUP(A567,'Discount Lookup'!J:K,2)*G567*(1-$AC$1786)*(1+$AC$1788)),IF(AD567="NVP",(VLOOKUP(A567,'Discount Lookup'!J:K,2)*G567*(1-$AC$1786)*(1+$AC$1788)),IF(AD567="free","re-planting",IF(G567=0,"",IF($AD$8="",IF(AD567="me","not NVP, by",IF(AD567="",IF(G567&gt;0,(VLOOKUP(A567,'Discount Lookup'!J:K,2)*G567*(1-$AC$1786)*(1+$AC$1788)),""),"")),"not NVP, by"))))))))</f>
        <v/>
      </c>
      <c r="AC567" s="830"/>
      <c r="AD567" s="375" t="str">
        <f t="shared" si="1516"/>
        <v/>
      </c>
      <c r="AE567" s="833" t="str">
        <f t="shared" si="1510"/>
        <v/>
      </c>
      <c r="AF567" s="833"/>
      <c r="AG567" s="833"/>
      <c r="AH567" s="91">
        <f>IF(AD567="free",0,IF(AD567="me",0,IF(G567&gt;0,(VLOOKUP(A567,'Discount Lookup'!J:K,2)*G567),0)))</f>
        <v>0</v>
      </c>
      <c r="AI567" s="92" t="str">
        <f t="shared" si="1334"/>
        <v/>
      </c>
      <c r="AJ567" s="828" t="str">
        <f t="shared" si="1394"/>
        <v/>
      </c>
      <c r="AK567" s="828"/>
      <c r="AL567" s="313" t="str">
        <f t="shared" si="1387"/>
        <v/>
      </c>
      <c r="AM567" s="312"/>
      <c r="AN567" s="101"/>
      <c r="AO567" s="101"/>
      <c r="AP567" s="101"/>
      <c r="AQ567" s="101"/>
      <c r="AR567" s="101"/>
      <c r="AS567" s="101"/>
      <c r="AT567" s="101"/>
    </row>
    <row r="568" spans="1:46" ht="12.95" customHeight="1">
      <c r="A568" s="889" t="s">
        <v>385</v>
      </c>
      <c r="B568" s="890"/>
      <c r="C568" s="890"/>
      <c r="D568" s="890"/>
      <c r="E568" s="890"/>
      <c r="F568" s="890"/>
      <c r="G568" s="890"/>
      <c r="H568" s="774" t="s">
        <v>167</v>
      </c>
      <c r="I568" s="349" t="s">
        <v>280</v>
      </c>
      <c r="J568" s="157"/>
      <c r="K568" s="611" t="s">
        <v>45</v>
      </c>
      <c r="L568" s="630" t="s">
        <v>46</v>
      </c>
      <c r="M568" s="157"/>
      <c r="N568" s="158" t="s">
        <v>69</v>
      </c>
      <c r="O568" s="158"/>
      <c r="P568" s="164"/>
      <c r="Q568" s="164"/>
      <c r="R568" s="157"/>
      <c r="S568" s="170"/>
      <c r="T568" s="547"/>
      <c r="U568" s="171"/>
      <c r="V568" s="100" t="b">
        <f>IF(G568&gt;0,IF(AD568="me","",G568))</f>
        <v>0</v>
      </c>
      <c r="W568" s="100"/>
      <c r="X568" s="100"/>
      <c r="Y568" s="201"/>
      <c r="Z568" s="829" t="str">
        <f t="shared" si="1393"/>
        <v/>
      </c>
      <c r="AA568" s="829"/>
      <c r="AB568" s="830" t="str">
        <f>IF(G568=0,"",IF(AD568="free","re-planting",IF(AD568="me","not NVP, by",IF($AD$8="yes",(VLOOKUP(A568,'Discount Lookup'!J:K,2)*G568*(1-$AC$1786)*(1+$AC$1788)),IF(AD568="NVP",(VLOOKUP(A568,'Discount Lookup'!J:K,2)*G568*(1-$AC$1786)*(1+$AC$1788)),IF(AD568="free","re-planting",IF(G568=0,"",IF($AD$8="",IF(AD568="me","not NVP, by",IF(AD568="",IF(G568&gt;0,(VLOOKUP(A568,'Discount Lookup'!J:K,2)*G568*(1-$AC$1786)*(1+$AC$1788)),""),"")),"not NVP, by"))))))))</f>
        <v/>
      </c>
      <c r="AC568" s="830"/>
      <c r="AD568" s="375" t="str">
        <f t="shared" si="1516"/>
        <v/>
      </c>
      <c r="AE568" s="833" t="str">
        <f t="shared" si="1417"/>
        <v/>
      </c>
      <c r="AF568" s="833"/>
      <c r="AG568" s="833"/>
      <c r="AH568" s="91">
        <f>IF(AD568="free",0,IF(AD568="me",0,IF(G568&gt;0,(VLOOKUP(A568,'Discount Lookup'!J:K,2)*G568),0)))</f>
        <v>0</v>
      </c>
      <c r="AI568" s="92" t="str">
        <f t="shared" si="1334"/>
        <v/>
      </c>
      <c r="AJ568" s="828" t="str">
        <f t="shared" si="1394"/>
        <v/>
      </c>
      <c r="AK568" s="828"/>
      <c r="AL568" s="313" t="str">
        <f t="shared" si="1387"/>
        <v/>
      </c>
      <c r="AM568" s="312"/>
      <c r="AN568" s="101"/>
      <c r="AO568" s="101"/>
      <c r="AP568" s="101"/>
      <c r="AQ568" s="101"/>
      <c r="AR568" s="101"/>
      <c r="AS568" s="101"/>
      <c r="AT568" s="101"/>
    </row>
    <row r="569" spans="1:46" ht="12.95" customHeight="1">
      <c r="A569" s="383">
        <v>3</v>
      </c>
      <c r="B569" s="158" t="s">
        <v>50</v>
      </c>
      <c r="C569" s="172" t="s">
        <v>1661</v>
      </c>
      <c r="D569" s="161" t="s">
        <v>63</v>
      </c>
      <c r="E569" s="162">
        <v>26.95</v>
      </c>
      <c r="F569" s="713" t="s">
        <v>1306</v>
      </c>
      <c r="G569" s="357">
        <v>0</v>
      </c>
      <c r="H569" s="748" t="str">
        <f t="shared" ref="H569:H571" si="1520">IF(G569=0,"",IF(F569="Qty=",IF(G569=1,"plant","plants"),IF(F569&gt;0.0001,"warranty","Error")))</f>
        <v/>
      </c>
      <c r="I569" s="592">
        <f t="shared" ref="I569:I571" si="1521">IF(F569="Qty=",(E569*G569),((E569*(1-F569))*G569))</f>
        <v>0</v>
      </c>
      <c r="J569" s="592">
        <f>IF(H569="warranty",0,(I569*($J$1782)))</f>
        <v>0</v>
      </c>
      <c r="K569" s="834">
        <f t="shared" ref="K569:K571" si="1522">I569+J569</f>
        <v>0</v>
      </c>
      <c r="L569" s="834"/>
      <c r="M569" s="832" t="str">
        <f>IF($H$1784=0,"",IF(G569=0,"",IF(F569="Qty=",CONCATENATE("$",ROUND(K569*(1-$H$1784),2)," with ",($H$1784*100),"% discount"),CONCATENATE("$",ROUND(K569*(1-$H$1784),2)," with ",(($H$1784*100+F569*100)-($H$1784*100*F569)),IF(F569&gt;0,"% discounts",IF($H$1781&gt;0,"% discounts","% discount"))))))</f>
        <v/>
      </c>
      <c r="N569" s="832"/>
      <c r="O569" s="832"/>
      <c r="P569" s="832"/>
      <c r="Q569" s="832"/>
      <c r="R569" s="832"/>
      <c r="S569" s="303">
        <f t="shared" ref="S569:S571" si="1523">E569*G569</f>
        <v>0</v>
      </c>
      <c r="T569" s="541">
        <f>VLOOKUP(A569,'Discount Lookup'!D:E,2,FALSE)*G569</f>
        <v>0</v>
      </c>
      <c r="U569" s="83">
        <f>VLOOKUP(A569,'Discount Lookup'!G:H,2,FALSE)*G569</f>
        <v>0</v>
      </c>
      <c r="V569" s="100">
        <f>E569*($J$1782)*G569</f>
        <v>0</v>
      </c>
      <c r="W569" s="100">
        <f t="shared" ref="W569:W571" si="1524">I569</f>
        <v>0</v>
      </c>
      <c r="X569" s="100" t="b">
        <f>IF(G569&gt;0,IF(AD569="me","",G569))</f>
        <v>0</v>
      </c>
      <c r="Y569" s="201"/>
      <c r="Z569" s="829" t="str">
        <f t="shared" si="1393"/>
        <v/>
      </c>
      <c r="AA569" s="829"/>
      <c r="AB569" s="830" t="str">
        <f>IF(G569=0,"",IF(AD569="free","re-planting",IF(AD569="me","not NVP, by",IF($AD$8="yes",(VLOOKUP(A569,'Discount Lookup'!J:K,2)*G569*(1-$AC$1786)*(1+$AC$1788)),IF(AD569="NVP",(VLOOKUP(A569,'Discount Lookup'!J:K,2)*G569*(1-$AC$1786)*(1+$AC$1788)),IF(AD569="free","re-planting",IF(G569=0,"",IF($AD$8="",IF(AD569="me","not NVP, by",IF(AD569="",IF(G569&gt;0,(VLOOKUP(A569,'Discount Lookup'!J:K,2)*G569*(1-$AC$1786)*(1+$AC$1788)),""),"")),"not NVP, by"))))))))</f>
        <v/>
      </c>
      <c r="AC569" s="830"/>
      <c r="AD569" s="375" t="str">
        <f t="shared" si="1516"/>
        <v/>
      </c>
      <c r="AE569" s="833" t="str">
        <f t="shared" si="1417"/>
        <v/>
      </c>
      <c r="AF569" s="833"/>
      <c r="AG569" s="833"/>
      <c r="AH569" s="91">
        <f>IF(AD569="free",0,IF(AD569="me",0,IF(G569&gt;0,(VLOOKUP(A569,'Discount Lookup'!J:K,2)*G569),0)))</f>
        <v>0</v>
      </c>
      <c r="AI569" s="92" t="str">
        <f t="shared" si="1334"/>
        <v/>
      </c>
      <c r="AJ569" s="828" t="str">
        <f t="shared" si="1394"/>
        <v/>
      </c>
      <c r="AK569" s="828"/>
      <c r="AL569" s="313" t="str">
        <f t="shared" si="1387"/>
        <v/>
      </c>
      <c r="AM569" s="312"/>
      <c r="AN569" s="101"/>
      <c r="AO569" s="101"/>
      <c r="AP569" s="101"/>
      <c r="AQ569" s="101"/>
      <c r="AR569" s="101"/>
      <c r="AS569" s="101"/>
      <c r="AT569" s="101"/>
    </row>
    <row r="570" spans="1:46" ht="12.95" customHeight="1">
      <c r="A570" s="383">
        <v>7</v>
      </c>
      <c r="B570" s="158" t="s">
        <v>50</v>
      </c>
      <c r="C570" s="172" t="s">
        <v>1474</v>
      </c>
      <c r="D570" s="161" t="s">
        <v>54</v>
      </c>
      <c r="E570" s="162">
        <v>114.95</v>
      </c>
      <c r="F570" s="713" t="s">
        <v>1306</v>
      </c>
      <c r="G570" s="357">
        <v>0</v>
      </c>
      <c r="H570" s="748" t="str">
        <f t="shared" si="1520"/>
        <v/>
      </c>
      <c r="I570" s="592">
        <f t="shared" si="1521"/>
        <v>0</v>
      </c>
      <c r="J570" s="592">
        <f>IF(H570="warranty",0,(I570*($J$1782)))</f>
        <v>0</v>
      </c>
      <c r="K570" s="834">
        <f t="shared" si="1522"/>
        <v>0</v>
      </c>
      <c r="L570" s="834"/>
      <c r="M570" s="832" t="str">
        <f>IF($H$1784=0,"",IF(G570=0,"",IF(F570="Qty=",CONCATENATE("$",ROUND(K570*(1-$H$1784),2)," with ",($H$1784*100),"% discount"),CONCATENATE("$",ROUND(K570*(1-$H$1784),2)," with ",(($H$1784*100+F570*100)-($H$1784*100*F570)),IF(F570&gt;0,"% discounts",IF($H$1781&gt;0,"% discounts","% discount"))))))</f>
        <v/>
      </c>
      <c r="N570" s="832"/>
      <c r="O570" s="832"/>
      <c r="P570" s="832"/>
      <c r="Q570" s="832"/>
      <c r="R570" s="832"/>
      <c r="S570" s="303">
        <f t="shared" si="1523"/>
        <v>0</v>
      </c>
      <c r="T570" s="541">
        <f>VLOOKUP(A570,'Discount Lookup'!D:E,2,FALSE)*G570</f>
        <v>0</v>
      </c>
      <c r="U570" s="83">
        <f>VLOOKUP(A570,'Discount Lookup'!G:H,2,FALSE)*G570</f>
        <v>0</v>
      </c>
      <c r="V570" s="100">
        <f>E570*($J$1782)*G570</f>
        <v>0</v>
      </c>
      <c r="W570" s="100">
        <f t="shared" si="1524"/>
        <v>0</v>
      </c>
      <c r="X570" s="100" t="b">
        <f>IF(G570&gt;0,IF(AD570="me","",G570))</f>
        <v>0</v>
      </c>
      <c r="Y570" s="201"/>
      <c r="Z570" s="829" t="str">
        <f t="shared" si="1393"/>
        <v/>
      </c>
      <c r="AA570" s="829"/>
      <c r="AB570" s="830" t="str">
        <f>IF(G570=0,"",IF(AD570="free","re-planting",IF(AD570="me","not NVP, by",IF($AD$8="yes",(VLOOKUP(A570,'Discount Lookup'!J:K,2)*G570*(1-$AC$1786)*(1+$AC$1788)),IF(AD570="NVP",(VLOOKUP(A570,'Discount Lookup'!J:K,2)*G570*(1-$AC$1786)*(1+$AC$1788)),IF(AD570="free","re-planting",IF(G570=0,"",IF($AD$8="",IF(AD570="me","not NVP, by",IF(AD570="",IF(G570&gt;0,(VLOOKUP(A570,'Discount Lookup'!J:K,2)*G570*(1-$AC$1786)*(1+$AC$1788)),""),"")),"not NVP, by"))))))))</f>
        <v/>
      </c>
      <c r="AC570" s="830"/>
      <c r="AD570" s="375" t="str">
        <f t="shared" si="1516"/>
        <v/>
      </c>
      <c r="AE570" s="833" t="str">
        <f t="shared" si="1417"/>
        <v/>
      </c>
      <c r="AF570" s="833"/>
      <c r="AG570" s="833"/>
      <c r="AH570" s="91">
        <f>IF(AD570="free",0,IF(AD570="me",0,IF(G570&gt;0,(VLOOKUP(A570,'Discount Lookup'!J:K,2)*G570),0)))</f>
        <v>0</v>
      </c>
      <c r="AI570" s="92" t="str">
        <f t="shared" si="1334"/>
        <v/>
      </c>
      <c r="AJ570" s="828" t="str">
        <f t="shared" si="1394"/>
        <v/>
      </c>
      <c r="AK570" s="828"/>
      <c r="AL570" s="313" t="str">
        <f t="shared" si="1387"/>
        <v/>
      </c>
      <c r="AM570" s="312"/>
      <c r="AN570" s="101"/>
      <c r="AO570" s="101"/>
      <c r="AP570" s="101"/>
      <c r="AQ570" s="101"/>
      <c r="AR570" s="101"/>
      <c r="AS570" s="101"/>
      <c r="AT570" s="101"/>
    </row>
    <row r="571" spans="1:46" ht="12.95" customHeight="1">
      <c r="A571" s="383">
        <v>10</v>
      </c>
      <c r="B571" s="158" t="s">
        <v>50</v>
      </c>
      <c r="C571" s="168" t="s">
        <v>1229</v>
      </c>
      <c r="D571" s="161" t="s">
        <v>94</v>
      </c>
      <c r="E571" s="162">
        <v>95.95</v>
      </c>
      <c r="F571" s="713" t="s">
        <v>1306</v>
      </c>
      <c r="G571" s="357">
        <v>0</v>
      </c>
      <c r="H571" s="748" t="str">
        <f t="shared" si="1520"/>
        <v/>
      </c>
      <c r="I571" s="592">
        <f t="shared" si="1521"/>
        <v>0</v>
      </c>
      <c r="J571" s="592">
        <f>IF(H571="warranty",0,(I571*($J$1782)))</f>
        <v>0</v>
      </c>
      <c r="K571" s="834">
        <f t="shared" si="1522"/>
        <v>0</v>
      </c>
      <c r="L571" s="834"/>
      <c r="M571" s="832" t="str">
        <f>IF($H$1784=0,"",IF(G571=0,"",IF(F571="Qty=",CONCATENATE("$",ROUND(K571*(1-$H$1784),2)," with ",($H$1784*100),"% discount"),CONCATENATE("$",ROUND(K571*(1-$H$1784),2)," with ",(($H$1784*100+F571*100)-($H$1784*100*F571)),IF(F571&gt;0,"% discounts",IF($H$1781&gt;0,"% discounts","% discount"))))))</f>
        <v/>
      </c>
      <c r="N571" s="832"/>
      <c r="O571" s="832"/>
      <c r="P571" s="832"/>
      <c r="Q571" s="832"/>
      <c r="R571" s="832"/>
      <c r="S571" s="303">
        <f t="shared" si="1523"/>
        <v>0</v>
      </c>
      <c r="T571" s="541">
        <f>VLOOKUP(A571,'Discount Lookup'!D:E,2,FALSE)*G571</f>
        <v>0</v>
      </c>
      <c r="U571" s="83">
        <f>VLOOKUP(A571,'Discount Lookup'!G:H,2,FALSE)*G571</f>
        <v>0</v>
      </c>
      <c r="V571" s="100">
        <f>E571*($J$1782)*G571</f>
        <v>0</v>
      </c>
      <c r="W571" s="100">
        <f t="shared" si="1524"/>
        <v>0</v>
      </c>
      <c r="X571" s="100" t="b">
        <f>IF(G571&gt;0,IF(AD571="me","",G571))</f>
        <v>0</v>
      </c>
      <c r="Y571" s="201"/>
      <c r="Z571" s="829" t="str">
        <f t="shared" si="1393"/>
        <v/>
      </c>
      <c r="AA571" s="829"/>
      <c r="AB571" s="830" t="str">
        <f>IF(G571=0,"",IF(AD571="free","re-planting",IF(AD571="me","not NVP, by",IF($AD$8="yes",(VLOOKUP(A571,'Discount Lookup'!J:K,2)*G571*(1-$AC$1786)*(1+$AC$1788)),IF(AD571="NVP",(VLOOKUP(A571,'Discount Lookup'!J:K,2)*G571*(1-$AC$1786)*(1+$AC$1788)),IF(AD571="free","re-planting",IF(G571=0,"",IF($AD$8="",IF(AD571="me","not NVP, by",IF(AD571="",IF(G571&gt;0,(VLOOKUP(A571,'Discount Lookup'!J:K,2)*G571*(1-$AC$1786)*(1+$AC$1788)),""),"")),"not NVP, by"))))))))</f>
        <v/>
      </c>
      <c r="AC571" s="830"/>
      <c r="AD571" s="375" t="str">
        <f t="shared" si="1516"/>
        <v/>
      </c>
      <c r="AE571" s="833" t="str">
        <f t="shared" si="1417"/>
        <v/>
      </c>
      <c r="AF571" s="833"/>
      <c r="AG571" s="833"/>
      <c r="AH571" s="91">
        <f>IF(AD571="free",0,IF(AD571="me",0,IF(G571&gt;0,(VLOOKUP(A571,'Discount Lookup'!J:K,2)*G571),0)))</f>
        <v>0</v>
      </c>
      <c r="AI571" s="92" t="str">
        <f t="shared" si="1334"/>
        <v/>
      </c>
      <c r="AJ571" s="828" t="str">
        <f t="shared" si="1394"/>
        <v/>
      </c>
      <c r="AK571" s="828"/>
      <c r="AL571" s="313" t="str">
        <f t="shared" si="1387"/>
        <v/>
      </c>
      <c r="AM571" s="312"/>
      <c r="AN571" s="101"/>
      <c r="AO571" s="101"/>
      <c r="AP571" s="101"/>
      <c r="AQ571" s="101"/>
      <c r="AR571" s="101"/>
      <c r="AS571" s="101"/>
      <c r="AT571" s="101"/>
    </row>
    <row r="572" spans="1:46" ht="12.95" customHeight="1">
      <c r="A572" s="393"/>
      <c r="B572" s="173" t="s">
        <v>386</v>
      </c>
      <c r="C572" s="130"/>
      <c r="D572" s="104"/>
      <c r="E572" s="131"/>
      <c r="G572" s="356"/>
      <c r="H572" s="744"/>
      <c r="J572" s="840"/>
      <c r="K572" s="840"/>
      <c r="L572" s="840"/>
      <c r="M572" s="48"/>
      <c r="N572" s="48"/>
      <c r="O572" s="123"/>
      <c r="P572" s="124"/>
      <c r="Q572" s="124"/>
      <c r="R572" s="48"/>
      <c r="S572" s="48"/>
      <c r="T572" s="546"/>
      <c r="V572" s="100" t="b">
        <f>IF(G572&gt;0,IF(AD572="me","",G572))</f>
        <v>0</v>
      </c>
      <c r="W572" s="100"/>
      <c r="X572" s="100"/>
      <c r="Y572" s="201"/>
      <c r="Z572" s="829" t="str">
        <f t="shared" si="1393"/>
        <v/>
      </c>
      <c r="AA572" s="829"/>
      <c r="AB572" s="830" t="str">
        <f>IF(G572=0,"",IF(AD572="free","re-planting",IF(AD572="me","not NVP, by",IF($AD$8="yes",(VLOOKUP(A572,'Discount Lookup'!J:K,2)*G572*(1-$AC$1786)*(1+$AC$1788)),IF(AD572="NVP",(VLOOKUP(A572,'Discount Lookup'!J:K,2)*G572*(1-$AC$1786)*(1+$AC$1788)),IF(AD572="free","re-planting",IF(G572=0,"",IF($AD$8="",IF(AD572="me","not NVP, by",IF(AD572="",IF(G572&gt;0,(VLOOKUP(A572,'Discount Lookup'!J:K,2)*G572*(1-$AC$1786)*(1+$AC$1788)),""),"")),"not NVP, by"))))))))</f>
        <v/>
      </c>
      <c r="AC572" s="830"/>
      <c r="AD572" s="375" t="str">
        <f t="shared" si="1516"/>
        <v/>
      </c>
      <c r="AE572" s="833" t="str">
        <f t="shared" si="1417"/>
        <v/>
      </c>
      <c r="AF572" s="833"/>
      <c r="AG572" s="833"/>
      <c r="AH572" s="91">
        <f>IF(AD572="free",0,IF(AD572="me",0,IF(G572&gt;0,(VLOOKUP(A572,'Discount Lookup'!J:K,2)*G572),0)))</f>
        <v>0</v>
      </c>
      <c r="AI572" s="92" t="str">
        <f t="shared" si="1334"/>
        <v/>
      </c>
      <c r="AJ572" s="828" t="str">
        <f t="shared" si="1394"/>
        <v/>
      </c>
      <c r="AK572" s="828"/>
      <c r="AL572" s="313" t="str">
        <f t="shared" si="1387"/>
        <v/>
      </c>
      <c r="AM572" s="312"/>
      <c r="AN572" s="101"/>
      <c r="AO572" s="101"/>
      <c r="AP572" s="101"/>
      <c r="AQ572" s="101"/>
      <c r="AR572" s="101"/>
      <c r="AS572" s="101"/>
      <c r="AT572" s="101"/>
    </row>
    <row r="573" spans="1:46" ht="12.95" customHeight="1">
      <c r="A573" s="894" t="s">
        <v>1334</v>
      </c>
      <c r="B573" s="895"/>
      <c r="C573" s="895"/>
      <c r="D573" s="895"/>
      <c r="E573" s="895"/>
      <c r="F573" s="895"/>
      <c r="G573" s="895"/>
      <c r="H573" s="774" t="s">
        <v>167</v>
      </c>
      <c r="I573" s="164" t="s">
        <v>79</v>
      </c>
      <c r="J573" s="157"/>
      <c r="K573" s="611" t="s">
        <v>45</v>
      </c>
      <c r="L573" s="630" t="s">
        <v>46</v>
      </c>
      <c r="M573" s="157"/>
      <c r="N573" s="158" t="s">
        <v>130</v>
      </c>
      <c r="O573" s="158"/>
      <c r="P573" s="164"/>
      <c r="Q573" s="164"/>
      <c r="R573" s="835" t="s">
        <v>49</v>
      </c>
      <c r="S573" s="835"/>
      <c r="T573" s="835"/>
      <c r="U573" s="835"/>
      <c r="V573" s="100" t="b">
        <f>IF(G573&gt;0,IF(AD573="me","",G573))</f>
        <v>0</v>
      </c>
      <c r="W573" s="100"/>
      <c r="X573" s="100"/>
      <c r="Y573" s="201"/>
      <c r="Z573" s="829" t="str">
        <f>IF(G573=0,"",IF(AD573="me","",IF($AD$8="me","",IF(AD573="free","warranty",IF($AD$8="yes","NVP planting:","to NVP install:")))))</f>
        <v/>
      </c>
      <c r="AA573" s="829"/>
      <c r="AB573" s="830" t="str">
        <f>IF(G573=0,"",IF(AD573="free","re-planting",IF(AD573="me","not NVP, by",IF($AD$8="yes",(VLOOKUP(A573,'Discount Lookup'!J:K,2)*G573*(1-#REF!)*(1+$AC$1788)),IF(AD573="NVP",(VLOOKUP(A573,'Discount Lookup'!J:K,2)*G573*(1-#REF!)*(1+$AC$1788)),IF(AD573="free","re-planting",IF(G573=0,"",IF($AD$8="",IF(AD573="me","not NVP, by",IF(AD573="",IF(G573&gt;0,(VLOOKUP(A573,'Discount Lookup'!J:K,2)*G573*(1-#REF!)*(1+$AC$1788)),""),"")),"not NVP, by"))))))))</f>
        <v/>
      </c>
      <c r="AC573" s="830"/>
      <c r="AD573" s="375" t="str">
        <f t="shared" si="1516"/>
        <v/>
      </c>
      <c r="AE573" s="833" t="str">
        <f t="shared" ref="AE573:AE575" si="1525">IF(G573&gt;0,(CONCATENATE((G573)," quantity, ",(A573)," ",B573)),"")</f>
        <v/>
      </c>
      <c r="AF573" s="833"/>
      <c r="AG573" s="833"/>
      <c r="AH573" s="91" t="str">
        <f>IF(AD573="free",0,IF(AD573="me","",IF(G573&gt;0,(VLOOKUP(A573,'Discount Lookup'!J:K,2)*G573),"")))</f>
        <v/>
      </c>
      <c r="AI573" s="92" t="str">
        <f>IF(AD573="free",(K573*(1-H1784)),IF(G573=0,"",IF($AD$8="",IF(G573=0,"",IF(AD573="me",(K573*(1-H1784)),(K573*(1-H1784))+AB573)),IF(K573="Images","",IF(K573=0,"",(K573*(1-H1784)))))))</f>
        <v/>
      </c>
      <c r="AJ573" s="828" t="str">
        <f t="shared" ref="AJ573:AJ575" si="1526">IF(G573=0,"",IF(AD573="me","  delivery-only",CONCATENATE(" $",ROUND(AI573/G573,2)," each")))</f>
        <v/>
      </c>
      <c r="AK573" s="828"/>
      <c r="AL573" s="313" t="str">
        <f t="shared" si="1387"/>
        <v/>
      </c>
      <c r="AM573" s="312"/>
      <c r="AN573" s="101"/>
      <c r="AO573" s="101"/>
      <c r="AP573" s="101"/>
      <c r="AQ573" s="101"/>
      <c r="AR573" s="101"/>
      <c r="AS573" s="101"/>
      <c r="AT573" s="101"/>
    </row>
    <row r="574" spans="1:46" ht="12.95" customHeight="1">
      <c r="A574" s="405">
        <v>15</v>
      </c>
      <c r="B574" s="158" t="s">
        <v>50</v>
      </c>
      <c r="C574" s="406" t="s">
        <v>1598</v>
      </c>
      <c r="D574" s="406" t="s">
        <v>90</v>
      </c>
      <c r="E574" s="407">
        <v>357.95</v>
      </c>
      <c r="F574" s="713" t="s">
        <v>1306</v>
      </c>
      <c r="G574" s="357">
        <v>0</v>
      </c>
      <c r="H574" s="748" t="str">
        <f t="shared" ref="H574" si="1527">IF(G574=0,"",IF(F574="Qty=",IF(G574=1,"plant","plants"),IF(F574&gt;0.0001,"warranty","Error")))</f>
        <v/>
      </c>
      <c r="I574" s="592">
        <f t="shared" ref="I574" si="1528">IF(F574="Qty=",(E574*G574),((E574*(1-F574))*G574))</f>
        <v>0</v>
      </c>
      <c r="J574" s="592">
        <f>IF(H574="warranty",0,(I574*($J$1782)))</f>
        <v>0</v>
      </c>
      <c r="K574" s="834">
        <f t="shared" ref="K574" si="1529">I574+J574</f>
        <v>0</v>
      </c>
      <c r="L574" s="834"/>
      <c r="M574" s="832" t="str">
        <f>IF($H$1784=0,"",IF(G574=0,"",IF(F574="Qty=",CONCATENATE("$",ROUND(K574*(1-$H$1784),2)," with ",($H$1784*100),"% discount"),CONCATENATE("$",ROUND(K574*(1-$H$1784),2)," with ",(($H$1784*100+F574*100)-($H$1784*100*F574)),IF(F574&gt;0,"% discounts",IF($H$1781&gt;0,"% discounts","% discount"))))))</f>
        <v/>
      </c>
      <c r="N574" s="832"/>
      <c r="O574" s="832"/>
      <c r="P574" s="832"/>
      <c r="Q574" s="832"/>
      <c r="R574" s="832"/>
      <c r="S574" s="303">
        <f t="shared" ref="S574" si="1530">E574*G574</f>
        <v>0</v>
      </c>
      <c r="T574" s="541">
        <f>VLOOKUP(A574,'Discount Lookup'!D:E,2,FALSE)*G574</f>
        <v>0</v>
      </c>
      <c r="U574" s="83">
        <f>VLOOKUP(A574,'Discount Lookup'!G:H,2,FALSE)*G574</f>
        <v>0</v>
      </c>
      <c r="V574" s="100">
        <f>E574*($J$1782)*G574</f>
        <v>0</v>
      </c>
      <c r="W574" s="100">
        <f t="shared" ref="W574" si="1531">I574</f>
        <v>0</v>
      </c>
      <c r="X574" s="100" t="b">
        <f t="shared" ref="X574" si="1532">IF(G574&gt;0,IF(AD574="me","",G574))</f>
        <v>0</v>
      </c>
      <c r="Y574" s="201"/>
      <c r="Z574" s="829" t="str">
        <f t="shared" ref="Z574" si="1533">IF(G574=0,"",IF(AD574="me","",IF($AD$8="me","",IF(AD574="free","warranty",IF($AD$8="yes","NVP planting:","to NVP install:")))))</f>
        <v/>
      </c>
      <c r="AA574" s="829"/>
      <c r="AB574" s="830" t="str">
        <f>IF(G574=0,"",IF(AD574="free","re-planting",IF(AD574="me","not NVP, by",IF($AD$8="yes",(VLOOKUP(A574,'Discount Lookup'!J:K,2)*G574*(1-$AC$1786)*(1+$AC$1788)),IF(AD574="NVP",(VLOOKUP(A574,'Discount Lookup'!J:K,2)*G574*(1-$AC$1786)*(1+$AC$1788)),IF(AD574="free","re-planting",IF(G574=0,"",IF($AD$8="",IF(AD574="me","not NVP, by",IF(AD574="",IF(G574&gt;0,(VLOOKUP(A574,'Discount Lookup'!J:K,2)*G574*(1-$AC$1786)*(1+$AC$1788)),""),"")),"not NVP, by"))))))))</f>
        <v/>
      </c>
      <c r="AC574" s="830"/>
      <c r="AD574" s="375" t="str">
        <f t="shared" si="1516"/>
        <v/>
      </c>
      <c r="AE574" s="833" t="str">
        <f t="shared" ref="AE574" si="1534">IF(G574&gt;0,(CONCATENATE((G574)," quantity, ",(A574)," ",B574)),"")</f>
        <v/>
      </c>
      <c r="AF574" s="833"/>
      <c r="AG574" s="833"/>
      <c r="AH574" s="91">
        <f>IF(AD574="free",0,IF(AD574="me",0,IF(G574&gt;0,(VLOOKUP(A574,'Discount Lookup'!J:K,2)*G574),0)))</f>
        <v>0</v>
      </c>
      <c r="AI574" s="92" t="str">
        <f>IF(G574=0,"",IF(AD574="free",(K574*(1-$H$1784)),IF($AD$8="me",(K574*(1-$H$1784)),IF(AD574="me",(K574*(1-$H$1784)),(K574*(1-$H$1784))+AB574))))</f>
        <v/>
      </c>
      <c r="AJ574" s="828" t="str">
        <f t="shared" ref="AJ574" si="1535">IF(G574=0,"",IF(AD574="me","  delivery-only",IF($AD$8="me","  delivery-only",CONCATENATE(" $",ROUND(AI574/G574,2)," each"))))</f>
        <v/>
      </c>
      <c r="AK574" s="828"/>
      <c r="AL574" s="313" t="str">
        <f t="shared" si="1387"/>
        <v/>
      </c>
      <c r="AM574" s="312"/>
      <c r="AN574" s="101"/>
      <c r="AO574" s="101"/>
      <c r="AP574" s="101"/>
      <c r="AQ574" s="101"/>
      <c r="AR574" s="101"/>
      <c r="AS574" s="101"/>
      <c r="AT574" s="101"/>
    </row>
    <row r="575" spans="1:46" ht="12.95" customHeight="1">
      <c r="A575" s="477"/>
      <c r="B575" s="173" t="s">
        <v>1310</v>
      </c>
      <c r="C575" s="118"/>
      <c r="D575" s="118"/>
      <c r="E575" s="119"/>
      <c r="F575" s="711"/>
      <c r="G575" s="358"/>
      <c r="H575" s="745"/>
      <c r="I575" s="119"/>
      <c r="J575" s="119"/>
      <c r="K575" s="609"/>
      <c r="L575" s="609"/>
      <c r="M575" s="121"/>
      <c r="N575" s="122" t="s">
        <v>331</v>
      </c>
      <c r="O575" s="123"/>
      <c r="P575" s="124"/>
      <c r="W575" s="100"/>
      <c r="X575" s="100"/>
      <c r="Y575" s="201"/>
      <c r="Z575" s="829" t="str">
        <f>IF(G575=0,"",IF(AD575="me","",IF($AD$8="me","",IF(AD575="free","warranty",IF($AD$8="yes","NVP planting:","to NVP install:")))))</f>
        <v/>
      </c>
      <c r="AA575" s="829"/>
      <c r="AB575" s="830" t="str">
        <f>IF(G575=0,"",IF(AD575="free","re-planting",IF(AD575="me","not NVP, by",IF($AD$8="yes",(VLOOKUP(A575,'Discount Lookup'!J:K,2)*G575*(1-#REF!)*(1+$AC$1788)),IF(AD575="NVP",(VLOOKUP(A575,'Discount Lookup'!J:K,2)*G575*(1-#REF!)*(1+$AC$1788)),IF(AD575="free","re-planting",IF(G575=0,"",IF($AD$8="",IF(AD575="me","not NVP, by",IF(AD575="",IF(G575&gt;0,(VLOOKUP(A575,'Discount Lookup'!J:K,2)*G575*(1-#REF!)*(1+$AC$1788)),""),"")),"not NVP, by"))))))))</f>
        <v/>
      </c>
      <c r="AC575" s="830"/>
      <c r="AD575" s="375" t="str">
        <f t="shared" si="1516"/>
        <v/>
      </c>
      <c r="AE575" s="833" t="str">
        <f t="shared" si="1525"/>
        <v/>
      </c>
      <c r="AF575" s="833"/>
      <c r="AG575" s="833"/>
      <c r="AH575" s="91" t="str">
        <f>IF(AD575="free",0,IF(AD575="me","",IF(G575&gt;0,(VLOOKUP(A575,'Discount Lookup'!J:K,2)*G575),"")))</f>
        <v/>
      </c>
      <c r="AI575" s="92" t="str">
        <f>IF(AD575="free",(K575*(1-H1784)),IF(G575=0,"",IF($AD$8="",IF(G575=0,"",IF(AD575="me",(K575*(1-H1784)),(K575*(1-H1784))+AB575)),IF(K575="Images","",IF(K575=0,"",(K575*(1-H1784)))))))</f>
        <v/>
      </c>
      <c r="AJ575" s="828" t="str">
        <f t="shared" si="1526"/>
        <v/>
      </c>
      <c r="AK575" s="828"/>
      <c r="AL575" s="313" t="str">
        <f t="shared" si="1387"/>
        <v/>
      </c>
      <c r="AM575" s="312"/>
      <c r="AN575" s="101"/>
      <c r="AO575" s="101"/>
      <c r="AP575" s="101"/>
      <c r="AQ575" s="101"/>
      <c r="AR575" s="101"/>
      <c r="AS575" s="101"/>
      <c r="AT575" s="101"/>
    </row>
    <row r="576" spans="1:46" ht="12.95" customHeight="1">
      <c r="A576" s="894" t="s">
        <v>388</v>
      </c>
      <c r="B576" s="895"/>
      <c r="C576" s="895"/>
      <c r="D576" s="895"/>
      <c r="E576" s="895"/>
      <c r="F576" s="895"/>
      <c r="G576" s="895"/>
      <c r="H576" s="774" t="s">
        <v>167</v>
      </c>
      <c r="I576" s="164" t="s">
        <v>79</v>
      </c>
      <c r="J576" s="157"/>
      <c r="K576" s="611" t="s">
        <v>45</v>
      </c>
      <c r="L576" s="630" t="s">
        <v>46</v>
      </c>
      <c r="M576" s="157"/>
      <c r="N576" s="158" t="s">
        <v>69</v>
      </c>
      <c r="O576" s="158"/>
      <c r="P576" s="164"/>
      <c r="Q576" s="164"/>
      <c r="R576" s="157"/>
      <c r="S576" s="170"/>
      <c r="T576" s="547"/>
      <c r="U576" s="211"/>
      <c r="V576" s="100" t="b">
        <f>IF(G576&gt;0,IF(AD576="me","",G576))</f>
        <v>0</v>
      </c>
      <c r="W576" s="100"/>
      <c r="X576" s="100"/>
      <c r="Y576" s="201"/>
      <c r="Z576" s="829" t="str">
        <f t="shared" si="1393"/>
        <v/>
      </c>
      <c r="AA576" s="829"/>
      <c r="AB576" s="830" t="str">
        <f>IF(G576=0,"",IF(AD576="free","re-planting",IF(AD576="me","not NVP, by",IF($AD$8="yes",(VLOOKUP(A576,'Discount Lookup'!J:K,2)*G576*(1-$AC$1786)*(1+$AC$1788)),IF(AD576="NVP",(VLOOKUP(A576,'Discount Lookup'!J:K,2)*G576*(1-$AC$1786)*(1+$AC$1788)),IF(AD576="free","re-planting",IF(G576=0,"",IF($AD$8="",IF(AD576="me","not NVP, by",IF(AD576="",IF(G576&gt;0,(VLOOKUP(A576,'Discount Lookup'!J:K,2)*G576*(1-$AC$1786)*(1+$AC$1788)),""),"")),"not NVP, by"))))))))</f>
        <v/>
      </c>
      <c r="AC576" s="830"/>
      <c r="AD576" s="375" t="str">
        <f t="shared" si="1516"/>
        <v/>
      </c>
      <c r="AE576" s="833" t="str">
        <f t="shared" si="1417"/>
        <v/>
      </c>
      <c r="AF576" s="833"/>
      <c r="AG576" s="833"/>
      <c r="AH576" s="91">
        <f>IF(AD576="free",0,IF(AD576="me",0,IF(G576&gt;0,(VLOOKUP(A576,'Discount Lookup'!J:K,2)*G576),0)))</f>
        <v>0</v>
      </c>
      <c r="AI576" s="92" t="str">
        <f t="shared" ref="AI576:AI607" si="1536">IF(G576=0,"",IF(AD576="free",(K576*(1-$H$1784)),IF($AD$8="me",(K576*(1-$H$1784)),IF(AD576="me",(K576*(1-$H$1784)),(K576*(1-$H$1784))+AB576))))</f>
        <v/>
      </c>
      <c r="AJ576" s="828" t="str">
        <f t="shared" si="1394"/>
        <v/>
      </c>
      <c r="AK576" s="828"/>
      <c r="AL576" s="313" t="str">
        <f t="shared" si="1387"/>
        <v/>
      </c>
      <c r="AM576" s="312"/>
      <c r="AN576" s="101"/>
      <c r="AO576" s="101"/>
      <c r="AP576" s="101"/>
      <c r="AQ576" s="101"/>
      <c r="AR576" s="101"/>
      <c r="AS576" s="101"/>
      <c r="AT576" s="101"/>
    </row>
    <row r="577" spans="1:46" ht="12.95" customHeight="1">
      <c r="A577" s="383">
        <v>7</v>
      </c>
      <c r="B577" s="158" t="s">
        <v>50</v>
      </c>
      <c r="C577" s="160" t="s">
        <v>199</v>
      </c>
      <c r="D577" s="161" t="s">
        <v>54</v>
      </c>
      <c r="E577" s="162">
        <v>86.95</v>
      </c>
      <c r="F577" s="713" t="s">
        <v>1306</v>
      </c>
      <c r="G577" s="357">
        <v>0</v>
      </c>
      <c r="H577" s="748" t="str">
        <f t="shared" ref="H577" si="1537">IF(G577=0,"",IF(F577="Qty=",IF(G577=1,"plant","plants"),IF(F577&gt;0.0001,"warranty","Error")))</f>
        <v/>
      </c>
      <c r="I577" s="592">
        <f t="shared" ref="I577" si="1538">IF(F577="Qty=",(E577*G577),((E577*(1-F577))*G577))</f>
        <v>0</v>
      </c>
      <c r="J577" s="592">
        <f>IF(H577="warranty",0,(I577*($J$1782)))</f>
        <v>0</v>
      </c>
      <c r="K577" s="834">
        <f t="shared" ref="K577" si="1539">I577+J577</f>
        <v>0</v>
      </c>
      <c r="L577" s="834"/>
      <c r="M577" s="832" t="str">
        <f>IF($H$1784=0,"",IF(G577=0,"",IF(F577="Qty=",CONCATENATE("$",ROUND(K577*(1-$H$1784),2)," with ",($H$1784*100),"% discount"),CONCATENATE("$",ROUND(K577*(1-$H$1784),2)," with ",(($H$1784*100+F577*100)-($H$1784*100*F577)),IF(F577&gt;0,"% discounts",IF($H$1781&gt;0,"% discounts","% discount"))))))</f>
        <v/>
      </c>
      <c r="N577" s="832"/>
      <c r="O577" s="832"/>
      <c r="P577" s="832"/>
      <c r="Q577" s="832"/>
      <c r="R577" s="832"/>
      <c r="S577" s="303">
        <f t="shared" ref="S577" si="1540">E577*G577</f>
        <v>0</v>
      </c>
      <c r="T577" s="541">
        <f>VLOOKUP(A577,'Discount Lookup'!D:E,2,FALSE)*G577</f>
        <v>0</v>
      </c>
      <c r="U577" s="83">
        <f>VLOOKUP(A577,'Discount Lookup'!G:H,2,FALSE)*G577</f>
        <v>0</v>
      </c>
      <c r="V577" s="100">
        <f>E577*($J$1782)*G577</f>
        <v>0</v>
      </c>
      <c r="W577" s="100">
        <f t="shared" ref="W577" si="1541">I577</f>
        <v>0</v>
      </c>
      <c r="X577" s="100" t="b">
        <f>IF(G577&gt;0,IF(AD577="me","",G577))</f>
        <v>0</v>
      </c>
      <c r="Y577" s="201"/>
      <c r="Z577" s="829" t="str">
        <f t="shared" si="1393"/>
        <v/>
      </c>
      <c r="AA577" s="829"/>
      <c r="AB577" s="830" t="str">
        <f>IF(G577=0,"",IF(AD577="free","re-planting",IF(AD577="me","not NVP, by",IF($AD$8="yes",(VLOOKUP(A577,'Discount Lookup'!J:K,2)*G577*(1-$AC$1786)*(1+$AC$1788)),IF(AD577="NVP",(VLOOKUP(A577,'Discount Lookup'!J:K,2)*G577*(1-$AC$1786)*(1+$AC$1788)),IF(AD577="free","re-planting",IF(G577=0,"",IF($AD$8="",IF(AD577="me","not NVP, by",IF(AD577="",IF(G577&gt;0,(VLOOKUP(A577,'Discount Lookup'!J:K,2)*G577*(1-$AC$1786)*(1+$AC$1788)),""),"")),"not NVP, by"))))))))</f>
        <v/>
      </c>
      <c r="AC577" s="830"/>
      <c r="AD577" s="375" t="str">
        <f t="shared" si="1516"/>
        <v/>
      </c>
      <c r="AE577" s="833" t="str">
        <f t="shared" si="1417"/>
        <v/>
      </c>
      <c r="AF577" s="833"/>
      <c r="AG577" s="833"/>
      <c r="AH577" s="91">
        <f>IF(AD577="free",0,IF(AD577="me",0,IF(G577&gt;0,(VLOOKUP(A577,'Discount Lookup'!J:K,2)*G577),0)))</f>
        <v>0</v>
      </c>
      <c r="AI577" s="92" t="str">
        <f t="shared" si="1536"/>
        <v/>
      </c>
      <c r="AJ577" s="828" t="str">
        <f t="shared" si="1394"/>
        <v/>
      </c>
      <c r="AK577" s="828"/>
      <c r="AL577" s="313" t="str">
        <f t="shared" si="1387"/>
        <v/>
      </c>
      <c r="AM577" s="312"/>
      <c r="AN577" s="101"/>
      <c r="AO577" s="101"/>
      <c r="AP577" s="101"/>
      <c r="AQ577" s="101"/>
      <c r="AR577" s="101"/>
      <c r="AS577" s="101"/>
      <c r="AT577" s="101"/>
    </row>
    <row r="578" spans="1:46" ht="12.95" customHeight="1">
      <c r="A578" s="480"/>
      <c r="B578" s="173" t="s">
        <v>389</v>
      </c>
      <c r="C578" s="186"/>
      <c r="D578" s="186"/>
      <c r="E578" s="139"/>
      <c r="F578" s="711"/>
      <c r="G578" s="356"/>
      <c r="H578" s="745"/>
      <c r="I578" s="139"/>
      <c r="J578" s="139"/>
      <c r="K578" s="585"/>
      <c r="L578" s="585"/>
      <c r="M578" s="121"/>
      <c r="N578" s="122"/>
      <c r="O578" s="123"/>
      <c r="P578" s="124"/>
      <c r="Q578" s="124"/>
      <c r="R578" s="83"/>
      <c r="S578" s="82">
        <f>E578*G578</f>
        <v>0</v>
      </c>
      <c r="T578" s="540"/>
      <c r="U578" s="83"/>
      <c r="V578" s="100" t="b">
        <f>IF(G578&gt;0,IF(AD578="me","",G578))</f>
        <v>0</v>
      </c>
      <c r="W578" s="100"/>
      <c r="X578" s="100"/>
      <c r="Y578" s="201"/>
      <c r="Z578" s="829" t="str">
        <f t="shared" ref="Z578:Z634" si="1542">IF(G578=0,"",IF(AD578="me","",IF($AD$8="me","",IF(AD578="free","warranty",IF($AD$8="yes","NVP planting:","to NVP install:")))))</f>
        <v/>
      </c>
      <c r="AA578" s="829"/>
      <c r="AB578" s="830" t="str">
        <f>IF(G578=0,"",IF(AD578="free","re-planting",IF(AD578="me","not NVP, by",IF($AD$8="yes",(VLOOKUP(A578,'Discount Lookup'!J:K,2)*G578*(1-$AC$1786)*(1+$AC$1788)),IF(AD578="NVP",(VLOOKUP(A578,'Discount Lookup'!J:K,2)*G578*(1-$AC$1786)*(1+$AC$1788)),IF(AD578="free","re-planting",IF(G578=0,"",IF($AD$8="",IF(AD578="me","not NVP, by",IF(AD578="",IF(G578&gt;0,(VLOOKUP(A578,'Discount Lookup'!J:K,2)*G578*(1-$AC$1786)*(1+$AC$1788)),""),"")),"not NVP, by"))))))))</f>
        <v/>
      </c>
      <c r="AC578" s="830"/>
      <c r="AD578" s="375" t="str">
        <f t="shared" si="1516"/>
        <v/>
      </c>
      <c r="AE578" s="833" t="str">
        <f t="shared" si="1417"/>
        <v/>
      </c>
      <c r="AF578" s="833"/>
      <c r="AG578" s="833"/>
      <c r="AH578" s="91">
        <f>IF(AD578="free",0,IF(AD578="me",0,IF(G578&gt;0,(VLOOKUP(A578,'Discount Lookup'!J:K,2)*G578),0)))</f>
        <v>0</v>
      </c>
      <c r="AI578" s="92" t="str">
        <f t="shared" si="1536"/>
        <v/>
      </c>
      <c r="AJ578" s="828" t="str">
        <f t="shared" ref="AJ578:AJ634" si="1543">IF(G578=0,"",IF(AD578="me","  delivery-only",IF($AD$8="me","  delivery-only",CONCATENATE(" $",ROUND(AI578/G578,2)," each"))))</f>
        <v/>
      </c>
      <c r="AK578" s="828"/>
      <c r="AL578" s="313" t="str">
        <f t="shared" si="1387"/>
        <v/>
      </c>
      <c r="AM578" s="312"/>
      <c r="AN578" s="101"/>
      <c r="AO578" s="101"/>
      <c r="AP578" s="101"/>
      <c r="AQ578" s="101"/>
      <c r="AR578" s="101"/>
      <c r="AS578" s="101"/>
      <c r="AT578" s="101"/>
    </row>
    <row r="579" spans="1:46" ht="12.95" customHeight="1">
      <c r="A579" s="889" t="s">
        <v>390</v>
      </c>
      <c r="B579" s="890"/>
      <c r="C579" s="890"/>
      <c r="D579" s="890"/>
      <c r="E579" s="890"/>
      <c r="F579" s="890"/>
      <c r="G579" s="890"/>
      <c r="H579" s="775" t="s">
        <v>167</v>
      </c>
      <c r="I579" s="349" t="s">
        <v>280</v>
      </c>
      <c r="J579" s="157"/>
      <c r="K579" s="611" t="s">
        <v>45</v>
      </c>
      <c r="L579" s="630" t="s">
        <v>46</v>
      </c>
      <c r="M579" s="157"/>
      <c r="N579" s="158" t="s">
        <v>69</v>
      </c>
      <c r="O579" s="165"/>
      <c r="P579" s="165"/>
      <c r="Q579" s="165"/>
      <c r="R579" s="157"/>
      <c r="S579" s="170"/>
      <c r="T579" s="547"/>
      <c r="U579" s="171"/>
      <c r="V579" s="100" t="b">
        <f>IF(G579&gt;0,IF(AD579="me","",G579))</f>
        <v>0</v>
      </c>
      <c r="W579" s="100"/>
      <c r="X579" s="100"/>
      <c r="Y579" s="790"/>
      <c r="Z579" s="829" t="str">
        <f>IF(G579=0,"",IF(AD579="me","",IF($AD$8="me","",IF(AD579="free","warranty",IF($AD$8="yes","NVP planting:","to NVP install:")))))</f>
        <v/>
      </c>
      <c r="AA579" s="829"/>
      <c r="AB579" s="830" t="str">
        <f>IF(G579=0,"",IF(AD579="free","re-planting",IF(AD579="me","not NVP, by",IF($AD$8="yes",(VLOOKUP(A579,'Discount Lookup'!J:K,2)*G579*(1-$AC$1786)*(1+$AC$1788)),IF(AD579="NVP",(VLOOKUP(A579,'Discount Lookup'!J:K,2)*G579*(1-$AC$1786)*(1+$AC$1788)),IF(AD579="free","re-planting",IF(G579=0,"",IF($AD$8="",IF(AD579="me","not NVP, by",IF(AD579="",IF(G579&gt;0,(VLOOKUP(A579,'Discount Lookup'!J:K,2)*G579*(1-$AC$1786)*(1+$AC$1788)),""),"")),"not NVP, by"))))))))</f>
        <v/>
      </c>
      <c r="AC579" s="830"/>
      <c r="AD579" s="375" t="str">
        <f>IF(G579=0,"",IF($AD$8="me","me",IF(H579="warranty","free",IF($AD$8="yes","NVP",""))))</f>
        <v/>
      </c>
      <c r="AE579" s="833" t="str">
        <f>IF(G579&gt;0,(CONCATENATE((G579)," quantity, ",(A579)," ",B579)),"")</f>
        <v/>
      </c>
      <c r="AF579" s="833"/>
      <c r="AG579" s="833"/>
      <c r="AH579" s="91">
        <f>IF(AD579="free",0,IF(AD579="me",0,IF(G579&gt;0,(VLOOKUP(A579,'Discount Lookup'!J:K,2)*G579),0)))</f>
        <v>0</v>
      </c>
      <c r="AI579" s="92" t="str">
        <f t="shared" si="1536"/>
        <v/>
      </c>
      <c r="AJ579" s="828" t="str">
        <f>IF(G579=0,"",IF(AD579="me","  delivery-only",IF($AD$8="me","  delivery-only",CONCATENATE(" $",ROUND(AI579/G579,2)," each"))))</f>
        <v/>
      </c>
      <c r="AK579" s="828"/>
      <c r="AL579" s="313" t="str">
        <f t="shared" si="1387"/>
        <v/>
      </c>
      <c r="AM579" s="312"/>
      <c r="AN579" s="101"/>
      <c r="AO579" s="101"/>
      <c r="AP579" s="101"/>
      <c r="AQ579" s="101"/>
      <c r="AR579" s="101"/>
      <c r="AS579" s="101"/>
      <c r="AT579" s="101"/>
    </row>
    <row r="580" spans="1:46" ht="12.95" customHeight="1">
      <c r="A580" s="383">
        <v>20</v>
      </c>
      <c r="B580" s="158" t="s">
        <v>50</v>
      </c>
      <c r="C580" s="172" t="s">
        <v>1289</v>
      </c>
      <c r="D580" s="161" t="s">
        <v>62</v>
      </c>
      <c r="E580" s="162">
        <v>224.95</v>
      </c>
      <c r="F580" s="713" t="s">
        <v>1306</v>
      </c>
      <c r="G580" s="357">
        <v>0</v>
      </c>
      <c r="H580" s="748" t="str">
        <f t="shared" ref="H580" si="1544">IF(G580=0,"",IF(F580="Qty=",IF(G580=1,"plant","plants"),IF(F580&gt;0.0001,"warranty","Error")))</f>
        <v/>
      </c>
      <c r="I580" s="592">
        <f t="shared" ref="I580" si="1545">IF(F580="Qty=",(E580*G580),((E580*(1-F580))*G580))</f>
        <v>0</v>
      </c>
      <c r="J580" s="592">
        <f>IF(H580="warranty",0,(I580*($J$1782)))</f>
        <v>0</v>
      </c>
      <c r="K580" s="834">
        <f t="shared" ref="K580" si="1546">I580+J580</f>
        <v>0</v>
      </c>
      <c r="L580" s="834"/>
      <c r="M580" s="832" t="str">
        <f>IF($H$1784=0,"",IF(G580=0,"",IF(F580="Qty=",CONCATENATE("$",ROUND(K580*(1-$H$1784),2)," with ",($H$1784*100),"% discount"),CONCATENATE("$",ROUND(K580*(1-$H$1784),2)," with ",(($H$1784*100+F580*100)-($H$1784*100*F580)),IF(F580&gt;0,"% discounts",IF($H$1781&gt;0,"% discounts","% discount"))))))</f>
        <v/>
      </c>
      <c r="N580" s="832"/>
      <c r="O580" s="832"/>
      <c r="P580" s="832"/>
      <c r="Q580" s="832"/>
      <c r="R580" s="832"/>
      <c r="S580" s="303">
        <f t="shared" ref="S580" si="1547">E580*G580</f>
        <v>0</v>
      </c>
      <c r="T580" s="541">
        <f>VLOOKUP(A580,'Discount Lookup'!D:E,2,FALSE)*G580</f>
        <v>0</v>
      </c>
      <c r="U580" s="83">
        <f>VLOOKUP(A580,'Discount Lookup'!G:H,2,FALSE)*G580</f>
        <v>0</v>
      </c>
      <c r="V580" s="100">
        <f>E580*($J$1782)*G580</f>
        <v>0</v>
      </c>
      <c r="W580" s="100">
        <f t="shared" ref="W580" si="1548">I580</f>
        <v>0</v>
      </c>
      <c r="X580" s="100" t="b">
        <f>IF(G580&gt;0,IF(AD580="me","",G580))</f>
        <v>0</v>
      </c>
      <c r="Y580" s="790"/>
      <c r="Z580" s="829" t="str">
        <f t="shared" ref="Z580" si="1549">IF(G580=0,"",IF(AD580="me","",IF($AD$8="me","",IF(AD580="free","warranty",IF($AD$8="yes","NVP planting:","to NVP install:")))))</f>
        <v/>
      </c>
      <c r="AA580" s="829"/>
      <c r="AB580" s="830" t="str">
        <f>IF(G580=0,"",IF(AD580="free","re-planting",IF(AD580="me","not NVP, by",IF($AD$8="yes",(VLOOKUP(A580,'Discount Lookup'!J:K,2)*G580*(1-$AC$1786)*(1+$AC$1788)),IF(AD580="NVP",(VLOOKUP(A580,'Discount Lookup'!J:K,2)*G580*(1-$AC$1786)*(1+$AC$1788)),IF(AD580="free","re-planting",IF(G580=0,"",IF($AD$8="",IF(AD580="me","not NVP, by",IF(AD580="",IF(G580&gt;0,(VLOOKUP(A580,'Discount Lookup'!J:K,2)*G580*(1-$AC$1786)*(1+$AC$1788)),""),"")),"not NVP, by"))))))))</f>
        <v/>
      </c>
      <c r="AC580" s="830"/>
      <c r="AD580" s="375" t="str">
        <f>IF(G580=0,"",IF($AD$8="me","me",IF(H580="warranty","free",IF($AD$8="yes","NVP",""))))</f>
        <v/>
      </c>
      <c r="AE580" s="833" t="str">
        <f>IF(G580&gt;0,(CONCATENATE((G580)," quantity, ",(A580)," ",B580)),"")</f>
        <v/>
      </c>
      <c r="AF580" s="833"/>
      <c r="AG580" s="833"/>
      <c r="AH580" s="91">
        <f>IF(AD580="free",0,IF(AD580="me",0,IF(G580&gt;0,(VLOOKUP(A580,'Discount Lookup'!J:K,2)*G580),0)))</f>
        <v>0</v>
      </c>
      <c r="AI580" s="92" t="str">
        <f t="shared" si="1536"/>
        <v/>
      </c>
      <c r="AJ580" s="828" t="str">
        <f t="shared" ref="AJ580" si="1550">IF(G580=0,"",IF(AD580="me","  delivery-only",IF($AD$8="me","  delivery-only",CONCATENATE(" $",ROUND(AI580/G580,2)," each"))))</f>
        <v/>
      </c>
      <c r="AK580" s="828"/>
      <c r="AL580" s="313" t="str">
        <f t="shared" si="1387"/>
        <v/>
      </c>
      <c r="AM580" s="312"/>
      <c r="AN580" s="101"/>
      <c r="AO580" s="101"/>
      <c r="AP580" s="101"/>
      <c r="AQ580" s="101"/>
      <c r="AR580" s="101"/>
      <c r="AS580" s="101"/>
      <c r="AT580" s="101"/>
    </row>
    <row r="581" spans="1:46" ht="12.95" customHeight="1">
      <c r="A581" s="480"/>
      <c r="B581" s="173" t="s">
        <v>391</v>
      </c>
      <c r="C581" s="186"/>
      <c r="D581" s="186"/>
      <c r="E581" s="139"/>
      <c r="F581" s="711"/>
      <c r="G581" s="356"/>
      <c r="H581" s="745"/>
      <c r="I581" s="139"/>
      <c r="J581" s="139"/>
      <c r="K581" s="585"/>
      <c r="L581" s="585"/>
      <c r="M581" s="121"/>
      <c r="N581" s="145"/>
      <c r="O581" s="123"/>
      <c r="P581" s="124"/>
      <c r="Q581" s="124"/>
      <c r="R581" s="83"/>
      <c r="S581" s="82"/>
      <c r="T581" s="540"/>
      <c r="U581" s="83"/>
      <c r="V581" s="100" t="b">
        <f>IF(G581&gt;0,IF(AD581="me","",G581))</f>
        <v>0</v>
      </c>
      <c r="W581" s="100"/>
      <c r="X581" s="100"/>
      <c r="Y581" s="790"/>
      <c r="Z581" s="829" t="str">
        <f>IF(G581=0,"",IF(AD581="me","",IF($AD$8="me","",IF(AD581="free","warranty",IF($AD$8="yes","NVP planting:","to NVP install:")))))</f>
        <v/>
      </c>
      <c r="AA581" s="829"/>
      <c r="AB581" s="830" t="str">
        <f>IF(G581=0,"",IF(AD581="free","re-planting",IF(AD581="me","not NVP, by",IF($AD$8="yes",(VLOOKUP(A581,'Discount Lookup'!J:K,2)*G581*(1-$AC$1786)*(1+$AC$1788)),IF(AD581="NVP",(VLOOKUP(A581,'Discount Lookup'!J:K,2)*G581*(1-$AC$1786)*(1+$AC$1788)),IF(AD581="free","re-planting",IF(G581=0,"",IF($AD$8="",IF(AD581="me","not NVP, by",IF(AD581="",IF(G581&gt;0,(VLOOKUP(A581,'Discount Lookup'!J:K,2)*G581*(1-$AC$1786)*(1+$AC$1788)),""),"")),"not NVP, by"))))))))</f>
        <v/>
      </c>
      <c r="AC581" s="830"/>
      <c r="AD581" s="375" t="str">
        <f>IF(G581=0,"",IF($AD$8="me","me",IF(H581="warranty","free",IF($AD$8="yes","NVP",""))))</f>
        <v/>
      </c>
      <c r="AE581" s="833" t="str">
        <f>IF(G581&gt;0,(CONCATENATE((G581)," quantity, ",(A581)," ",B581)),"")</f>
        <v/>
      </c>
      <c r="AF581" s="833"/>
      <c r="AG581" s="833"/>
      <c r="AH581" s="91">
        <f>IF(AD581="free",0,IF(AD581="me",0,IF(G581&gt;0,(VLOOKUP(A581,'Discount Lookup'!J:K,2)*G581),0)))</f>
        <v>0</v>
      </c>
      <c r="AI581" s="92" t="str">
        <f t="shared" si="1536"/>
        <v/>
      </c>
      <c r="AJ581" s="828" t="str">
        <f>IF(G581=0,"",IF(AD581="me","  delivery-only",IF($AD$8="me","  delivery-only",CONCATENATE(" $",ROUND(AI581/G581,2)," each"))))</f>
        <v/>
      </c>
      <c r="AK581" s="828"/>
      <c r="AL581" s="313" t="str">
        <f t="shared" si="1387"/>
        <v/>
      </c>
      <c r="AM581" s="312"/>
      <c r="AN581" s="101"/>
      <c r="AO581" s="101"/>
      <c r="AP581" s="101"/>
      <c r="AQ581" s="101"/>
      <c r="AR581" s="101"/>
      <c r="AS581" s="101"/>
      <c r="AT581" s="101"/>
    </row>
    <row r="582" spans="1:46" ht="12.95" customHeight="1">
      <c r="A582" s="889" t="s">
        <v>392</v>
      </c>
      <c r="B582" s="890"/>
      <c r="C582" s="890"/>
      <c r="D582" s="890"/>
      <c r="E582" s="890"/>
      <c r="F582" s="890"/>
      <c r="G582" s="890"/>
      <c r="H582" s="774" t="s">
        <v>178</v>
      </c>
      <c r="I582" s="349" t="s">
        <v>280</v>
      </c>
      <c r="J582" s="157"/>
      <c r="K582" s="611" t="s">
        <v>45</v>
      </c>
      <c r="L582" s="630" t="s">
        <v>46</v>
      </c>
      <c r="M582" s="157"/>
      <c r="N582" s="158" t="s">
        <v>69</v>
      </c>
      <c r="O582" s="158"/>
      <c r="P582" s="164"/>
      <c r="Q582" s="164"/>
      <c r="R582" s="157"/>
      <c r="S582" s="170"/>
      <c r="T582" s="547"/>
      <c r="U582" s="171"/>
      <c r="V582" s="100" t="b">
        <f>IF(G582&gt;0,IF(AD582="me","",G582))</f>
        <v>0</v>
      </c>
      <c r="W582" s="100"/>
      <c r="X582" s="100"/>
      <c r="Y582" s="201"/>
      <c r="Z582" s="829" t="str">
        <f t="shared" si="1542"/>
        <v/>
      </c>
      <c r="AA582" s="829"/>
      <c r="AB582" s="830" t="str">
        <f>IF(G582=0,"",IF(AD582="free","re-planting",IF(AD582="me","not NVP, by",IF($AD$8="yes",(VLOOKUP(A582,'Discount Lookup'!J:K,2)*G582*(1-$AC$1786)*(1+$AC$1788)),IF(AD582="NVP",(VLOOKUP(A582,'Discount Lookup'!J:K,2)*G582*(1-$AC$1786)*(1+$AC$1788)),IF(AD582="free","re-planting",IF(G582=0,"",IF($AD$8="",IF(AD582="me","not NVP, by",IF(AD582="",IF(G582&gt;0,(VLOOKUP(A582,'Discount Lookup'!J:K,2)*G582*(1-$AC$1786)*(1+$AC$1788)),""),"")),"not NVP, by"))))))))</f>
        <v/>
      </c>
      <c r="AC582" s="830"/>
      <c r="AD582" s="375" t="str">
        <f t="shared" si="1516"/>
        <v/>
      </c>
      <c r="AE582" s="833" t="str">
        <f t="shared" si="1417"/>
        <v/>
      </c>
      <c r="AF582" s="833"/>
      <c r="AG582" s="833"/>
      <c r="AH582" s="91">
        <f>IF(AD582="free",0,IF(AD582="me",0,IF(G582&gt;0,(VLOOKUP(A582,'Discount Lookup'!J:K,2)*G582),0)))</f>
        <v>0</v>
      </c>
      <c r="AI582" s="92" t="str">
        <f t="shared" si="1536"/>
        <v/>
      </c>
      <c r="AJ582" s="828" t="str">
        <f t="shared" si="1543"/>
        <v/>
      </c>
      <c r="AK582" s="828"/>
      <c r="AL582" s="313" t="str">
        <f t="shared" si="1387"/>
        <v/>
      </c>
      <c r="AM582" s="312"/>
      <c r="AN582" s="101"/>
      <c r="AO582" s="101"/>
      <c r="AP582" s="101"/>
      <c r="AQ582" s="101"/>
      <c r="AR582" s="101"/>
      <c r="AS582" s="101"/>
      <c r="AT582" s="101"/>
    </row>
    <row r="583" spans="1:46" ht="12.95" customHeight="1">
      <c r="A583" s="405">
        <v>25</v>
      </c>
      <c r="B583" s="408" t="s">
        <v>50</v>
      </c>
      <c r="C583" s="406" t="s">
        <v>1582</v>
      </c>
      <c r="D583" s="406" t="s">
        <v>54</v>
      </c>
      <c r="E583" s="407">
        <v>299.95</v>
      </c>
      <c r="F583" s="713" t="s">
        <v>1306</v>
      </c>
      <c r="G583" s="357">
        <v>0</v>
      </c>
      <c r="H583" s="748" t="str">
        <f t="shared" ref="H583" si="1551">IF(G583=0,"",IF(F583="Qty=",IF(G583=1,"plant","plants"),IF(F583&gt;0.0001,"warranty","Error")))</f>
        <v/>
      </c>
      <c r="I583" s="592">
        <f t="shared" ref="I583" si="1552">IF(F583="Qty=",(E583*G583),((E583*(1-F583))*G583))</f>
        <v>0</v>
      </c>
      <c r="J583" s="592">
        <f>IF(H583="warranty",0,(I583*($J$1782)))</f>
        <v>0</v>
      </c>
      <c r="K583" s="834">
        <f t="shared" ref="K583" si="1553">I583+J583</f>
        <v>0</v>
      </c>
      <c r="L583" s="834"/>
      <c r="M583" s="832" t="str">
        <f>IF($H$1784=0,"",IF(G583=0,"",IF(F583="Qty=",CONCATENATE("$",ROUND(K583*(1-$H$1784),2)," with ",($H$1784*100),"% discount"),CONCATENATE("$",ROUND(K583*(1-$H$1784),2)," with ",(($H$1784*100+F583*100)-($H$1784*100*F583)),IF(F583&gt;0,"% discounts",IF($H$1781&gt;0,"% discounts","% discount"))))))</f>
        <v/>
      </c>
      <c r="N583" s="832"/>
      <c r="O583" s="832"/>
      <c r="P583" s="832"/>
      <c r="Q583" s="832"/>
      <c r="R583" s="832"/>
      <c r="S583" s="303">
        <f t="shared" ref="S583" si="1554">E583*G583</f>
        <v>0</v>
      </c>
      <c r="T583" s="541">
        <f>VLOOKUP(A583,'Discount Lookup'!D:E,2,FALSE)*G583</f>
        <v>0</v>
      </c>
      <c r="U583" s="83">
        <f>VLOOKUP(A583,'Discount Lookup'!G:H,2,FALSE)*G583</f>
        <v>0</v>
      </c>
      <c r="V583" s="100">
        <f>E583*($J$1782)*G583</f>
        <v>0</v>
      </c>
      <c r="W583" s="100">
        <f t="shared" ref="W583" si="1555">I583</f>
        <v>0</v>
      </c>
      <c r="X583" s="100" t="b">
        <f>IF(G583&gt;0,IF(AD583="me","",G583))</f>
        <v>0</v>
      </c>
      <c r="Y583" s="201"/>
      <c r="Z583" s="829" t="str">
        <f t="shared" si="1542"/>
        <v/>
      </c>
      <c r="AA583" s="829"/>
      <c r="AB583" s="830" t="str">
        <f>IF(G583=0,"",IF(AD583="free","re-planting",IF(AD583="me","not NVP, by",IF($AD$8="yes",(VLOOKUP(A583,'Discount Lookup'!J:K,2)*G583*(1-$AC$1786)*(1+$AC$1788)),IF(AD583="NVP",(VLOOKUP(A583,'Discount Lookup'!J:K,2)*G583*(1-$AC$1786)*(1+$AC$1788)),IF(AD583="free","re-planting",IF(G583=0,"",IF($AD$8="",IF(AD583="me","not NVP, by",IF(AD583="",IF(G583&gt;0,(VLOOKUP(A583,'Discount Lookup'!J:K,2)*G583*(1-$AC$1786)*(1+$AC$1788)),""),"")),"not NVP, by"))))))))</f>
        <v/>
      </c>
      <c r="AC583" s="830"/>
      <c r="AD583" s="375" t="str">
        <f t="shared" si="1516"/>
        <v/>
      </c>
      <c r="AE583" s="833" t="str">
        <f t="shared" si="1417"/>
        <v/>
      </c>
      <c r="AF583" s="833"/>
      <c r="AG583" s="833"/>
      <c r="AH583" s="91">
        <f>IF(AD583="free",0,IF(AD583="me",0,IF(G583&gt;0,(VLOOKUP(A583,'Discount Lookup'!J:K,2)*G583),0)))</f>
        <v>0</v>
      </c>
      <c r="AI583" s="92" t="str">
        <f t="shared" si="1536"/>
        <v/>
      </c>
      <c r="AJ583" s="828" t="str">
        <f t="shared" si="1543"/>
        <v/>
      </c>
      <c r="AK583" s="828"/>
      <c r="AL583" s="313" t="str">
        <f t="shared" si="1387"/>
        <v/>
      </c>
      <c r="AM583" s="312"/>
      <c r="AN583" s="101"/>
      <c r="AO583" s="101"/>
      <c r="AP583" s="101"/>
      <c r="AQ583" s="101"/>
      <c r="AR583" s="101"/>
      <c r="AS583" s="101"/>
      <c r="AT583" s="101"/>
    </row>
    <row r="584" spans="1:46" ht="12.95" customHeight="1">
      <c r="A584" s="472"/>
      <c r="B584" s="173" t="s">
        <v>393</v>
      </c>
      <c r="C584" s="187"/>
      <c r="D584" s="187"/>
      <c r="E584" s="188"/>
      <c r="G584" s="356"/>
      <c r="H584" s="745"/>
      <c r="I584" s="119"/>
      <c r="J584" s="119"/>
      <c r="K584" s="609"/>
      <c r="L584" s="609"/>
      <c r="M584" s="121"/>
      <c r="N584" s="121"/>
      <c r="O584" s="123"/>
      <c r="P584" s="124"/>
      <c r="Q584" s="841" t="s">
        <v>125</v>
      </c>
      <c r="R584" s="841"/>
      <c r="S584" s="841"/>
      <c r="T584" s="841"/>
      <c r="U584" s="841"/>
      <c r="V584" s="841"/>
      <c r="Y584" s="132"/>
      <c r="Z584" s="829" t="str">
        <f t="shared" si="1542"/>
        <v/>
      </c>
      <c r="AA584" s="829"/>
      <c r="AB584" s="830" t="str">
        <f>IF(G584=0,"",IF(AD584="free","re-planting",IF(AD584="me","not NVP, by",IF($AD$8="yes",(VLOOKUP(A584,'Discount Lookup'!J:K,2)*G584*(1-$AC$1786)*(1+$AC$1788)),IF(AD584="NVP",(VLOOKUP(A584,'Discount Lookup'!J:K,2)*G584*(1-$AC$1786)*(1+$AC$1788)),IF(AD584="free","re-planting",IF(G584=0,"",IF($AD$8="",IF(AD584="me","not NVP, by",IF(AD584="",IF(G584&gt;0,(VLOOKUP(A584,'Discount Lookup'!J:K,2)*G584*(1-$AC$1786)*(1+$AC$1788)),""),"")),"not NVP, by"))))))))</f>
        <v/>
      </c>
      <c r="AC584" s="830"/>
      <c r="AD584" s="375" t="str">
        <f t="shared" si="1516"/>
        <v/>
      </c>
      <c r="AE584" s="833" t="str">
        <f t="shared" si="1417"/>
        <v/>
      </c>
      <c r="AF584" s="833"/>
      <c r="AG584" s="833"/>
      <c r="AH584" s="91">
        <f>IF(AD584="free",0,IF(AD584="me",0,IF(G584&gt;0,(VLOOKUP(A584,'Discount Lookup'!J:K,2)*G584),0)))</f>
        <v>0</v>
      </c>
      <c r="AI584" s="92" t="str">
        <f t="shared" si="1536"/>
        <v/>
      </c>
      <c r="AJ584" s="828" t="str">
        <f t="shared" si="1543"/>
        <v/>
      </c>
      <c r="AK584" s="828"/>
      <c r="AL584" s="313" t="str">
        <f t="shared" si="1387"/>
        <v/>
      </c>
      <c r="AM584" s="312"/>
      <c r="AN584" s="101"/>
      <c r="AO584" s="101"/>
      <c r="AP584" s="101"/>
      <c r="AQ584" s="101"/>
      <c r="AR584" s="101"/>
      <c r="AS584" s="101"/>
      <c r="AT584" s="101"/>
    </row>
    <row r="585" spans="1:46" ht="12.95" customHeight="1">
      <c r="A585" s="899" t="s">
        <v>1008</v>
      </c>
      <c r="B585" s="895"/>
      <c r="C585" s="895"/>
      <c r="D585" s="895"/>
      <c r="E585" s="895"/>
      <c r="F585" s="895"/>
      <c r="G585" s="895"/>
      <c r="H585" s="774" t="s">
        <v>180</v>
      </c>
      <c r="I585" s="164" t="s">
        <v>79</v>
      </c>
      <c r="J585" s="157"/>
      <c r="K585" s="611" t="s">
        <v>45</v>
      </c>
      <c r="L585" s="630" t="s">
        <v>46</v>
      </c>
      <c r="M585" s="157"/>
      <c r="N585" s="158" t="s">
        <v>69</v>
      </c>
      <c r="O585" s="158"/>
      <c r="P585" s="164"/>
      <c r="Q585" s="164"/>
      <c r="R585" s="157"/>
      <c r="S585" s="170"/>
      <c r="T585" s="547"/>
      <c r="U585" s="171"/>
      <c r="V585" s="100" t="b">
        <f>IF(G585&gt;0,IF(AD585="me","",G585))</f>
        <v>0</v>
      </c>
      <c r="W585" s="100"/>
      <c r="X585" s="100"/>
      <c r="Y585" s="201"/>
      <c r="Z585" s="829" t="str">
        <f t="shared" si="1542"/>
        <v/>
      </c>
      <c r="AA585" s="829"/>
      <c r="AB585" s="830" t="str">
        <f>IF(G585=0,"",IF(AD585="free","re-planting",IF(AD585="me","not NVP, by",IF($AD$8="yes",(VLOOKUP(A585,'Discount Lookup'!J:K,2)*G585*(1-$AC$1786)*(1+$AC$1788)),IF(AD585="NVP",(VLOOKUP(A585,'Discount Lookup'!J:K,2)*G585*(1-$AC$1786)*(1+$AC$1788)),IF(AD585="free","re-planting",IF(G585=0,"",IF($AD$8="",IF(AD585="me","not NVP, by",IF(AD585="",IF(G585&gt;0,(VLOOKUP(A585,'Discount Lookup'!J:K,2)*G585*(1-$AC$1786)*(1+$AC$1788)),""),"")),"not NVP, by"))))))))</f>
        <v/>
      </c>
      <c r="AC585" s="830"/>
      <c r="AD585" s="375" t="str">
        <f t="shared" si="1516"/>
        <v/>
      </c>
      <c r="AE585" s="833" t="str">
        <f>IF(G585&gt;0,(CONCATENATE((G585)," quantity, ",(A585)," ",B585)),"")</f>
        <v/>
      </c>
      <c r="AF585" s="833"/>
      <c r="AG585" s="833"/>
      <c r="AH585" s="91" t="s">
        <v>109</v>
      </c>
      <c r="AI585" s="92" t="str">
        <f t="shared" si="1536"/>
        <v/>
      </c>
      <c r="AJ585" s="828" t="str">
        <f t="shared" si="1543"/>
        <v/>
      </c>
      <c r="AK585" s="828"/>
      <c r="AL585" s="313" t="str">
        <f t="shared" si="1387"/>
        <v/>
      </c>
      <c r="AM585" s="312"/>
      <c r="AN585" s="101"/>
      <c r="AO585" s="101"/>
      <c r="AP585" s="101"/>
      <c r="AQ585" s="101"/>
      <c r="AR585" s="101"/>
      <c r="AS585" s="101"/>
      <c r="AT585" s="101"/>
    </row>
    <row r="586" spans="1:46" ht="12.95" customHeight="1">
      <c r="A586" s="448">
        <v>15</v>
      </c>
      <c r="B586" s="158" t="s">
        <v>50</v>
      </c>
      <c r="C586" s="160" t="s">
        <v>1317</v>
      </c>
      <c r="D586" s="161" t="s">
        <v>54</v>
      </c>
      <c r="E586" s="162">
        <v>178.95</v>
      </c>
      <c r="F586" s="713" t="s">
        <v>1306</v>
      </c>
      <c r="G586" s="357">
        <v>0</v>
      </c>
      <c r="H586" s="748" t="str">
        <f t="shared" ref="H586" si="1556">IF(G586=0,"",IF(F586="Qty=",IF(G586=1,"plant","plants"),IF(F586&gt;0.0001,"warranty","Error")))</f>
        <v/>
      </c>
      <c r="I586" s="592">
        <f t="shared" ref="I586" si="1557">IF(F586="Qty=",(E586*G586),((E586*(1-F586))*G586))</f>
        <v>0</v>
      </c>
      <c r="J586" s="592">
        <f>IF(H586="warranty",0,(I586*($J$1782)))</f>
        <v>0</v>
      </c>
      <c r="K586" s="834">
        <f t="shared" ref="K586" si="1558">I586+J586</f>
        <v>0</v>
      </c>
      <c r="L586" s="834"/>
      <c r="M586" s="832" t="str">
        <f>IF($H$1784=0,"",IF(G586=0,"",IF(F586="Qty=",CONCATENATE("$",ROUND(K586*(1-$H$1784),2)," with ",($H$1784*100),"% discount"),CONCATENATE("$",ROUND(K586*(1-$H$1784),2)," with ",(($H$1784*100+F586*100)-($H$1784*100*F586)),IF(F586&gt;0,"% discounts",IF($H$1781&gt;0,"% discounts","% discount"))))))</f>
        <v/>
      </c>
      <c r="N586" s="832"/>
      <c r="O586" s="832"/>
      <c r="P586" s="832"/>
      <c r="Q586" s="832"/>
      <c r="R586" s="832"/>
      <c r="S586" s="303">
        <f t="shared" ref="S586" si="1559">E586*G586</f>
        <v>0</v>
      </c>
      <c r="T586" s="541">
        <f>VLOOKUP(A586,'Discount Lookup'!D:E,2,FALSE)*G586</f>
        <v>0</v>
      </c>
      <c r="U586" s="83">
        <f>VLOOKUP(A586,'Discount Lookup'!G:H,2,FALSE)*G586</f>
        <v>0</v>
      </c>
      <c r="V586" s="100">
        <f>E586*($J$1782)*G586</f>
        <v>0</v>
      </c>
      <c r="W586" s="100">
        <f t="shared" ref="W586" si="1560">I586</f>
        <v>0</v>
      </c>
      <c r="X586" s="100" t="b">
        <f>IF(G586&gt;0,IF(AD586="me","",G586))</f>
        <v>0</v>
      </c>
      <c r="Y586" s="201"/>
      <c r="Z586" s="829" t="str">
        <f t="shared" si="1542"/>
        <v/>
      </c>
      <c r="AA586" s="829"/>
      <c r="AB586" s="830" t="str">
        <f>IF(G586=0,"",IF(AD586="free","re-planting",IF(AD586="me","not NVP, by",IF($AD$8="yes",(VLOOKUP(A586,'Discount Lookup'!J:K,2)*G586*(1-$AC$1786)*(1+$AC$1788)),IF(AD586="NVP",(VLOOKUP(A586,'Discount Lookup'!J:K,2)*G586*(1-$AC$1786)*(1+$AC$1788)),IF(AD586="free","re-planting",IF(G586=0,"",IF($AD$8="",IF(AD586="me","not NVP, by",IF(AD586="",IF(G586&gt;0,(VLOOKUP(A586,'Discount Lookup'!J:K,2)*G586*(1-$AC$1786)*(1+$AC$1788)),""),"")),"not NVP, by"))))))))</f>
        <v/>
      </c>
      <c r="AC586" s="830"/>
      <c r="AD586" s="375" t="str">
        <f t="shared" si="1516"/>
        <v/>
      </c>
      <c r="AE586" s="833" t="str">
        <f>IF(G586&gt;0,(CONCATENATE((G586)," quantity, ",(A586)," ",B586)),"")</f>
        <v/>
      </c>
      <c r="AF586" s="833"/>
      <c r="AG586" s="833"/>
      <c r="AH586" s="91" t="str">
        <f>IF(AD586="free",0,IF(AD586="me","",IF(G586&gt;0,(VLOOKUP(A586,'Discount Lookup'!J:K,2)*G586),"")))</f>
        <v/>
      </c>
      <c r="AI586" s="92" t="str">
        <f t="shared" si="1536"/>
        <v/>
      </c>
      <c r="AJ586" s="828" t="str">
        <f t="shared" si="1543"/>
        <v/>
      </c>
      <c r="AK586" s="828"/>
      <c r="AL586" s="313" t="str">
        <f t="shared" si="1387"/>
        <v/>
      </c>
      <c r="AM586" s="312"/>
      <c r="AN586" s="101"/>
      <c r="AO586" s="101"/>
      <c r="AP586" s="101"/>
      <c r="AQ586" s="101"/>
      <c r="AR586" s="101"/>
      <c r="AS586" s="101"/>
      <c r="AT586" s="101"/>
    </row>
    <row r="587" spans="1:46" ht="12.95" customHeight="1">
      <c r="A587" s="507"/>
      <c r="B587" s="148" t="s">
        <v>1009</v>
      </c>
      <c r="D587" s="118"/>
      <c r="E587" s="119"/>
      <c r="G587" s="358"/>
      <c r="H587" s="746"/>
      <c r="I587" s="118"/>
      <c r="M587" s="139"/>
      <c r="N587" s="122" t="s">
        <v>1010</v>
      </c>
      <c r="O587" s="123"/>
      <c r="P587" s="124"/>
      <c r="Q587" s="124"/>
      <c r="R587" s="83"/>
      <c r="S587" s="82"/>
      <c r="T587" s="540"/>
      <c r="U587" s="83"/>
      <c r="V587" s="100" t="b">
        <f>IF(G587&gt;0,IF(AD587="me","",G587))</f>
        <v>0</v>
      </c>
      <c r="W587" s="100"/>
      <c r="X587" s="100"/>
      <c r="Y587" s="201"/>
      <c r="Z587" s="829" t="str">
        <f t="shared" si="1542"/>
        <v/>
      </c>
      <c r="AA587" s="829"/>
      <c r="AB587" s="830" t="str">
        <f>IF(G587=0,"",IF(AD587="free","re-planting",IF(AD587="me","not NVP, by",IF($AD$8="yes",(VLOOKUP(A587,'Discount Lookup'!J:K,2)*G587*(1-$AC$1786)*(1+$AC$1788)),IF(AD587="NVP",(VLOOKUP(A587,'Discount Lookup'!J:K,2)*G587*(1-$AC$1786)*(1+$AC$1788)),IF(AD587="free","re-planting",IF(G587=0,"",IF($AD$8="",IF(AD587="me","not NVP, by",IF(AD587="",IF(G587&gt;0,(VLOOKUP(A587,'Discount Lookup'!J:K,2)*G587*(1-$AC$1786)*(1+$AC$1788)),""),"")),"not NVP, by"))))))))</f>
        <v/>
      </c>
      <c r="AC587" s="830"/>
      <c r="AD587" s="375" t="str">
        <f t="shared" si="1516"/>
        <v/>
      </c>
      <c r="AE587" s="833" t="str">
        <f>IF(G587&gt;0,(CONCATENATE((G587)," quantity, ",(A587)," ",B587)),"")</f>
        <v/>
      </c>
      <c r="AF587" s="833"/>
      <c r="AG587" s="833"/>
      <c r="AH587" s="91" t="s">
        <v>109</v>
      </c>
      <c r="AI587" s="92" t="str">
        <f t="shared" si="1536"/>
        <v/>
      </c>
      <c r="AJ587" s="828" t="str">
        <f t="shared" si="1543"/>
        <v/>
      </c>
      <c r="AK587" s="828"/>
      <c r="AL587" s="313" t="str">
        <f t="shared" ref="AL587:AL650" si="1561">IF(AD587="free","      ~ discounts included, no tax or planting fee applies ~",IF(G587=0,"",IF($AD$8="me",CONCATENATE(" $",ROUND(AI587/G587,2)," per plant, with tax &amp; discount"),IF(AD587="me",CONCATENATE(" $",ROUND(AI587/G587,2)," per plant, with tax &amp; discount"),CONCATENATE("= $",ROUND((K587*(1-$H$1784))/G587,2)," per plant + $",AB587/G587,(" per planting      ~ includes tax &amp; discounts ~"))))))</f>
        <v/>
      </c>
      <c r="AM587" s="312"/>
      <c r="AN587" s="101"/>
      <c r="AO587" s="101"/>
      <c r="AP587" s="101"/>
      <c r="AQ587" s="101"/>
      <c r="AR587" s="101"/>
      <c r="AS587" s="101"/>
      <c r="AT587" s="101"/>
    </row>
    <row r="588" spans="1:46" ht="12.95" customHeight="1">
      <c r="A588" s="889" t="s">
        <v>394</v>
      </c>
      <c r="B588" s="890"/>
      <c r="C588" s="890"/>
      <c r="D588" s="890"/>
      <c r="E588" s="890"/>
      <c r="F588" s="890"/>
      <c r="G588" s="890"/>
      <c r="H588" s="774" t="s">
        <v>197</v>
      </c>
      <c r="I588" s="349" t="s">
        <v>280</v>
      </c>
      <c r="J588" s="157"/>
      <c r="K588" s="611" t="s">
        <v>45</v>
      </c>
      <c r="L588" s="630" t="s">
        <v>46</v>
      </c>
      <c r="M588" s="157"/>
      <c r="N588" s="158" t="s">
        <v>69</v>
      </c>
      <c r="O588" s="165"/>
      <c r="P588" s="166"/>
      <c r="Q588" s="166"/>
      <c r="R588" s="157"/>
      <c r="S588" s="170"/>
      <c r="T588" s="547"/>
      <c r="U588" s="171"/>
      <c r="V588" s="100" t="b">
        <f>IF(G588&gt;0,IF(AD588="me","",G588))</f>
        <v>0</v>
      </c>
      <c r="W588" s="100"/>
      <c r="X588" s="100"/>
      <c r="Y588" s="201"/>
      <c r="Z588" s="829" t="str">
        <f t="shared" si="1542"/>
        <v/>
      </c>
      <c r="AA588" s="829"/>
      <c r="AB588" s="830" t="str">
        <f>IF(G588=0,"",IF(AD588="free","re-planting",IF(AD588="me","not NVP, by",IF($AD$8="yes",(VLOOKUP(A588,'Discount Lookup'!J:K,2)*G588*(1-$AC$1786)*(1+$AC$1788)),IF(AD588="NVP",(VLOOKUP(A588,'Discount Lookup'!J:K,2)*G588*(1-$AC$1786)*(1+$AC$1788)),IF(AD588="free","re-planting",IF(G588=0,"",IF($AD$8="",IF(AD588="me","not NVP, by",IF(AD588="",IF(G588&gt;0,(VLOOKUP(A588,'Discount Lookup'!J:K,2)*G588*(1-$AC$1786)*(1+$AC$1788)),""),"")),"not NVP, by"))))))))</f>
        <v/>
      </c>
      <c r="AC588" s="830"/>
      <c r="AD588" s="375" t="str">
        <f t="shared" si="1516"/>
        <v/>
      </c>
      <c r="AE588" s="833" t="str">
        <f t="shared" si="1417"/>
        <v/>
      </c>
      <c r="AF588" s="833"/>
      <c r="AG588" s="833"/>
      <c r="AH588" s="91">
        <f>IF(AD588="free",0,IF(AD588="me",0,IF(G588&gt;0,(VLOOKUP(A588,'Discount Lookup'!J:K,2)*G588),0)))</f>
        <v>0</v>
      </c>
      <c r="AI588" s="92" t="str">
        <f t="shared" si="1536"/>
        <v/>
      </c>
      <c r="AJ588" s="828" t="str">
        <f t="shared" si="1543"/>
        <v/>
      </c>
      <c r="AK588" s="828"/>
      <c r="AL588" s="313" t="str">
        <f t="shared" si="1561"/>
        <v/>
      </c>
      <c r="AM588" s="312"/>
      <c r="AN588" s="101"/>
      <c r="AO588" s="101"/>
      <c r="AP588" s="101"/>
      <c r="AQ588" s="101"/>
      <c r="AR588" s="101"/>
      <c r="AS588" s="101"/>
      <c r="AT588" s="101"/>
    </row>
    <row r="589" spans="1:46" ht="12.95" customHeight="1">
      <c r="A589" s="383">
        <v>25</v>
      </c>
      <c r="B589" s="158" t="s">
        <v>50</v>
      </c>
      <c r="C589" s="172" t="s">
        <v>1621</v>
      </c>
      <c r="D589" s="161" t="s">
        <v>90</v>
      </c>
      <c r="E589" s="162">
        <v>349.95</v>
      </c>
      <c r="F589" s="713" t="s">
        <v>1306</v>
      </c>
      <c r="G589" s="357">
        <v>0</v>
      </c>
      <c r="H589" s="748" t="str">
        <f t="shared" ref="H589" si="1562">IF(G589=0,"",IF(F589="Qty=",IF(G589=1,"plant","plants"),IF(F589&gt;0.0001,"warranty","Error")))</f>
        <v/>
      </c>
      <c r="I589" s="592">
        <f t="shared" ref="I589" si="1563">IF(F589="Qty=",(E589*G589),((E589*(1-F589))*G589))</f>
        <v>0</v>
      </c>
      <c r="J589" s="592">
        <f>IF(H589="warranty",0,(I589*($J$1782)))</f>
        <v>0</v>
      </c>
      <c r="K589" s="834">
        <f t="shared" ref="K589" si="1564">I589+J589</f>
        <v>0</v>
      </c>
      <c r="L589" s="834"/>
      <c r="M589" s="832" t="str">
        <f>IF($H$1784=0,"",IF(G589=0,"",IF(F589="Qty=",CONCATENATE("$",ROUND(K589*(1-$H$1784),2)," with ",($H$1784*100),"% discount"),CONCATENATE("$",ROUND(K589*(1-$H$1784),2)," with ",(($H$1784*100+F589*100)-($H$1784*100*F589)),IF(F589&gt;0,"% discounts",IF($H$1781&gt;0,"% discounts","% discount"))))))</f>
        <v/>
      </c>
      <c r="N589" s="832"/>
      <c r="O589" s="832"/>
      <c r="P589" s="832"/>
      <c r="Q589" s="832"/>
      <c r="R589" s="832"/>
      <c r="S589" s="303">
        <f t="shared" ref="S589" si="1565">E589*G589</f>
        <v>0</v>
      </c>
      <c r="T589" s="541">
        <f>VLOOKUP(A589,'Discount Lookup'!D:E,2,FALSE)*G589</f>
        <v>0</v>
      </c>
      <c r="U589" s="83">
        <f>VLOOKUP(A589,'Discount Lookup'!G:H,2,FALSE)*G589</f>
        <v>0</v>
      </c>
      <c r="V589" s="100">
        <f>E589*($J$1782)*G589</f>
        <v>0</v>
      </c>
      <c r="W589" s="100">
        <f t="shared" ref="W589" si="1566">I589</f>
        <v>0</v>
      </c>
      <c r="X589" s="100" t="b">
        <f t="shared" ref="X589" si="1567">IF(G589&gt;0,IF(AD589="me","",G589))</f>
        <v>0</v>
      </c>
      <c r="Y589" s="201"/>
      <c r="Z589" s="829" t="str">
        <f t="shared" si="1542"/>
        <v/>
      </c>
      <c r="AA589" s="829"/>
      <c r="AB589" s="830" t="str">
        <f>IF(G589=0,"",IF(AD589="free","re-planting",IF(AD589="me","not NVP, by",IF($AD$8="yes",(VLOOKUP(A589,'Discount Lookup'!J:K,2)*G589*(1-$AC$1786)*(1+$AC$1788)),IF(AD589="NVP",(VLOOKUP(A589,'Discount Lookup'!J:K,2)*G589*(1-$AC$1786)*(1+$AC$1788)),IF(AD589="free","re-planting",IF(G589=0,"",IF($AD$8="",IF(AD589="me","not NVP, by",IF(AD589="",IF(G589&gt;0,(VLOOKUP(A589,'Discount Lookup'!J:K,2)*G589*(1-$AC$1786)*(1+$AC$1788)),""),"")),"not NVP, by"))))))))</f>
        <v/>
      </c>
      <c r="AC589" s="830"/>
      <c r="AD589" s="375" t="str">
        <f t="shared" si="1516"/>
        <v/>
      </c>
      <c r="AE589" s="833" t="str">
        <f t="shared" si="1417"/>
        <v/>
      </c>
      <c r="AF589" s="833"/>
      <c r="AG589" s="833"/>
      <c r="AH589" s="91">
        <f>IF(AD589="free",0,IF(AD589="me",0,IF(G589&gt;0,(VLOOKUP(A589,'Discount Lookup'!J:K,2)*G589),0)))</f>
        <v>0</v>
      </c>
      <c r="AI589" s="92" t="str">
        <f t="shared" si="1536"/>
        <v/>
      </c>
      <c r="AJ589" s="828" t="str">
        <f t="shared" si="1543"/>
        <v/>
      </c>
      <c r="AK589" s="828"/>
      <c r="AL589" s="313" t="str">
        <f t="shared" si="1561"/>
        <v/>
      </c>
      <c r="AM589" s="312"/>
      <c r="AN589" s="101"/>
      <c r="AO589" s="101"/>
      <c r="AP589" s="101"/>
      <c r="AQ589" s="101"/>
      <c r="AR589" s="101"/>
      <c r="AS589" s="101"/>
      <c r="AT589" s="101"/>
    </row>
    <row r="590" spans="1:46" ht="12.95" customHeight="1">
      <c r="A590" s="475"/>
      <c r="B590" s="173" t="s">
        <v>395</v>
      </c>
      <c r="G590" s="361"/>
      <c r="H590" s="749"/>
      <c r="M590" s="121"/>
      <c r="N590" s="121"/>
      <c r="O590" s="123">
        <f>VLOOKUP(A590,'Discount Lookup'!D:E,2,FALSE)*G590</f>
        <v>0</v>
      </c>
      <c r="P590" s="124">
        <f>VLOOKUP(A590,'Discount Lookup'!G:H,2,FALSE)*G590</f>
        <v>0</v>
      </c>
      <c r="Q590" s="124"/>
      <c r="R590" s="83">
        <f>IF(F590=0,E590*($J$1782)*G590,0)</f>
        <v>0</v>
      </c>
      <c r="S590" s="82">
        <f>E590*G590</f>
        <v>0</v>
      </c>
      <c r="T590" s="540"/>
      <c r="U590" s="83"/>
      <c r="V590" s="100" t="b">
        <f>IF(G590&gt;0,IF(AD590="me","",G590))</f>
        <v>0</v>
      </c>
      <c r="W590" s="100"/>
      <c r="X590" s="100"/>
      <c r="Y590" s="201"/>
      <c r="Z590" s="829" t="str">
        <f t="shared" si="1542"/>
        <v/>
      </c>
      <c r="AA590" s="829"/>
      <c r="AB590" s="830" t="str">
        <f>IF(G590=0,"",IF(AD590="free","re-planting",IF(AD590="me","not NVP, by",IF($AD$8="yes",(VLOOKUP(A590,'Discount Lookup'!J:K,2)*G590*(1-$AC$1786)*(1+$AC$1788)),IF(AD590="NVP",(VLOOKUP(A590,'Discount Lookup'!J:K,2)*G590*(1-$AC$1786)*(1+$AC$1788)),IF(AD590="free","re-planting",IF(G590=0,"",IF($AD$8="",IF(AD590="me","not NVP, by",IF(AD590="",IF(G590&gt;0,(VLOOKUP(A590,'Discount Lookup'!J:K,2)*G590*(1-$AC$1786)*(1+$AC$1788)),""),"")),"not NVP, by"))))))))</f>
        <v/>
      </c>
      <c r="AC590" s="830"/>
      <c r="AD590" s="375" t="str">
        <f t="shared" si="1516"/>
        <v/>
      </c>
      <c r="AE590" s="833" t="str">
        <f t="shared" si="1417"/>
        <v/>
      </c>
      <c r="AF590" s="833"/>
      <c r="AG590" s="833"/>
      <c r="AH590" s="91">
        <f>IF(AD590="free",0,IF(AD590="me",0,IF(G590&gt;0,(VLOOKUP(A590,'Discount Lookup'!J:K,2)*G590),0)))</f>
        <v>0</v>
      </c>
      <c r="AI590" s="92" t="str">
        <f t="shared" si="1536"/>
        <v/>
      </c>
      <c r="AJ590" s="828" t="str">
        <f t="shared" si="1543"/>
        <v/>
      </c>
      <c r="AK590" s="828"/>
      <c r="AL590" s="313" t="str">
        <f t="shared" si="1561"/>
        <v/>
      </c>
      <c r="AM590" s="312"/>
      <c r="AN590" s="101"/>
      <c r="AO590" s="101"/>
      <c r="AP590" s="101"/>
      <c r="AQ590" s="101"/>
      <c r="AR590" s="101"/>
      <c r="AS590" s="101"/>
      <c r="AT590" s="101"/>
    </row>
    <row r="591" spans="1:46" ht="12.75" customHeight="1">
      <c r="A591" s="894" t="s">
        <v>396</v>
      </c>
      <c r="B591" s="895"/>
      <c r="C591" s="895"/>
      <c r="D591" s="895"/>
      <c r="E591" s="895"/>
      <c r="F591" s="895"/>
      <c r="G591" s="895"/>
      <c r="H591" s="774" t="s">
        <v>197</v>
      </c>
      <c r="I591" s="164" t="s">
        <v>79</v>
      </c>
      <c r="J591" s="157"/>
      <c r="K591" s="611" t="s">
        <v>45</v>
      </c>
      <c r="L591" s="630" t="s">
        <v>46</v>
      </c>
      <c r="M591" s="157"/>
      <c r="N591" s="158" t="s">
        <v>1615</v>
      </c>
      <c r="O591" s="158"/>
      <c r="P591" s="158"/>
      <c r="Q591" s="804"/>
      <c r="R591" s="157"/>
      <c r="S591" s="170"/>
      <c r="T591" s="547"/>
      <c r="U591" s="159"/>
      <c r="V591" s="100" t="b">
        <f>IF(G591&gt;0,IF(AD591="me","",G591))</f>
        <v>0</v>
      </c>
      <c r="W591" s="100"/>
      <c r="X591" s="100"/>
      <c r="Y591" s="201"/>
      <c r="Z591" s="829" t="str">
        <f t="shared" ref="Z591" si="1568">IF(G591=0,"",IF(AD591="me","",IF($AD$8="me","",IF(AD591="free","warranty",IF($AD$8="yes","NVP planting:","to NVP install:")))))</f>
        <v/>
      </c>
      <c r="AA591" s="829"/>
      <c r="AB591" s="830" t="str">
        <f>IF(G591=0,"",IF(AD591="free","re-planting",IF(AD591="me","not NVP, by",IF($AD$8="yes",(VLOOKUP(A591,'Discount Lookup'!J:K,2)*G591*(1-$AC$1786)*(1+$AC$1788)),IF(AD591="NVP",(VLOOKUP(A591,'Discount Lookup'!J:K,2)*G591*(1-$AC$1786)*(1+$AC$1788)),IF(AD591="free","re-planting",IF(G591=0,"",IF($AD$8="",IF(AD591="me","not NVP, by",IF(AD591="",IF(G591&gt;0,(VLOOKUP(A591,'Discount Lookup'!J:K,2)*G591*(1-$AC$1786)*(1+$AC$1788)),""),"")),"not NVP, by"))))))))</f>
        <v/>
      </c>
      <c r="AC591" s="830"/>
      <c r="AD591" s="375" t="str">
        <f t="shared" si="1516"/>
        <v/>
      </c>
      <c r="AE591" s="833" t="str">
        <f t="shared" si="1417"/>
        <v/>
      </c>
      <c r="AF591" s="833"/>
      <c r="AG591" s="833"/>
      <c r="AH591" s="91">
        <f>IF(AD591="free",0,IF(AD591="me",0,IF(G591&gt;0,(VLOOKUP(A591,'Discount Lookup'!J:K,2)*G591),0)))</f>
        <v>0</v>
      </c>
      <c r="AI591" s="92" t="str">
        <f t="shared" si="1536"/>
        <v/>
      </c>
      <c r="AJ591" s="828" t="str">
        <f t="shared" si="1543"/>
        <v/>
      </c>
      <c r="AK591" s="828"/>
      <c r="AL591" s="313" t="str">
        <f t="shared" si="1561"/>
        <v/>
      </c>
      <c r="AM591" s="312"/>
      <c r="AN591" s="101"/>
      <c r="AO591" s="101"/>
      <c r="AP591" s="101"/>
      <c r="AQ591" s="101"/>
      <c r="AR591" s="101"/>
      <c r="AS591" s="101"/>
      <c r="AT591" s="101"/>
    </row>
    <row r="592" spans="1:46" ht="12.75" customHeight="1">
      <c r="A592" s="383">
        <v>20</v>
      </c>
      <c r="B592" s="158" t="s">
        <v>50</v>
      </c>
      <c r="C592" s="160" t="s">
        <v>1446</v>
      </c>
      <c r="D592" s="161" t="s">
        <v>90</v>
      </c>
      <c r="E592" s="162">
        <v>633.95000000000005</v>
      </c>
      <c r="F592" s="713" t="s">
        <v>1306</v>
      </c>
      <c r="G592" s="357">
        <v>0</v>
      </c>
      <c r="H592" s="748" t="str">
        <f t="shared" ref="H592" si="1569">IF(G592=0,"",IF(F592="Qty=",IF(G592=1,"plant","plants"),IF(F592&gt;0.0001,"warranty","Error")))</f>
        <v/>
      </c>
      <c r="I592" s="592">
        <f t="shared" ref="I592" si="1570">IF(F592="Qty=",(E592*G592),((E592*(1-F592))*G592))</f>
        <v>0</v>
      </c>
      <c r="J592" s="592">
        <f>IF(H592="warranty",0,(I592*($J$1782)))</f>
        <v>0</v>
      </c>
      <c r="K592" s="834">
        <f t="shared" ref="K592:K595" si="1571">I592+J592</f>
        <v>0</v>
      </c>
      <c r="L592" s="834"/>
      <c r="M592" s="832" t="str">
        <f>IF($H$1784=0,"",IF(G592=0,"",IF(F592="Qty=",CONCATENATE("$",ROUND(K592*(1-$H$1784),2)," with ",($H$1784*100),"% discount"),CONCATENATE("$",ROUND(K592*(1-$H$1784),2)," with ",(($H$1784*100+F592*100)-($H$1784*100*F592)),IF(F592&gt;0,"% discounts",IF($H$1781&gt;0,"% discounts","% discount"))))))</f>
        <v/>
      </c>
      <c r="N592" s="832"/>
      <c r="O592" s="832"/>
      <c r="P592" s="832"/>
      <c r="Q592" s="832"/>
      <c r="R592" s="832"/>
      <c r="S592" s="303">
        <f t="shared" ref="S592" si="1572">E592*G592</f>
        <v>0</v>
      </c>
      <c r="T592" s="541">
        <f>VLOOKUP(A592,'Discount Lookup'!D:E,2,FALSE)*G592</f>
        <v>0</v>
      </c>
      <c r="U592" s="83">
        <f>VLOOKUP(A592,'Discount Lookup'!G:H,2,FALSE)*G592</f>
        <v>0</v>
      </c>
      <c r="V592" s="100">
        <f>E592*($J$1782)*G592</f>
        <v>0</v>
      </c>
      <c r="W592" s="100">
        <f t="shared" ref="W592" si="1573">I592</f>
        <v>0</v>
      </c>
      <c r="X592" s="100" t="b">
        <f>IF(G592&gt;0,IF(AD592="me","",G592))</f>
        <v>0</v>
      </c>
      <c r="Y592" s="201"/>
      <c r="Z592" s="829" t="str">
        <f t="shared" si="1542"/>
        <v/>
      </c>
      <c r="AA592" s="829"/>
      <c r="AB592" s="830" t="str">
        <f>IF(G592=0,"",IF(AD592="free","re-planting",IF(AD592="me","not NVP, by",IF($AD$8="yes",(VLOOKUP(A592,'Discount Lookup'!J:K,2)*G592*(1-$AC$1786)*(1+$AC$1788)),IF(AD592="NVP",(VLOOKUP(A592,'Discount Lookup'!J:K,2)*G592*(1-$AC$1786)*(1+$AC$1788)),IF(AD592="free","re-planting",IF(G592=0,"",IF($AD$8="",IF(AD592="me","not NVP, by",IF(AD592="",IF(G592&gt;0,(VLOOKUP(A592,'Discount Lookup'!J:K,2)*G592*(1-$AC$1786)*(1+$AC$1788)),""),"")),"not NVP, by"))))))))</f>
        <v/>
      </c>
      <c r="AC592" s="830"/>
      <c r="AD592" s="375" t="str">
        <f t="shared" si="1516"/>
        <v/>
      </c>
      <c r="AE592" s="833" t="str">
        <f t="shared" si="1417"/>
        <v/>
      </c>
      <c r="AF592" s="833"/>
      <c r="AG592" s="833"/>
      <c r="AH592" s="91">
        <f>IF(AD592="free",0,IF(AD592="me",0,IF(G592&gt;0,(VLOOKUP(A592,'Discount Lookup'!J:K,2)*G592),0)))</f>
        <v>0</v>
      </c>
      <c r="AI592" s="92" t="str">
        <f t="shared" si="1536"/>
        <v/>
      </c>
      <c r="AJ592" s="828" t="str">
        <f t="shared" si="1543"/>
        <v/>
      </c>
      <c r="AK592" s="828"/>
      <c r="AL592" s="313" t="str">
        <f t="shared" si="1561"/>
        <v/>
      </c>
      <c r="AM592" s="312"/>
      <c r="AN592" s="101"/>
      <c r="AO592" s="101"/>
      <c r="AP592" s="101"/>
      <c r="AQ592" s="101"/>
      <c r="AR592" s="101"/>
      <c r="AS592" s="101"/>
      <c r="AT592" s="101"/>
    </row>
    <row r="593" spans="1:46" ht="12.95" customHeight="1">
      <c r="A593" s="383">
        <v>25</v>
      </c>
      <c r="B593" s="158" t="s">
        <v>50</v>
      </c>
      <c r="C593" s="160" t="s">
        <v>310</v>
      </c>
      <c r="D593" s="161" t="s">
        <v>54</v>
      </c>
      <c r="E593" s="162">
        <v>790.95</v>
      </c>
      <c r="F593" s="713" t="s">
        <v>1306</v>
      </c>
      <c r="G593" s="357">
        <v>0</v>
      </c>
      <c r="H593" s="748" t="str">
        <f t="shared" ref="H593:H595" si="1574">IF(G593=0,"",IF(F593="Qty=",IF(G593=1,"plant","plants"),IF(F593&gt;0.0001,"warranty","Error")))</f>
        <v/>
      </c>
      <c r="I593" s="592">
        <f t="shared" ref="I593:I595" si="1575">IF(F593="Qty=",(E593*G593),((E593*(1-F593))*G593))</f>
        <v>0</v>
      </c>
      <c r="J593" s="592">
        <f>IF(H593="warranty",0,(I593*($J$1782)))</f>
        <v>0</v>
      </c>
      <c r="K593" s="834">
        <f t="shared" si="1571"/>
        <v>0</v>
      </c>
      <c r="L593" s="834"/>
      <c r="M593" s="832" t="str">
        <f>IF($H$1784=0,"",IF(G593=0,"",IF(F593="Qty=",CONCATENATE("$",ROUND(K593*(1-$H$1784),2)," with ",($H$1784*100),"% discount"),CONCATENATE("$",ROUND(K593*(1-$H$1784),2)," with ",(($H$1784*100+F593*100)-($H$1784*100*F593)),IF(F593&gt;0,"% discounts",IF($H$1781&gt;0,"% discounts","% discount"))))))</f>
        <v/>
      </c>
      <c r="N593" s="832"/>
      <c r="O593" s="832"/>
      <c r="P593" s="832"/>
      <c r="Q593" s="832"/>
      <c r="R593" s="832"/>
      <c r="S593" s="303">
        <f t="shared" ref="S593:S595" si="1576">E593*G593</f>
        <v>0</v>
      </c>
      <c r="T593" s="541">
        <f>VLOOKUP(A593,'Discount Lookup'!D:E,2,FALSE)*G593</f>
        <v>0</v>
      </c>
      <c r="U593" s="83">
        <f>VLOOKUP(A593,'Discount Lookup'!G:H,2,FALSE)*G593</f>
        <v>0</v>
      </c>
      <c r="V593" s="100">
        <f>E593*($J$1782)*G593</f>
        <v>0</v>
      </c>
      <c r="W593" s="100">
        <f t="shared" ref="W593:W595" si="1577">I593</f>
        <v>0</v>
      </c>
      <c r="X593" s="100" t="b">
        <f t="shared" ref="X593:X594" si="1578">IF(G593&gt;0,IF(AD593="me","",G593))</f>
        <v>0</v>
      </c>
      <c r="Y593" s="201"/>
      <c r="Z593" s="829" t="str">
        <f t="shared" ref="Z593:Z595" si="1579">IF(G593=0,"",IF(AD593="me","",IF($AD$8="me","",IF(AD593="free","warranty",IF($AD$8="yes","NVP planting:","to NVP install:")))))</f>
        <v/>
      </c>
      <c r="AA593" s="829"/>
      <c r="AB593" s="830" t="str">
        <f>IF(G593=0,"",IF(AD593="free","re-planting",IF(AD593="me","not NVP, by",IF($AD$8="yes",(VLOOKUP(A593,'Discount Lookup'!J:K,2)*G593*(1-$AC$1786)*(1+$AC$1788)),IF(AD593="NVP",(VLOOKUP(A593,'Discount Lookup'!J:K,2)*G593*(1-$AC$1786)*(1+$AC$1788)),IF(AD593="free","re-planting",IF(G593=0,"",IF($AD$8="",IF(AD593="me","not NVP, by",IF(AD593="",IF(G593&gt;0,(VLOOKUP(A593,'Discount Lookup'!J:K,2)*G593*(1-$AC$1786)*(1+$AC$1788)),""),"")),"not NVP, by"))))))))</f>
        <v/>
      </c>
      <c r="AC593" s="830"/>
      <c r="AD593" s="375" t="str">
        <f t="shared" si="1516"/>
        <v/>
      </c>
      <c r="AE593" s="833" t="str">
        <f t="shared" ref="AE593:AE595" si="1580">IF(G593&gt;0,(CONCATENATE((G593)," quantity, ",(A593)," ",B593)),"")</f>
        <v/>
      </c>
      <c r="AF593" s="833"/>
      <c r="AG593" s="833"/>
      <c r="AH593" s="91">
        <f>IF(AD593="free",0,IF(AD593="me",0,IF(G593&gt;0,(VLOOKUP(A593,'Discount Lookup'!J:K,2)*G593),0)))</f>
        <v>0</v>
      </c>
      <c r="AI593" s="92" t="str">
        <f t="shared" si="1536"/>
        <v/>
      </c>
      <c r="AJ593" s="828" t="str">
        <f t="shared" ref="AJ593:AJ595" si="1581">IF(G593=0,"",IF(AD593="me","  delivery-only",IF($AD$8="me","  delivery-only",CONCATENATE(" $",ROUND(AI593/G593,2)," each"))))</f>
        <v/>
      </c>
      <c r="AK593" s="828"/>
      <c r="AL593" s="313" t="str">
        <f t="shared" si="1561"/>
        <v/>
      </c>
      <c r="AM593" s="312"/>
      <c r="AN593" s="101"/>
      <c r="AO593" s="101"/>
      <c r="AP593" s="101"/>
      <c r="AQ593" s="101"/>
      <c r="AR593" s="101"/>
      <c r="AS593" s="101"/>
      <c r="AT593" s="101"/>
    </row>
    <row r="594" spans="1:46" ht="12.95" customHeight="1">
      <c r="A594" s="383">
        <v>45</v>
      </c>
      <c r="B594" s="158" t="s">
        <v>50</v>
      </c>
      <c r="C594" s="160" t="s">
        <v>1381</v>
      </c>
      <c r="D594" s="161" t="s">
        <v>745</v>
      </c>
      <c r="E594" s="162">
        <v>1034.95</v>
      </c>
      <c r="F594" s="713" t="s">
        <v>1306</v>
      </c>
      <c r="G594" s="357">
        <v>0</v>
      </c>
      <c r="H594" s="748" t="str">
        <f t="shared" si="1574"/>
        <v/>
      </c>
      <c r="I594" s="592">
        <f t="shared" si="1575"/>
        <v>0</v>
      </c>
      <c r="J594" s="592">
        <f>IF(H594="warranty",0,(I594*($J$1782)))</f>
        <v>0</v>
      </c>
      <c r="K594" s="834">
        <f t="shared" si="1571"/>
        <v>0</v>
      </c>
      <c r="L594" s="834"/>
      <c r="M594" s="832" t="str">
        <f>IF($H$1784=0,"",IF(G594=0,"",IF(F594="Qty=",CONCATENATE("$",ROUND(K594*(1-$H$1784),2)," with ",($H$1784*100),"% discount"),CONCATENATE("$",ROUND(K594*(1-$H$1784),2)," with ",(($H$1784*100+F594*100)-($H$1784*100*F594)),IF(F594&gt;0,"% discounts",IF($H$1781&gt;0,"% discounts","% discount"))))))</f>
        <v/>
      </c>
      <c r="N594" s="832"/>
      <c r="O594" s="832"/>
      <c r="P594" s="832"/>
      <c r="Q594" s="832"/>
      <c r="R594" s="832"/>
      <c r="S594" s="303">
        <f t="shared" si="1576"/>
        <v>0</v>
      </c>
      <c r="T594" s="541">
        <f>VLOOKUP(A594,'Discount Lookup'!D:E,2,FALSE)*G594</f>
        <v>0</v>
      </c>
      <c r="U594" s="83">
        <f>VLOOKUP(A594,'Discount Lookup'!G:H,2,FALSE)*G594</f>
        <v>0</v>
      </c>
      <c r="V594" s="100">
        <f>E594*($J$1782)*G594</f>
        <v>0</v>
      </c>
      <c r="W594" s="100">
        <f t="shared" si="1577"/>
        <v>0</v>
      </c>
      <c r="X594" s="100" t="b">
        <f t="shared" si="1578"/>
        <v>0</v>
      </c>
      <c r="Y594" s="201"/>
      <c r="Z594" s="829" t="str">
        <f t="shared" si="1579"/>
        <v/>
      </c>
      <c r="AA594" s="829"/>
      <c r="AB594" s="830" t="str">
        <f>IF(G594=0,"",IF(AD594="free","re-planting",IF(AD594="me","not NVP, by",IF($AD$8="yes",(VLOOKUP(A594,'Discount Lookup'!J:K,2)*G594*(1-$AC$1786)*(1+$AC$1788)),IF(AD594="NVP",(VLOOKUP(A594,'Discount Lookup'!J:K,2)*G594*(1-$AC$1786)*(1+$AC$1788)),IF(AD594="free","re-planting",IF(G594=0,"",IF($AD$8="",IF(AD594="me","not NVP, by",IF(AD594="",IF(G594&gt;0,(VLOOKUP(A594,'Discount Lookup'!J:K,2)*G594*(1-$AC$1786)*(1+$AC$1788)),""),"")),"not NVP, by"))))))))</f>
        <v/>
      </c>
      <c r="AC594" s="830"/>
      <c r="AD594" s="375" t="str">
        <f t="shared" si="1516"/>
        <v/>
      </c>
      <c r="AE594" s="833" t="str">
        <f t="shared" si="1580"/>
        <v/>
      </c>
      <c r="AF594" s="833"/>
      <c r="AG594" s="833"/>
      <c r="AH594" s="91">
        <f>IF(AD594="free",0,IF(AD594="me",0,IF(G594&gt;0,(VLOOKUP(A594,'Discount Lookup'!J:K,2)*G594),0)))</f>
        <v>0</v>
      </c>
      <c r="AI594" s="92" t="str">
        <f t="shared" si="1536"/>
        <v/>
      </c>
      <c r="AJ594" s="828" t="str">
        <f t="shared" si="1581"/>
        <v/>
      </c>
      <c r="AK594" s="828"/>
      <c r="AL594" s="313" t="str">
        <f t="shared" si="1561"/>
        <v/>
      </c>
      <c r="AM594" s="312"/>
      <c r="AN594" s="101"/>
      <c r="AO594" s="101"/>
      <c r="AP594" s="101"/>
      <c r="AQ594" s="101"/>
      <c r="AR594" s="101"/>
      <c r="AS594" s="101"/>
      <c r="AT594" s="101"/>
    </row>
    <row r="595" spans="1:46" ht="12.95" customHeight="1">
      <c r="A595" s="383">
        <v>65</v>
      </c>
      <c r="B595" s="158" t="s">
        <v>50</v>
      </c>
      <c r="C595" s="160" t="s">
        <v>1382</v>
      </c>
      <c r="D595" s="161" t="s">
        <v>745</v>
      </c>
      <c r="E595" s="162">
        <v>1551.95</v>
      </c>
      <c r="F595" s="713" t="s">
        <v>1306</v>
      </c>
      <c r="G595" s="357">
        <v>0</v>
      </c>
      <c r="H595" s="748" t="str">
        <f t="shared" si="1574"/>
        <v/>
      </c>
      <c r="I595" s="592">
        <f t="shared" si="1575"/>
        <v>0</v>
      </c>
      <c r="J595" s="592">
        <f>IF(H595="warranty",0,(I595*($J$1782)))</f>
        <v>0</v>
      </c>
      <c r="K595" s="834">
        <f t="shared" si="1571"/>
        <v>0</v>
      </c>
      <c r="L595" s="834"/>
      <c r="M595" s="832" t="str">
        <f>IF($H$1784=0,"",IF(G595=0,"",IF(F595="Qty=",CONCATENATE("$",ROUND(K595*(1-$H$1784),2)," with ",($H$1784*100),"% discount"),CONCATENATE("$",ROUND(K595*(1-$H$1784),2)," with ",(($H$1784*100+F595*100)-($H$1784*100*F595)),IF(F595&gt;0,"% discounts",IF($H$1781&gt;0,"% discounts","% discount"))))))</f>
        <v/>
      </c>
      <c r="N595" s="832"/>
      <c r="O595" s="832"/>
      <c r="P595" s="832"/>
      <c r="Q595" s="832"/>
      <c r="R595" s="832"/>
      <c r="S595" s="303">
        <f t="shared" si="1576"/>
        <v>0</v>
      </c>
      <c r="T595" s="541">
        <f>VLOOKUP(A595,'Discount Lookup'!D:E,2,FALSE)*G595</f>
        <v>0</v>
      </c>
      <c r="U595" s="83">
        <f>VLOOKUP(A595,'Discount Lookup'!G:H,2,FALSE)*G595</f>
        <v>0</v>
      </c>
      <c r="V595" s="100">
        <f>E595*($J$1782)*G595</f>
        <v>0</v>
      </c>
      <c r="W595" s="100">
        <f t="shared" si="1577"/>
        <v>0</v>
      </c>
      <c r="X595" s="100" t="b">
        <f>IF(G595&gt;0,IF(AD595="me","",G595))</f>
        <v>0</v>
      </c>
      <c r="Y595" s="201"/>
      <c r="Z595" s="829" t="str">
        <f t="shared" si="1579"/>
        <v/>
      </c>
      <c r="AA595" s="829"/>
      <c r="AB595" s="830" t="str">
        <f>IF(G595=0,"",IF(AD595="free","re-planting",IF(AD595="me","not NVP, by",IF($AD$8="yes",(VLOOKUP(A595,'Discount Lookup'!J:K,2)*G595*(1-$AC$1786)*(1+$AC$1788)),IF(AD595="NVP",(VLOOKUP(A595,'Discount Lookup'!J:K,2)*G595*(1-$AC$1786)*(1+$AC$1788)),IF(AD595="free","re-planting",IF(G595=0,"",IF($AD$8="",IF(AD595="me","not NVP, by",IF(AD595="",IF(G595&gt;0,(VLOOKUP(A595,'Discount Lookup'!J:K,2)*G595*(1-$AC$1786)*(1+$AC$1788)),""),"")),"not NVP, by"))))))))</f>
        <v/>
      </c>
      <c r="AC595" s="830"/>
      <c r="AD595" s="375" t="str">
        <f t="shared" si="1516"/>
        <v/>
      </c>
      <c r="AE595" s="833" t="str">
        <f t="shared" si="1580"/>
        <v/>
      </c>
      <c r="AF595" s="833"/>
      <c r="AG595" s="833"/>
      <c r="AH595" s="91">
        <f>IF(AD595="free",0,IF(AD595="me",0,IF(G595&gt;0,(VLOOKUP(A595,'Discount Lookup'!J:K,2)*G595),0)))</f>
        <v>0</v>
      </c>
      <c r="AI595" s="92" t="str">
        <f t="shared" si="1536"/>
        <v/>
      </c>
      <c r="AJ595" s="828" t="str">
        <f t="shared" si="1581"/>
        <v/>
      </c>
      <c r="AK595" s="828"/>
      <c r="AL595" s="313" t="str">
        <f t="shared" si="1561"/>
        <v/>
      </c>
      <c r="AM595" s="312"/>
      <c r="AN595" s="101"/>
      <c r="AO595" s="101"/>
      <c r="AP595" s="101"/>
      <c r="AQ595" s="101"/>
      <c r="AR595" s="101"/>
      <c r="AS595" s="101"/>
      <c r="AT595" s="101"/>
    </row>
    <row r="596" spans="1:46" ht="12.95" customHeight="1">
      <c r="A596" s="472"/>
      <c r="B596" s="103" t="s">
        <v>397</v>
      </c>
      <c r="C596" s="187"/>
      <c r="D596" s="187"/>
      <c r="E596" s="188"/>
      <c r="F596" s="711"/>
      <c r="G596" s="356"/>
      <c r="H596" s="745"/>
      <c r="I596" s="119"/>
      <c r="J596" s="119"/>
      <c r="K596" s="609"/>
      <c r="L596" s="609"/>
      <c r="M596" s="110"/>
      <c r="N596" s="110"/>
      <c r="O596" s="48"/>
      <c r="P596" s="111"/>
      <c r="Q596" s="111"/>
      <c r="R596" s="48"/>
      <c r="S596" s="82">
        <f>E596*G596</f>
        <v>0</v>
      </c>
      <c r="T596" s="540"/>
      <c r="U596" s="83"/>
      <c r="V596" s="100" t="b">
        <f>IF(G596&gt;0,IF(AD596="me","",G596))</f>
        <v>0</v>
      </c>
      <c r="W596" s="100"/>
      <c r="X596" s="100"/>
      <c r="Y596" s="201"/>
      <c r="Z596" s="829" t="str">
        <f t="shared" si="1542"/>
        <v/>
      </c>
      <c r="AA596" s="829"/>
      <c r="AB596" s="830" t="str">
        <f>IF(G596=0,"",IF(AD596="free","re-planting",IF(AD596="me","not NVP, by",IF($AD$8="yes",(VLOOKUP(A596,'Discount Lookup'!J:K,2)*G596*(1-$AC$1786)*(1+$AC$1788)),IF(AD596="NVP",(VLOOKUP(A596,'Discount Lookup'!J:K,2)*G596*(1-$AC$1786)*(1+$AC$1788)),IF(AD596="free","re-planting",IF(G596=0,"",IF($AD$8="",IF(AD596="me","not NVP, by",IF(AD596="",IF(G596&gt;0,(VLOOKUP(A596,'Discount Lookup'!J:K,2)*G596*(1-$AC$1786)*(1+$AC$1788)),""),"")),"not NVP, by"))))))))</f>
        <v/>
      </c>
      <c r="AC596" s="830"/>
      <c r="AD596" s="375" t="str">
        <f t="shared" si="1516"/>
        <v/>
      </c>
      <c r="AE596" s="833" t="str">
        <f t="shared" si="1417"/>
        <v/>
      </c>
      <c r="AF596" s="833"/>
      <c r="AG596" s="833"/>
      <c r="AH596" s="91">
        <f>IF(AD596="free",0,IF(AD596="me",0,IF(G596&gt;0,(VLOOKUP(A596,'Discount Lookup'!J:K,2)*G596),0)))</f>
        <v>0</v>
      </c>
      <c r="AI596" s="92" t="str">
        <f t="shared" si="1536"/>
        <v/>
      </c>
      <c r="AJ596" s="828" t="str">
        <f t="shared" si="1543"/>
        <v/>
      </c>
      <c r="AK596" s="828"/>
      <c r="AL596" s="313" t="str">
        <f t="shared" si="1561"/>
        <v/>
      </c>
      <c r="AM596" s="312"/>
      <c r="AN596" s="101"/>
      <c r="AO596" s="101"/>
      <c r="AP596" s="101"/>
      <c r="AQ596" s="101"/>
      <c r="AR596" s="101"/>
      <c r="AS596" s="101"/>
      <c r="AT596" s="101"/>
    </row>
    <row r="597" spans="1:46" ht="12.75" customHeight="1">
      <c r="A597" s="903" t="s">
        <v>398</v>
      </c>
      <c r="B597" s="890"/>
      <c r="C597" s="890"/>
      <c r="D597" s="890"/>
      <c r="E597" s="890"/>
      <c r="F597" s="890"/>
      <c r="G597" s="890"/>
      <c r="H597" s="775" t="s">
        <v>197</v>
      </c>
      <c r="I597" s="164" t="s">
        <v>79</v>
      </c>
      <c r="J597" s="157"/>
      <c r="K597" s="611" t="s">
        <v>45</v>
      </c>
      <c r="L597" s="630" t="s">
        <v>46</v>
      </c>
      <c r="M597" s="157"/>
      <c r="N597" s="352" t="s">
        <v>75</v>
      </c>
      <c r="O597" s="158"/>
      <c r="P597" s="164"/>
      <c r="Q597" s="164"/>
      <c r="R597" s="157"/>
      <c r="S597" s="170"/>
      <c r="T597" s="547"/>
      <c r="U597" s="171"/>
      <c r="V597" s="100" t="b">
        <f>IF(G597&gt;0,IF(AD597="me","",G597))</f>
        <v>0</v>
      </c>
      <c r="W597" s="100"/>
      <c r="X597" s="100"/>
      <c r="Y597" s="790"/>
      <c r="Z597" s="838" t="str">
        <f>IF(G597=0,"",IF(AD597="me","",IF($AD$8="me","",IF(AD597="free","warranty",IF($AD$8="yes","NVP planting:","to NVP install:")))))</f>
        <v/>
      </c>
      <c r="AA597" s="838"/>
      <c r="AB597" s="830" t="str">
        <f>IF(G597=0,"",IF(AD597="free","re-planting",IF(AD597="me","not NVP, by",IF($AD$8="yes",(VLOOKUP(A597,'Discount Lookup'!J:K,2)*G597*(1-$AC$1786)*(1+$AC$1788)),IF(AD597="NVP",(VLOOKUP(A597,'Discount Lookup'!J:K,2)*G597*(1-$AC$1786)*(1+$AC$1788)),IF(AD597="free","re-planting",IF(G597=0,"",IF($AD$8="",IF(AD597="me","not NVP, by",IF(AD597="",IF(G597&gt;0,(VLOOKUP(A597,'Discount Lookup'!J:K,2)*G597*(1-$AC$1786)*(1+$AC$1788)),""),"")),"not NVP, by"))))))))</f>
        <v/>
      </c>
      <c r="AC597" s="830"/>
      <c r="AD597" s="375" t="str">
        <f>IF(G597=0,"",IF($AD$8="me","me",IF(H597="warranty","free",IF($AD$8="yes","NVP",""))))</f>
        <v/>
      </c>
      <c r="AE597" s="833" t="str">
        <f>IF(G597&gt;0,(CONCATENATE((G597)," quantity, ",(A597)," ",B597)),"")</f>
        <v/>
      </c>
      <c r="AF597" s="833"/>
      <c r="AG597" s="833"/>
      <c r="AH597" s="91">
        <f>IF(AD597="free",0,IF(AD597="me",0,IF(G597&gt;0,(VLOOKUP(A597,'Discount Lookup'!J:K,2)*G597),0)))</f>
        <v>0</v>
      </c>
      <c r="AI597" s="92" t="str">
        <f t="shared" si="1536"/>
        <v/>
      </c>
      <c r="AJ597" s="828" t="str">
        <f>IF(G597=0,"",IF(AD597="me","  delivery-only",IF($AD$8="me","  delivery-only",CONCATENATE(" $",ROUND(AI597/G597,2)," each"))))</f>
        <v/>
      </c>
      <c r="AK597" s="828"/>
      <c r="AL597" s="313" t="str">
        <f t="shared" si="1561"/>
        <v/>
      </c>
      <c r="AM597" s="312"/>
      <c r="AN597" s="101"/>
      <c r="AO597" s="101"/>
      <c r="AP597" s="101"/>
      <c r="AQ597" s="101"/>
      <c r="AR597" s="101"/>
      <c r="AS597" s="101"/>
      <c r="AT597" s="101"/>
    </row>
    <row r="598" spans="1:46" ht="12.75" customHeight="1">
      <c r="A598" s="448">
        <v>15</v>
      </c>
      <c r="B598" s="158" t="s">
        <v>50</v>
      </c>
      <c r="C598" s="168" t="s">
        <v>136</v>
      </c>
      <c r="D598" s="161" t="s">
        <v>90</v>
      </c>
      <c r="E598" s="162">
        <v>366.95</v>
      </c>
      <c r="F598" s="713" t="s">
        <v>1306</v>
      </c>
      <c r="G598" s="357">
        <v>0</v>
      </c>
      <c r="H598" s="748" t="str">
        <f t="shared" ref="H598" si="1582">IF(G598=0,"",IF(F598="Qty=",IF(G598=1,"plant","plants"),IF(F598&gt;0.0001,"warranty","Error")))</f>
        <v/>
      </c>
      <c r="I598" s="592">
        <f t="shared" ref="I598" si="1583">IF(F598="Qty=",(E598*G598),((E598*(1-F598))*G598))</f>
        <v>0</v>
      </c>
      <c r="J598" s="592">
        <f>IF(H598="warranty",0,(I598*($J$1782)))</f>
        <v>0</v>
      </c>
      <c r="K598" s="834">
        <f t="shared" ref="K598" si="1584">I598+J598</f>
        <v>0</v>
      </c>
      <c r="L598" s="834"/>
      <c r="M598" s="832" t="str">
        <f>IF($H$1784=0,"",IF(G598=0,"",IF(F598="Qty=",CONCATENATE("$",ROUND(K598*(1-$H$1784),2)," with ",($H$1784*100),"% discount"),CONCATENATE("$",ROUND(K598*(1-$H$1784),2)," with ",(($H$1784*100+F598*100)-($H$1784*100*F598)),IF(F598&gt;0,"% discounts",IF($H$1781&gt;0,"% discounts","% discount"))))))</f>
        <v/>
      </c>
      <c r="N598" s="832"/>
      <c r="O598" s="832"/>
      <c r="P598" s="832"/>
      <c r="Q598" s="832"/>
      <c r="R598" s="832"/>
      <c r="S598" s="303">
        <f t="shared" ref="S598" si="1585">E598*G598</f>
        <v>0</v>
      </c>
      <c r="T598" s="541">
        <v>0</v>
      </c>
      <c r="U598" s="83">
        <v>0</v>
      </c>
      <c r="V598" s="100">
        <f>E598*($J$1802)*G598</f>
        <v>0</v>
      </c>
      <c r="W598" s="100">
        <f t="shared" ref="W598" si="1586">I598</f>
        <v>0</v>
      </c>
      <c r="X598" s="100" t="b">
        <f>IF(G598&gt;0,IF(AD598="me","",G598))</f>
        <v>0</v>
      </c>
      <c r="Y598" s="790"/>
      <c r="Z598" s="838" t="str">
        <f>IF(G598=0,"",IF(AD598="me","",IF($AD$8="me","",IF(AD598="free","warranty",IF($AD$8="yes","NVP planting:","to NVP install:")))))</f>
        <v/>
      </c>
      <c r="AA598" s="838"/>
      <c r="AB598" s="830" t="str">
        <f>IF(G598=0,"",IF(AD598="free","re-planting",IF(AD598="me","not NVP, by",IF($AD$8="yes",(VLOOKUP(A598,'Discount Lookup'!J:K,2)*G598*(1-$AC$1786)*(1+$AC$1788)),IF(AD598="NVP",(VLOOKUP(A598,'Discount Lookup'!J:K,2)*G598*(1-$AC$1786)*(1+$AC$1788)),IF(AD598="free","re-planting",IF(G598=0,"",IF($AD$8="",IF(AD598="me","not NVP, by",IF(AD598="",IF(G598&gt;0,(VLOOKUP(A598,'Discount Lookup'!J:K,2)*G598*(1-$AC$1786)*(1+$AC$1788)),""),"")),"not NVP, by"))))))))</f>
        <v/>
      </c>
      <c r="AC598" s="830"/>
      <c r="AD598" s="375" t="str">
        <f>IF(G598=0,"",IF($AD$8="me","me",IF(H598="warranty","free",IF($AD$8="yes","NVP",""))))</f>
        <v/>
      </c>
      <c r="AE598" s="833" t="str">
        <f>IF(G598&gt;0,(CONCATENATE((G598)," quantity, ",(A598)," ",B598)),"")</f>
        <v/>
      </c>
      <c r="AF598" s="833"/>
      <c r="AG598" s="833"/>
      <c r="AH598" s="91">
        <f>IF(AD598="free",0,IF(AD598="me",0,IF(G598&gt;0,(VLOOKUP(A598,'Discount Lookup'!J:K,2)*G598),0)))</f>
        <v>0</v>
      </c>
      <c r="AI598" s="92" t="str">
        <f t="shared" si="1536"/>
        <v/>
      </c>
      <c r="AJ598" s="828" t="str">
        <f>IF(G598=0,"",IF(AD598="me","  delivery-only",IF($AD$8="me","  delivery-only",CONCATENATE(" $",ROUND(AI598/G598,2)," each"))))</f>
        <v/>
      </c>
      <c r="AK598" s="828"/>
      <c r="AL598" s="313" t="str">
        <f t="shared" si="1561"/>
        <v/>
      </c>
      <c r="AM598" s="312"/>
      <c r="AN598" s="101"/>
      <c r="AO598" s="101"/>
      <c r="AP598" s="101"/>
      <c r="AQ598" s="101"/>
      <c r="AR598" s="101"/>
      <c r="AS598" s="101"/>
      <c r="AT598" s="101"/>
    </row>
    <row r="599" spans="1:46" ht="12.75" customHeight="1">
      <c r="A599" s="478"/>
      <c r="B599" s="173" t="s">
        <v>399</v>
      </c>
      <c r="G599" s="359"/>
      <c r="H599" s="746"/>
      <c r="M599" s="48"/>
      <c r="N599" s="122" t="s">
        <v>331</v>
      </c>
      <c r="O599" s="48"/>
      <c r="P599" s="48"/>
      <c r="Q599" s="48"/>
      <c r="R599" s="48"/>
      <c r="S599" s="82"/>
      <c r="T599" s="540"/>
      <c r="U599" s="83"/>
      <c r="V599" s="100"/>
      <c r="W599" s="100"/>
      <c r="X599" s="100"/>
      <c r="Y599" s="790"/>
      <c r="Z599" s="838" t="str">
        <f>IF(G599=0,"",IF(AD599="me","",IF($AD$8="me","",IF(AD599="free","warranty",IF($AD$8="yes","NVP planting:","to NVP install:")))))</f>
        <v/>
      </c>
      <c r="AA599" s="838"/>
      <c r="AB599" s="830" t="str">
        <f>IF(G599=0,"",IF(AD599="free","re-planting",IF(AD599="me","not NVP, by",IF($AD$8="yes",(VLOOKUP(A599,'Discount Lookup'!J:K,2)*G599*(1-$AC$1786)*(1+$AC$1788)),IF(AD599="NVP",(VLOOKUP(A599,'Discount Lookup'!J:K,2)*G599*(1-$AC$1786)*(1+$AC$1788)),IF(AD599="free","re-planting",IF(G599=0,"",IF($AD$8="",IF(AD599="me","not NVP, by",IF(AD599="",IF(G599&gt;0,(VLOOKUP(A599,'Discount Lookup'!J:K,2)*G599*(1-$AC$1786)*(1+$AC$1788)),""),"")),"not NVP, by"))))))))</f>
        <v/>
      </c>
      <c r="AC599" s="830"/>
      <c r="AD599" s="375" t="str">
        <f>IF(G599=0,"",IF($AD$8="me","me",IF(H599="warranty","free",IF($AD$8="yes","NVP",""))))</f>
        <v/>
      </c>
      <c r="AE599" s="833" t="str">
        <f>IF(G599&gt;0,(CONCATENATE((G599)," quantity, ",(A599)," ",B599)),"")</f>
        <v/>
      </c>
      <c r="AF599" s="833"/>
      <c r="AG599" s="833"/>
      <c r="AH599" s="91">
        <f>IF(AD599="free",0,IF(AD599="me",0,IF(G599&gt;0,(VLOOKUP(A599,'Discount Lookup'!J:K,2)*G599),0)))</f>
        <v>0</v>
      </c>
      <c r="AI599" s="92" t="str">
        <f t="shared" si="1536"/>
        <v/>
      </c>
      <c r="AJ599" s="828" t="str">
        <f>IF(G599=0,"",IF(AD599="me","  delivery-only",IF($AD$8="me","  delivery-only",CONCATENATE(" $",ROUND(AI599/G599,2)," each"))))</f>
        <v/>
      </c>
      <c r="AK599" s="828"/>
      <c r="AL599" s="313" t="str">
        <f t="shared" si="1561"/>
        <v/>
      </c>
      <c r="AM599" s="312"/>
      <c r="AN599" s="101"/>
      <c r="AO599" s="101"/>
      <c r="AP599" s="101"/>
      <c r="AQ599" s="101"/>
      <c r="AR599" s="101"/>
      <c r="AS599" s="101"/>
      <c r="AT599" s="101"/>
    </row>
    <row r="600" spans="1:46" ht="12.95" customHeight="1">
      <c r="A600" s="899" t="s">
        <v>400</v>
      </c>
      <c r="B600" s="895"/>
      <c r="C600" s="895"/>
      <c r="D600" s="895"/>
      <c r="E600" s="895"/>
      <c r="F600" s="895"/>
      <c r="G600" s="895"/>
      <c r="H600" s="774" t="s">
        <v>197</v>
      </c>
      <c r="I600" s="164" t="s">
        <v>79</v>
      </c>
      <c r="J600" s="157"/>
      <c r="K600" s="611" t="s">
        <v>45</v>
      </c>
      <c r="L600" s="630" t="s">
        <v>46</v>
      </c>
      <c r="M600" s="157"/>
      <c r="N600" s="352" t="s">
        <v>75</v>
      </c>
      <c r="O600" s="158"/>
      <c r="P600" s="164"/>
      <c r="Q600" s="164"/>
      <c r="R600" s="835" t="s">
        <v>49</v>
      </c>
      <c r="S600" s="835"/>
      <c r="T600" s="835"/>
      <c r="U600" s="835"/>
      <c r="V600" s="100" t="b">
        <f>IF(G600&gt;0,IF(AD600="me","",G600))</f>
        <v>0</v>
      </c>
      <c r="W600" s="100"/>
      <c r="X600" s="100"/>
      <c r="Y600" s="201"/>
      <c r="Z600" s="829" t="str">
        <f t="shared" si="1542"/>
        <v/>
      </c>
      <c r="AA600" s="829"/>
      <c r="AB600" s="830" t="str">
        <f>IF(G600=0,"",IF(AD600="free","re-planting",IF(AD600="me","not NVP, by",IF($AD$8="yes",(VLOOKUP(A600,'Discount Lookup'!J:K,2)*G600*(1-$AC$1786)*(1+$AC$1788)),IF(AD600="NVP",(VLOOKUP(A600,'Discount Lookup'!J:K,2)*G600*(1-$AC$1786)*(1+$AC$1788)),IF(AD600="free","re-planting",IF(G600=0,"",IF($AD$8="",IF(AD600="me","not NVP, by",IF(AD600="",IF(G600&gt;0,(VLOOKUP(A600,'Discount Lookup'!J:K,2)*G600*(1-$AC$1786)*(1+$AC$1788)),""),"")),"not NVP, by"))))))))</f>
        <v/>
      </c>
      <c r="AC600" s="830"/>
      <c r="AD600" s="375" t="str">
        <f t="shared" si="1516"/>
        <v/>
      </c>
      <c r="AE600" s="833" t="str">
        <f>IF(G600&gt;0,(CONCATENATE((G600)," quantity, ",(A600)," ",B600)),"")</f>
        <v/>
      </c>
      <c r="AF600" s="833"/>
      <c r="AG600" s="833"/>
      <c r="AH600" s="91" t="s">
        <v>109</v>
      </c>
      <c r="AI600" s="92" t="str">
        <f t="shared" si="1536"/>
        <v/>
      </c>
      <c r="AJ600" s="828" t="str">
        <f t="shared" si="1543"/>
        <v/>
      </c>
      <c r="AK600" s="828"/>
      <c r="AL600" s="313" t="str">
        <f t="shared" si="1561"/>
        <v/>
      </c>
      <c r="AM600" s="312"/>
      <c r="AN600" s="101"/>
      <c r="AO600" s="101"/>
      <c r="AP600" s="101"/>
      <c r="AQ600" s="101"/>
      <c r="AR600" s="101"/>
      <c r="AS600" s="101"/>
      <c r="AT600" s="101"/>
    </row>
    <row r="601" spans="1:46" ht="12.95" customHeight="1">
      <c r="A601" s="448">
        <v>7</v>
      </c>
      <c r="B601" s="158" t="s">
        <v>50</v>
      </c>
      <c r="C601" s="160" t="s">
        <v>1649</v>
      </c>
      <c r="D601" s="161" t="s">
        <v>54</v>
      </c>
      <c r="E601" s="162">
        <v>104.95</v>
      </c>
      <c r="F601" s="713" t="s">
        <v>1306</v>
      </c>
      <c r="G601" s="357">
        <v>0</v>
      </c>
      <c r="H601" s="748" t="str">
        <f t="shared" ref="H601" si="1587">IF(G601=0,"",IF(F601="Qty=",IF(G601=1,"plant","plants"),IF(F601&gt;0.0001,"warranty","Error")))</f>
        <v/>
      </c>
      <c r="I601" s="592">
        <f t="shared" ref="I601" si="1588">IF(F601="Qty=",(E601*G601),((E601*(1-F601))*G601))</f>
        <v>0</v>
      </c>
      <c r="J601" s="592">
        <f>IF(H601="warranty",0,(I601*($J$1782)))</f>
        <v>0</v>
      </c>
      <c r="K601" s="834">
        <f t="shared" ref="K601" si="1589">I601+J601</f>
        <v>0</v>
      </c>
      <c r="L601" s="834"/>
      <c r="M601" s="832" t="str">
        <f>IF($H$1784=0,"",IF(G601=0,"",IF(F601="Qty=",CONCATENATE("$",ROUND(K601*(1-$H$1784),2)," with ",($H$1784*100),"% discount"),CONCATENATE("$",ROUND(K601*(1-$H$1784),2)," with ",(($H$1784*100+F601*100)-($H$1784*100*F601)),IF(F601&gt;0,"% discounts",IF($H$1781&gt;0,"% discounts","% discount"))))))</f>
        <v/>
      </c>
      <c r="N601" s="832"/>
      <c r="O601" s="832"/>
      <c r="P601" s="832"/>
      <c r="Q601" s="832"/>
      <c r="R601" s="832"/>
      <c r="S601" s="303">
        <f t="shared" ref="S601" si="1590">E601*G601</f>
        <v>0</v>
      </c>
      <c r="T601" s="541">
        <f>VLOOKUP(A601,'Discount Lookup'!D:E,2,FALSE)*G601</f>
        <v>0</v>
      </c>
      <c r="U601" s="83">
        <f>VLOOKUP(A601,'Discount Lookup'!G:H,2,FALSE)*G601</f>
        <v>0</v>
      </c>
      <c r="V601" s="100">
        <f>E601*($J$1782)*G601</f>
        <v>0</v>
      </c>
      <c r="W601" s="100">
        <f t="shared" ref="W601" si="1591">I601</f>
        <v>0</v>
      </c>
      <c r="X601" s="100" t="b">
        <f t="shared" ref="X601" si="1592">IF(G601&gt;0,IF(AD601="me","",G601))</f>
        <v>0</v>
      </c>
      <c r="Y601" s="201"/>
      <c r="Z601" s="829" t="str">
        <f t="shared" ref="Z601" si="1593">IF(G601=0,"",IF(AD601="me","",IF($AD$8="me","",IF(AD601="free","warranty",IF($AD$8="yes","NVP planting:","to NVP install:")))))</f>
        <v/>
      </c>
      <c r="AA601" s="829"/>
      <c r="AB601" s="830" t="str">
        <f>IF(G601=0,"",IF(AD601="free","re-planting",IF(AD601="me","not NVP, by",IF($AD$8="yes",(VLOOKUP(A601,'Discount Lookup'!J:K,2)*G601*(1-$AC$1786)*(1+$AC$1788)),IF(AD601="NVP",(VLOOKUP(A601,'Discount Lookup'!J:K,2)*G601*(1-$AC$1786)*(1+$AC$1788)),IF(AD601="free","re-planting",IF(G601=0,"",IF($AD$8="",IF(AD601="me","not NVP, by",IF(AD601="",IF(G601&gt;0,(VLOOKUP(A601,'Discount Lookup'!J:K,2)*G601*(1-$AC$1786)*(1+$AC$1788)),""),"")),"not NVP, by"))))))))</f>
        <v/>
      </c>
      <c r="AC601" s="830"/>
      <c r="AD601" s="375" t="str">
        <f t="shared" si="1516"/>
        <v/>
      </c>
      <c r="AE601" s="833" t="str">
        <f t="shared" ref="AE601" si="1594">IF(G601&gt;0,(CONCATENATE((G601)," quantity, ",(A601)," ",B601)),"")</f>
        <v/>
      </c>
      <c r="AF601" s="833"/>
      <c r="AG601" s="833"/>
      <c r="AH601" s="91">
        <f>IF(AD601="free",0,IF(AD601="me",0,IF(G601&gt;0,(VLOOKUP(A601,'Discount Lookup'!J:K,2)*G601),0)))</f>
        <v>0</v>
      </c>
      <c r="AI601" s="92" t="str">
        <f t="shared" si="1536"/>
        <v/>
      </c>
      <c r="AJ601" s="828" t="str">
        <f t="shared" ref="AJ601" si="1595">IF(G601=0,"",IF(AD601="me","  delivery-only",IF($AD$8="me","  delivery-only",CONCATENATE(" $",ROUND(AI601/G601,2)," each"))))</f>
        <v/>
      </c>
      <c r="AK601" s="828"/>
      <c r="AL601" s="313" t="str">
        <f t="shared" si="1561"/>
        <v/>
      </c>
      <c r="AM601" s="312"/>
      <c r="AN601" s="101"/>
      <c r="AO601" s="101"/>
      <c r="AP601" s="101"/>
      <c r="AQ601" s="101"/>
      <c r="AR601" s="101"/>
      <c r="AS601" s="101"/>
      <c r="AT601" s="101"/>
    </row>
    <row r="602" spans="1:46" ht="12.95" customHeight="1">
      <c r="A602" s="476"/>
      <c r="B602" s="173" t="s">
        <v>401</v>
      </c>
      <c r="C602" s="118"/>
      <c r="D602" s="118"/>
      <c r="E602" s="119"/>
      <c r="F602" s="711"/>
      <c r="G602" s="358"/>
      <c r="H602" s="745"/>
      <c r="I602" s="119"/>
      <c r="J602" s="119"/>
      <c r="K602" s="609"/>
      <c r="L602" s="609"/>
      <c r="M602" s="121"/>
      <c r="N602" s="122" t="s">
        <v>331</v>
      </c>
      <c r="O602" s="48"/>
      <c r="P602" s="48"/>
      <c r="Q602" s="48"/>
      <c r="R602" s="48"/>
      <c r="S602" s="82"/>
      <c r="T602" s="540"/>
      <c r="U602" s="83"/>
      <c r="V602" s="100"/>
      <c r="W602" s="100"/>
      <c r="X602" s="100"/>
      <c r="Y602" s="201"/>
      <c r="Z602" s="829" t="str">
        <f t="shared" si="1542"/>
        <v/>
      </c>
      <c r="AA602" s="829"/>
      <c r="AB602" s="830" t="str">
        <f>IF(G602=0,"",IF(AD602="free","re-planting",IF(AD602="me","not NVP, by",IF($AD$8="yes",(VLOOKUP(A602,'Discount Lookup'!J:K,2)*G602*(1-$AC$1786)*(1+$AC$1788)),IF(AD602="NVP",(VLOOKUP(A602,'Discount Lookup'!J:K,2)*G602*(1-$AC$1786)*(1+$AC$1788)),IF(AD602="free","re-planting",IF(G602=0,"",IF($AD$8="",IF(AD602="me","not NVP, by",IF(AD602="",IF(G602&gt;0,(VLOOKUP(A602,'Discount Lookup'!J:K,2)*G602*(1-$AC$1786)*(1+$AC$1788)),""),"")),"not NVP, by"))))))))</f>
        <v/>
      </c>
      <c r="AC602" s="830"/>
      <c r="AD602" s="375" t="str">
        <f t="shared" si="1516"/>
        <v/>
      </c>
      <c r="AE602" s="833" t="str">
        <f t="shared" ref="AE602:AE605" si="1596">IF(G602&gt;0,(CONCATENATE((G602)," quantity, ",(A602)," ",B602)),"")</f>
        <v/>
      </c>
      <c r="AF602" s="833"/>
      <c r="AG602" s="833"/>
      <c r="AH602" s="91" t="s">
        <v>109</v>
      </c>
      <c r="AI602" s="92" t="str">
        <f t="shared" si="1536"/>
        <v/>
      </c>
      <c r="AJ602" s="828" t="str">
        <f t="shared" si="1543"/>
        <v/>
      </c>
      <c r="AK602" s="828"/>
      <c r="AL602" s="313" t="str">
        <f t="shared" si="1561"/>
        <v/>
      </c>
      <c r="AM602" s="312"/>
      <c r="AN602" s="101"/>
      <c r="AO602" s="101"/>
      <c r="AP602" s="101"/>
      <c r="AQ602" s="101"/>
      <c r="AR602" s="101"/>
      <c r="AS602" s="101"/>
      <c r="AT602" s="101"/>
    </row>
    <row r="603" spans="1:46" ht="12.95" customHeight="1">
      <c r="A603" s="903" t="s">
        <v>984</v>
      </c>
      <c r="B603" s="890"/>
      <c r="C603" s="890"/>
      <c r="D603" s="890"/>
      <c r="E603" s="890"/>
      <c r="F603" s="890"/>
      <c r="G603" s="890"/>
      <c r="H603" s="774" t="s">
        <v>197</v>
      </c>
      <c r="I603" s="349" t="s">
        <v>280</v>
      </c>
      <c r="J603" s="157"/>
      <c r="K603" s="611" t="s">
        <v>45</v>
      </c>
      <c r="L603" s="630" t="s">
        <v>46</v>
      </c>
      <c r="M603" s="157"/>
      <c r="N603" s="352" t="s">
        <v>75</v>
      </c>
      <c r="O603" s="158"/>
      <c r="P603" s="164"/>
      <c r="Q603" s="164"/>
      <c r="R603" s="157"/>
      <c r="S603" s="170"/>
      <c r="T603" s="547"/>
      <c r="U603" s="171"/>
      <c r="V603" s="100" t="b">
        <f>IF(G603&gt;0,IF(AD603="me","",G603))</f>
        <v>0</v>
      </c>
      <c r="W603" s="100"/>
      <c r="X603" s="100"/>
      <c r="Y603" s="201"/>
      <c r="Z603" s="838" t="str">
        <f t="shared" ref="Z603:Z605" si="1597">IF(G603=0,"",IF(AD603="me","",IF($AD$8="me","",IF(AD603="free","warranty",IF($AD$8="yes","NVP planting:","to NVP install:")))))</f>
        <v/>
      </c>
      <c r="AA603" s="838"/>
      <c r="AB603" s="830" t="str">
        <f>IF(G603=0,"",IF(AD603="free","re-planting",IF(AD603="me","not NVP, by",IF($AD$8="yes",(VLOOKUP(A603,'Discount Lookup'!J:K,2)*G603*(1-$AC$1786)*(1+$AC$1788)),IF(AD603="NVP",(VLOOKUP(A603,'Discount Lookup'!J:K,2)*G603*(1-$AC$1786)*(1+$AC$1788)),IF(AD603="free","re-planting",IF(G603=0,"",IF($AD$8="",IF(AD603="me","not NVP, by",IF(AD603="",IF(G603&gt;0,(VLOOKUP(A603,'Discount Lookup'!J:K,2)*G603*(1-$AC$1786)*(1+$AC$1788)),""),"")),"not NVP, by"))))))))</f>
        <v/>
      </c>
      <c r="AC603" s="830"/>
      <c r="AD603" s="375" t="str">
        <f t="shared" si="1516"/>
        <v/>
      </c>
      <c r="AE603" s="833" t="str">
        <f t="shared" si="1596"/>
        <v/>
      </c>
      <c r="AF603" s="833"/>
      <c r="AG603" s="833"/>
      <c r="AH603" s="91" t="s">
        <v>109</v>
      </c>
      <c r="AI603" s="92" t="str">
        <f t="shared" si="1536"/>
        <v/>
      </c>
      <c r="AJ603" s="828" t="str">
        <f t="shared" ref="AJ603:AJ605" si="1598">IF(G603=0,"",IF(AD603="me","  delivery-only",CONCATENATE(" $",ROUND(AI603/G603,2)," each")))</f>
        <v/>
      </c>
      <c r="AK603" s="828"/>
      <c r="AL603" s="313" t="str">
        <f t="shared" si="1561"/>
        <v/>
      </c>
      <c r="AM603" s="312"/>
      <c r="AN603" s="101"/>
      <c r="AO603" s="101"/>
      <c r="AP603" s="101"/>
      <c r="AQ603" s="101"/>
      <c r="AR603" s="101"/>
      <c r="AS603" s="101"/>
      <c r="AT603" s="101"/>
    </row>
    <row r="604" spans="1:46" ht="12.95" customHeight="1">
      <c r="A604" s="448">
        <v>15</v>
      </c>
      <c r="B604" s="158" t="s">
        <v>50</v>
      </c>
      <c r="C604" s="160" t="s">
        <v>1216</v>
      </c>
      <c r="D604" s="161" t="s">
        <v>54</v>
      </c>
      <c r="E604" s="162">
        <v>171.95</v>
      </c>
      <c r="F604" s="713" t="s">
        <v>1306</v>
      </c>
      <c r="G604" s="357">
        <v>0</v>
      </c>
      <c r="H604" s="748" t="str">
        <f t="shared" ref="H604" si="1599">IF(G604=0,"",IF(F604="Qty=",IF(G604=1,"plant","plants"),IF(F604&gt;0.0001,"warranty","Error")))</f>
        <v/>
      </c>
      <c r="I604" s="592">
        <f t="shared" ref="I604" si="1600">IF(F604="Qty=",(E604*G604),((E604*(1-F604))*G604))</f>
        <v>0</v>
      </c>
      <c r="J604" s="592">
        <f>IF(H604="warranty",0,(I604*($J$1782)))</f>
        <v>0</v>
      </c>
      <c r="K604" s="834">
        <f t="shared" ref="K604" si="1601">I604+J604</f>
        <v>0</v>
      </c>
      <c r="L604" s="834"/>
      <c r="M604" s="832" t="str">
        <f>IF($H$1784=0,"",IF(G604=0,"",IF(F604="Qty=",CONCATENATE("$",ROUND(K604*(1-$H$1784),2)," with ",($H$1784*100),"% discount"),CONCATENATE("$",ROUND(K604*(1-$H$1784),2)," with ",(($H$1784*100+F604*100)-($H$1784*100*F604)),IF(F604&gt;0,"% discounts",IF($H$1781&gt;0,"% discounts","% discount"))))))</f>
        <v/>
      </c>
      <c r="N604" s="832"/>
      <c r="O604" s="832"/>
      <c r="P604" s="832"/>
      <c r="Q604" s="832"/>
      <c r="R604" s="832"/>
      <c r="S604" s="303">
        <f t="shared" ref="S604" si="1602">E604*G604</f>
        <v>0</v>
      </c>
      <c r="T604" s="541">
        <f>VLOOKUP(A604,'Discount Lookup'!D:E,2,FALSE)*G604</f>
        <v>0</v>
      </c>
      <c r="U604" s="83">
        <f>VLOOKUP(A604,'Discount Lookup'!G:H,2,FALSE)*G604</f>
        <v>0</v>
      </c>
      <c r="V604" s="100">
        <f>E604*($J$1782)*G604</f>
        <v>0</v>
      </c>
      <c r="W604" s="100">
        <f t="shared" ref="W604" si="1603">I604</f>
        <v>0</v>
      </c>
      <c r="X604" s="100" t="b">
        <f>IF(G604&gt;0,IF(AD604="me","",G604))</f>
        <v>0</v>
      </c>
      <c r="Y604" s="201"/>
      <c r="Z604" s="838" t="str">
        <f t="shared" si="1597"/>
        <v/>
      </c>
      <c r="AA604" s="838"/>
      <c r="AB604" s="830" t="str">
        <f>IF(G604=0,"",IF(AD604="free","re-planting",IF(AD604="me","not NVP, by",IF($AD$8="yes",(VLOOKUP(A604,'Discount Lookup'!J:K,2)*G604*(1-$AC$1786)*(1+$AC$1788)),IF(AD604="NVP",(VLOOKUP(A604,'Discount Lookup'!J:K,2)*G604*(1-$AC$1786)*(1+$AC$1788)),IF(AD604="free","re-planting",IF(G604=0,"",IF($AD$8="",IF(AD604="me","not NVP, by",IF(AD604="",IF(G604&gt;0,(VLOOKUP(A604,'Discount Lookup'!J:K,2)*G604*(1-$AC$1786)*(1+$AC$1788)),""),"")),"not NVP, by"))))))))</f>
        <v/>
      </c>
      <c r="AC604" s="830"/>
      <c r="AD604" s="375" t="str">
        <f t="shared" si="1516"/>
        <v/>
      </c>
      <c r="AE604" s="833" t="str">
        <f t="shared" si="1596"/>
        <v/>
      </c>
      <c r="AF604" s="833"/>
      <c r="AG604" s="833"/>
      <c r="AH604" s="91" t="str">
        <f>IF(AD604="free",0,IF(AD604="me","",IF(G604&gt;0,(VLOOKUP(A604,'Discount Lookup'!J:K,2)*G604),"")))</f>
        <v/>
      </c>
      <c r="AI604" s="92" t="str">
        <f t="shared" si="1536"/>
        <v/>
      </c>
      <c r="AJ604" s="828" t="str">
        <f t="shared" si="1598"/>
        <v/>
      </c>
      <c r="AK604" s="828"/>
      <c r="AL604" s="313" t="str">
        <f t="shared" si="1561"/>
        <v/>
      </c>
      <c r="AM604" s="312"/>
      <c r="AN604" s="101"/>
      <c r="AO604" s="101"/>
      <c r="AP604" s="101"/>
      <c r="AQ604" s="101"/>
      <c r="AR604" s="101"/>
      <c r="AS604" s="101"/>
      <c r="AT604" s="101"/>
    </row>
    <row r="605" spans="1:46" ht="12.95" customHeight="1">
      <c r="A605" s="476"/>
      <c r="B605" s="173" t="s">
        <v>985</v>
      </c>
      <c r="C605" s="118"/>
      <c r="D605" s="118"/>
      <c r="E605" s="119"/>
      <c r="F605" s="711"/>
      <c r="G605" s="358"/>
      <c r="H605" s="745"/>
      <c r="I605" s="119"/>
      <c r="J605" s="840"/>
      <c r="K605" s="840"/>
      <c r="L605" s="840"/>
      <c r="M605" s="48"/>
      <c r="N605" s="122" t="s">
        <v>277</v>
      </c>
      <c r="O605" s="123"/>
      <c r="P605" s="124"/>
      <c r="Q605" s="841" t="s">
        <v>125</v>
      </c>
      <c r="R605" s="841"/>
      <c r="S605" s="841"/>
      <c r="T605" s="841"/>
      <c r="U605" s="841"/>
      <c r="V605" s="841"/>
      <c r="Y605" s="132"/>
      <c r="Z605" s="838" t="str">
        <f t="shared" si="1597"/>
        <v/>
      </c>
      <c r="AA605" s="838"/>
      <c r="AB605" s="830" t="str">
        <f>IF(G605=0,"",IF(AD605="free","re-planting",IF(AD605="me","not NVP, by",IF($AD$8="yes",(VLOOKUP(A605,'Discount Lookup'!J:K,2)*G605*(1-$AC$1786)*(1+$AC$1788)),IF(AD605="NVP",(VLOOKUP(A605,'Discount Lookup'!J:K,2)*G605*(1-$AC$1786)*(1+$AC$1788)),IF(AD605="free","re-planting",IF(G605=0,"",IF($AD$8="",IF(AD605="me","not NVP, by",IF(AD605="",IF(G605&gt;0,(VLOOKUP(A605,'Discount Lookup'!J:K,2)*G605*(1-$AC$1786)*(1+$AC$1788)),""),"")),"not NVP, by"))))))))</f>
        <v/>
      </c>
      <c r="AC605" s="830"/>
      <c r="AD605" s="375" t="str">
        <f t="shared" ref="AD605:AD611" si="1604">IF(G605=0,"",IF($AD$8="me","me",IF(H605="warranty","free",IF($AD$8="yes","NVP",""))))</f>
        <v/>
      </c>
      <c r="AE605" s="833" t="str">
        <f t="shared" si="1596"/>
        <v/>
      </c>
      <c r="AF605" s="833"/>
      <c r="AG605" s="833"/>
      <c r="AH605" s="91" t="s">
        <v>109</v>
      </c>
      <c r="AI605" s="92" t="str">
        <f t="shared" si="1536"/>
        <v/>
      </c>
      <c r="AJ605" s="828" t="str">
        <f t="shared" si="1598"/>
        <v/>
      </c>
      <c r="AK605" s="828"/>
      <c r="AL605" s="313" t="str">
        <f t="shared" si="1561"/>
        <v/>
      </c>
      <c r="AM605" s="312"/>
      <c r="AN605" s="101"/>
      <c r="AO605" s="101"/>
      <c r="AP605" s="101"/>
      <c r="AQ605" s="101"/>
      <c r="AR605" s="101"/>
      <c r="AS605" s="101"/>
      <c r="AT605" s="101"/>
    </row>
    <row r="606" spans="1:46" ht="12.95" customHeight="1">
      <c r="A606" s="889" t="s">
        <v>402</v>
      </c>
      <c r="B606" s="890"/>
      <c r="C606" s="890"/>
      <c r="D606" s="890"/>
      <c r="E606" s="890"/>
      <c r="F606" s="890"/>
      <c r="G606" s="890"/>
      <c r="H606" s="774" t="s">
        <v>403</v>
      </c>
      <c r="I606" s="349" t="s">
        <v>280</v>
      </c>
      <c r="J606" s="157"/>
      <c r="K606" s="611" t="s">
        <v>45</v>
      </c>
      <c r="L606" s="630" t="s">
        <v>46</v>
      </c>
      <c r="M606" s="157"/>
      <c r="N606" s="158" t="s">
        <v>69</v>
      </c>
      <c r="O606" s="158"/>
      <c r="P606" s="164"/>
      <c r="Q606" s="164"/>
      <c r="R606" s="157"/>
      <c r="S606" s="170"/>
      <c r="T606" s="547"/>
      <c r="U606" s="171"/>
      <c r="V606" s="100" t="b">
        <f>IF(G606&gt;0,IF(AD606="me","",G606))</f>
        <v>0</v>
      </c>
      <c r="W606" s="100"/>
      <c r="X606" s="100"/>
      <c r="Y606" s="201"/>
      <c r="Z606" s="829" t="str">
        <f t="shared" si="1542"/>
        <v/>
      </c>
      <c r="AA606" s="829"/>
      <c r="AB606" s="830" t="str">
        <f>IF(G606=0,"",IF(AD606="free","re-planting",IF(AD606="me","not NVP, by",IF($AD$8="yes",(VLOOKUP(A606,'Discount Lookup'!J:K,2)*G606*(1-$AC$1786)*(1+$AC$1788)),IF(AD606="NVP",(VLOOKUP(A606,'Discount Lookup'!J:K,2)*G606*(1-$AC$1786)*(1+$AC$1788)),IF(AD606="free","re-planting",IF(G606=0,"",IF($AD$8="",IF(AD606="me","not NVP, by",IF(AD606="",IF(G606&gt;0,(VLOOKUP(A606,'Discount Lookup'!J:K,2)*G606*(1-$AC$1786)*(1+$AC$1788)),""),"")),"not NVP, by"))))))))</f>
        <v/>
      </c>
      <c r="AC606" s="830"/>
      <c r="AD606" s="375" t="str">
        <f t="shared" si="1604"/>
        <v/>
      </c>
      <c r="AE606" s="833" t="str">
        <f t="shared" ref="AE606:AE680" si="1605">IF(G606&gt;0,(CONCATENATE((G606)," quantity, ",(A606)," ",B606)),"")</f>
        <v/>
      </c>
      <c r="AF606" s="833"/>
      <c r="AG606" s="833"/>
      <c r="AH606" s="91">
        <f>IF(AD606="free",0,IF(AD606="me",0,IF(G606&gt;0,(VLOOKUP(A606,'Discount Lookup'!J:K,2)*G606),0)))</f>
        <v>0</v>
      </c>
      <c r="AI606" s="92" t="str">
        <f t="shared" si="1536"/>
        <v/>
      </c>
      <c r="AJ606" s="828" t="str">
        <f t="shared" si="1543"/>
        <v/>
      </c>
      <c r="AK606" s="828"/>
      <c r="AL606" s="313" t="str">
        <f t="shared" si="1561"/>
        <v/>
      </c>
      <c r="AM606" s="312"/>
      <c r="AN606" s="101"/>
      <c r="AO606" s="101"/>
      <c r="AP606" s="101"/>
      <c r="AQ606" s="101"/>
      <c r="AR606" s="101"/>
      <c r="AS606" s="101"/>
      <c r="AT606" s="101"/>
    </row>
    <row r="607" spans="1:46" ht="12.95" customHeight="1">
      <c r="A607" s="383">
        <v>15</v>
      </c>
      <c r="B607" s="158" t="s">
        <v>50</v>
      </c>
      <c r="C607" s="168" t="s">
        <v>64</v>
      </c>
      <c r="D607" s="161" t="s">
        <v>62</v>
      </c>
      <c r="E607" s="162">
        <v>155.94999999999999</v>
      </c>
      <c r="F607" s="713" t="s">
        <v>1306</v>
      </c>
      <c r="G607" s="357">
        <v>0</v>
      </c>
      <c r="H607" s="748" t="str">
        <f t="shared" ref="H607:H608" si="1606">IF(G607=0,"",IF(F607="Qty=",IF(G607=1,"plant","plants"),IF(F607&gt;0.0001,"warranty","Error")))</f>
        <v/>
      </c>
      <c r="I607" s="592">
        <f t="shared" ref="I607:I608" si="1607">IF(F607="Qty=",(E607*G607),((E607*(1-F607))*G607))</f>
        <v>0</v>
      </c>
      <c r="J607" s="592">
        <f>IF(H607="warranty",0,(I607*($J$1782)))</f>
        <v>0</v>
      </c>
      <c r="K607" s="834">
        <f t="shared" ref="K607:K608" si="1608">I607+J607</f>
        <v>0</v>
      </c>
      <c r="L607" s="834"/>
      <c r="M607" s="832" t="str">
        <f>IF($H$1784=0,"",IF(G607=0,"",IF(F607="Qty=",CONCATENATE("$",ROUND(K607*(1-$H$1784),2)," with ",($H$1784*100),"% discount"),CONCATENATE("$",ROUND(K607*(1-$H$1784),2)," with ",(($H$1784*100+F607*100)-($H$1784*100*F607)),IF(F607&gt;0,"% discounts",IF($H$1781&gt;0,"% discounts","% discount"))))))</f>
        <v/>
      </c>
      <c r="N607" s="832"/>
      <c r="O607" s="832"/>
      <c r="P607" s="832"/>
      <c r="Q607" s="832"/>
      <c r="R607" s="832"/>
      <c r="S607" s="303">
        <f t="shared" ref="S607:S608" si="1609">E607*G607</f>
        <v>0</v>
      </c>
      <c r="T607" s="541">
        <f>VLOOKUP(A607,'Discount Lookup'!D:E,2,FALSE)*G607</f>
        <v>0</v>
      </c>
      <c r="U607" s="83">
        <f>VLOOKUP(A607,'Discount Lookup'!G:H,2,FALSE)*G607</f>
        <v>0</v>
      </c>
      <c r="V607" s="100">
        <f>E607*($J$1782)*G607</f>
        <v>0</v>
      </c>
      <c r="W607" s="100">
        <f t="shared" ref="W607:W608" si="1610">I607</f>
        <v>0</v>
      </c>
      <c r="X607" s="100" t="b">
        <f>IF(G607&gt;0,IF(AD607="me","",G607))</f>
        <v>0</v>
      </c>
      <c r="Y607" s="201"/>
      <c r="Z607" s="829" t="str">
        <f t="shared" si="1542"/>
        <v/>
      </c>
      <c r="AA607" s="829"/>
      <c r="AB607" s="830" t="str">
        <f>IF(G607=0,"",IF(AD607="free","re-planting",IF(AD607="me","not NVP, by",IF($AD$8="yes",(VLOOKUP(A607,'Discount Lookup'!J:K,2)*G607*(1-$AC$1786)*(1+$AC$1788)),IF(AD607="NVP",(VLOOKUP(A607,'Discount Lookup'!J:K,2)*G607*(1-$AC$1786)*(1+$AC$1788)),IF(AD607="free","re-planting",IF(G607=0,"",IF($AD$8="",IF(AD607="me","not NVP, by",IF(AD607="",IF(G607&gt;0,(VLOOKUP(A607,'Discount Lookup'!J:K,2)*G607*(1-$AC$1786)*(1+$AC$1788)),""),"")),"not NVP, by"))))))))</f>
        <v/>
      </c>
      <c r="AC607" s="830"/>
      <c r="AD607" s="375" t="str">
        <f t="shared" si="1604"/>
        <v/>
      </c>
      <c r="AE607" s="833" t="str">
        <f t="shared" si="1605"/>
        <v/>
      </c>
      <c r="AF607" s="833"/>
      <c r="AG607" s="833"/>
      <c r="AH607" s="91">
        <f>IF(AD607="free",0,IF(AD607="me",0,IF(G607&gt;0,(VLOOKUP(A607,'Discount Lookup'!J:K,2)*G607),0)))</f>
        <v>0</v>
      </c>
      <c r="AI607" s="92" t="str">
        <f t="shared" si="1536"/>
        <v/>
      </c>
      <c r="AJ607" s="828" t="str">
        <f t="shared" si="1543"/>
        <v/>
      </c>
      <c r="AK607" s="828"/>
      <c r="AL607" s="313" t="str">
        <f t="shared" si="1561"/>
        <v/>
      </c>
      <c r="AM607" s="312"/>
      <c r="AN607" s="101"/>
      <c r="AO607" s="101"/>
      <c r="AP607" s="101"/>
      <c r="AQ607" s="101"/>
      <c r="AR607" s="101"/>
      <c r="AS607" s="101"/>
      <c r="AT607" s="101"/>
    </row>
    <row r="608" spans="1:46" ht="12.95" customHeight="1">
      <c r="A608" s="383">
        <v>25</v>
      </c>
      <c r="B608" s="158" t="s">
        <v>50</v>
      </c>
      <c r="C608" s="172" t="s">
        <v>1498</v>
      </c>
      <c r="D608" s="161" t="s">
        <v>90</v>
      </c>
      <c r="E608" s="162">
        <v>304.95</v>
      </c>
      <c r="F608" s="713" t="s">
        <v>1306</v>
      </c>
      <c r="G608" s="357">
        <v>0</v>
      </c>
      <c r="H608" s="748" t="str">
        <f t="shared" si="1606"/>
        <v/>
      </c>
      <c r="I608" s="592">
        <f t="shared" si="1607"/>
        <v>0</v>
      </c>
      <c r="J608" s="592">
        <f>IF(H608="warranty",0,(I608*($J$1782)))</f>
        <v>0</v>
      </c>
      <c r="K608" s="834">
        <f t="shared" si="1608"/>
        <v>0</v>
      </c>
      <c r="L608" s="834"/>
      <c r="M608" s="832" t="str">
        <f>IF($H$1784=0,"",IF(G608=0,"",IF(F608="Qty=",CONCATENATE("$",ROUND(K608*(1-$H$1784),2)," with ",($H$1784*100),"% discount"),CONCATENATE("$",ROUND(K608*(1-$H$1784),2)," with ",(($H$1784*100+F608*100)-($H$1784*100*F608)),IF(F608&gt;0,"% discounts",IF($H$1781&gt;0,"% discounts","% discount"))))))</f>
        <v/>
      </c>
      <c r="N608" s="832"/>
      <c r="O608" s="832"/>
      <c r="P608" s="832"/>
      <c r="Q608" s="832"/>
      <c r="R608" s="832"/>
      <c r="S608" s="303">
        <f t="shared" si="1609"/>
        <v>0</v>
      </c>
      <c r="T608" s="541">
        <f>VLOOKUP(A608,'Discount Lookup'!D:E,2,FALSE)*G608</f>
        <v>0</v>
      </c>
      <c r="U608" s="83">
        <f>VLOOKUP(A608,'Discount Lookup'!G:H,2,FALSE)*G608</f>
        <v>0</v>
      </c>
      <c r="V608" s="100">
        <f>E608*($J$1782)*G608</f>
        <v>0</v>
      </c>
      <c r="W608" s="100">
        <f t="shared" si="1610"/>
        <v>0</v>
      </c>
      <c r="X608" s="100" t="b">
        <f t="shared" ref="X608" si="1611">IF(G608&gt;0,IF(AD608="me","",G608))</f>
        <v>0</v>
      </c>
      <c r="Y608" s="201"/>
      <c r="Z608" s="829" t="str">
        <f t="shared" ref="Z608" si="1612">IF(G608=0,"",IF(AD608="me","",IF($AD$8="me","",IF(AD608="free","warranty",IF($AD$8="yes","NVP planting:","to NVP install:")))))</f>
        <v/>
      </c>
      <c r="AA608" s="829"/>
      <c r="AB608" s="830" t="str">
        <f>IF(G608=0,"",IF(AD608="free","re-planting",IF(AD608="me","not NVP, by",IF($AD$8="yes",(VLOOKUP(A608,'Discount Lookup'!J:K,2)*G608*(1-$AC$1786)*(1+$AC$1788)),IF(AD608="NVP",(VLOOKUP(A608,'Discount Lookup'!J:K,2)*G608*(1-$AC$1786)*(1+$AC$1788)),IF(AD608="free","re-planting",IF(G608=0,"",IF($AD$8="",IF(AD608="me","not NVP, by",IF(AD608="",IF(G608&gt;0,(VLOOKUP(A608,'Discount Lookup'!J:K,2)*G608*(1-$AC$1786)*(1+$AC$1788)),""),"")),"not NVP, by"))))))))</f>
        <v/>
      </c>
      <c r="AC608" s="830"/>
      <c r="AD608" s="375" t="str">
        <f t="shared" si="1604"/>
        <v/>
      </c>
      <c r="AE608" s="833" t="str">
        <f t="shared" si="1605"/>
        <v/>
      </c>
      <c r="AF608" s="833"/>
      <c r="AG608" s="833"/>
      <c r="AH608" s="91">
        <f>IF(AD608="free",0,IF(AD608="me",0,IF(G608&gt;0,(VLOOKUP(A608,'Discount Lookup'!J:K,2)*G608),0)))</f>
        <v>0</v>
      </c>
      <c r="AI608" s="92" t="str">
        <f t="shared" ref="AI608:AI639" si="1613">IF(G608=0,"",IF(AD608="free",(K608*(1-$H$1784)),IF($AD$8="me",(K608*(1-$H$1784)),IF(AD608="me",(K608*(1-$H$1784)),(K608*(1-$H$1784))+AB608))))</f>
        <v/>
      </c>
      <c r="AJ608" s="828" t="str">
        <f t="shared" ref="AJ608" si="1614">IF(G608=0,"",IF(AD608="me","  delivery-only",IF($AD$8="me","  delivery-only",CONCATENATE(" $",ROUND(AI608/G608,2)," each"))))</f>
        <v/>
      </c>
      <c r="AK608" s="828"/>
      <c r="AL608" s="313" t="str">
        <f t="shared" si="1561"/>
        <v/>
      </c>
      <c r="AM608" s="312"/>
      <c r="AN608" s="101"/>
      <c r="AO608" s="101"/>
      <c r="AP608" s="101"/>
      <c r="AQ608" s="101"/>
      <c r="AR608" s="101"/>
      <c r="AS608" s="101"/>
      <c r="AT608" s="101"/>
    </row>
    <row r="609" spans="1:48" ht="12.95" customHeight="1">
      <c r="A609" s="472"/>
      <c r="B609" s="173" t="s">
        <v>404</v>
      </c>
      <c r="C609" s="187"/>
      <c r="D609" s="187"/>
      <c r="G609" s="356"/>
      <c r="H609" s="745"/>
      <c r="I609" s="119"/>
      <c r="J609" s="119"/>
      <c r="K609" s="609"/>
      <c r="L609" s="609"/>
      <c r="M609" s="121"/>
      <c r="N609" s="121"/>
      <c r="O609" s="123"/>
      <c r="P609" s="124"/>
      <c r="Q609" s="124"/>
      <c r="R609" s="83"/>
      <c r="S609" s="82">
        <f>E609*G609</f>
        <v>0</v>
      </c>
      <c r="T609" s="540"/>
      <c r="U609" s="83"/>
      <c r="V609" s="100" t="b">
        <f>IF(G609&gt;0,IF(AD609="me","",G609))</f>
        <v>0</v>
      </c>
      <c r="W609" s="100"/>
      <c r="X609" s="100"/>
      <c r="Y609" s="201"/>
      <c r="Z609" s="829" t="str">
        <f t="shared" si="1542"/>
        <v/>
      </c>
      <c r="AA609" s="829"/>
      <c r="AB609" s="830" t="str">
        <f>IF(G609=0,"",IF(AD609="free","re-planting",IF(AD609="me","not NVP, by",IF($AD$8="yes",(VLOOKUP(A609,'Discount Lookup'!J:K,2)*G609*(1-$AC$1786)*(1+$AC$1788)),IF(AD609="NVP",(VLOOKUP(A609,'Discount Lookup'!J:K,2)*G609*(1-$AC$1786)*(1+$AC$1788)),IF(AD609="free","re-planting",IF(G609=0,"",IF($AD$8="",IF(AD609="me","not NVP, by",IF(AD609="",IF(G609&gt;0,(VLOOKUP(A609,'Discount Lookup'!J:K,2)*G609*(1-$AC$1786)*(1+$AC$1788)),""),"")),"not NVP, by"))))))))</f>
        <v/>
      </c>
      <c r="AC609" s="830"/>
      <c r="AD609" s="375" t="str">
        <f t="shared" si="1604"/>
        <v/>
      </c>
      <c r="AE609" s="833" t="str">
        <f t="shared" si="1605"/>
        <v/>
      </c>
      <c r="AF609" s="833"/>
      <c r="AG609" s="833"/>
      <c r="AH609" s="91">
        <f>IF(AD609="free",0,IF(AD609="me",0,IF(G609&gt;0,(VLOOKUP(A609,'Discount Lookup'!J:K,2)*G609),0)))</f>
        <v>0</v>
      </c>
      <c r="AI609" s="92" t="str">
        <f t="shared" si="1613"/>
        <v/>
      </c>
      <c r="AJ609" s="828" t="str">
        <f t="shared" si="1543"/>
        <v/>
      </c>
      <c r="AK609" s="828"/>
      <c r="AL609" s="313" t="str">
        <f t="shared" si="1561"/>
        <v/>
      </c>
      <c r="AM609" s="312"/>
      <c r="AN609" s="101"/>
      <c r="AO609" s="101"/>
      <c r="AP609" s="101"/>
      <c r="AQ609" s="101"/>
      <c r="AR609" s="101"/>
      <c r="AS609" s="101"/>
      <c r="AT609" s="101"/>
    </row>
    <row r="610" spans="1:48" ht="12.95" customHeight="1">
      <c r="A610" s="894" t="s">
        <v>405</v>
      </c>
      <c r="B610" s="895"/>
      <c r="C610" s="895"/>
      <c r="D610" s="895"/>
      <c r="E610" s="895"/>
      <c r="F610" s="895"/>
      <c r="G610" s="895"/>
      <c r="H610" s="774" t="s">
        <v>403</v>
      </c>
      <c r="I610" s="164" t="s">
        <v>79</v>
      </c>
      <c r="J610" s="157"/>
      <c r="K610" s="611" t="s">
        <v>45</v>
      </c>
      <c r="L610" s="630" t="s">
        <v>46</v>
      </c>
      <c r="M610" s="157"/>
      <c r="N610" s="158" t="s">
        <v>69</v>
      </c>
      <c r="O610" s="158"/>
      <c r="P610" s="164"/>
      <c r="Q610" s="164"/>
      <c r="R610" s="157"/>
      <c r="S610" s="170"/>
      <c r="T610" s="547"/>
      <c r="U610" s="171"/>
      <c r="V610" s="100" t="b">
        <f>IF(G610&gt;0,IF(AD610="me","",G610))</f>
        <v>0</v>
      </c>
      <c r="W610" s="100"/>
      <c r="X610" s="100"/>
      <c r="Y610" s="201"/>
      <c r="Z610" s="829" t="str">
        <f t="shared" si="1542"/>
        <v/>
      </c>
      <c r="AA610" s="829"/>
      <c r="AB610" s="830" t="str">
        <f>IF(G610=0,"",IF(AD610="free","re-planting",IF(AD610="me","not NVP, by",IF($AD$8="yes",(VLOOKUP(A610,'Discount Lookup'!J:K,2)*G610*(1-$AC$1786)*(1+$AC$1788)),IF(AD610="NVP",(VLOOKUP(A610,'Discount Lookup'!J:K,2)*G610*(1-$AC$1786)*(1+$AC$1788)),IF(AD610="free","re-planting",IF(G610=0,"",IF($AD$8="",IF(AD610="me","not NVP, by",IF(AD610="",IF(G610&gt;0,(VLOOKUP(A610,'Discount Lookup'!J:K,2)*G610*(1-$AC$1786)*(1+$AC$1788)),""),"")),"not NVP, by"))))))))</f>
        <v/>
      </c>
      <c r="AC610" s="830"/>
      <c r="AD610" s="375" t="str">
        <f t="shared" si="1604"/>
        <v/>
      </c>
      <c r="AE610" s="833" t="str">
        <f t="shared" si="1605"/>
        <v/>
      </c>
      <c r="AF610" s="833"/>
      <c r="AG610" s="833"/>
      <c r="AH610" s="91">
        <f>IF(AD610="free",0,IF(AD610="me",0,IF(G610&gt;0,(VLOOKUP(A610,'Discount Lookup'!J:K,2)*G610),0)))</f>
        <v>0</v>
      </c>
      <c r="AI610" s="92" t="str">
        <f t="shared" si="1613"/>
        <v/>
      </c>
      <c r="AJ610" s="828" t="str">
        <f t="shared" si="1543"/>
        <v/>
      </c>
      <c r="AK610" s="828"/>
      <c r="AL610" s="313" t="str">
        <f t="shared" si="1561"/>
        <v/>
      </c>
      <c r="AM610" s="312"/>
      <c r="AN610" s="101"/>
      <c r="AO610" s="101"/>
      <c r="AP610" s="101"/>
      <c r="AQ610" s="101"/>
      <c r="AR610" s="101"/>
      <c r="AS610" s="101"/>
      <c r="AT610" s="101"/>
    </row>
    <row r="611" spans="1:48" ht="12.95" customHeight="1">
      <c r="A611" s="383">
        <v>15</v>
      </c>
      <c r="B611" s="158" t="s">
        <v>50</v>
      </c>
      <c r="C611" s="160" t="s">
        <v>968</v>
      </c>
      <c r="D611" s="161" t="s">
        <v>87</v>
      </c>
      <c r="E611" s="162">
        <v>176.95</v>
      </c>
      <c r="F611" s="713" t="s">
        <v>1306</v>
      </c>
      <c r="G611" s="357">
        <v>0</v>
      </c>
      <c r="H611" s="748" t="str">
        <f t="shared" ref="H611" si="1615">IF(G611=0,"",IF(F611="Qty=",IF(G611=1,"plant","plants"),IF(F611&gt;0.0001,"warranty","Error")))</f>
        <v/>
      </c>
      <c r="I611" s="592">
        <f t="shared" ref="I611" si="1616">IF(F611="Qty=",(E611*G611),((E611*(1-F611))*G611))</f>
        <v>0</v>
      </c>
      <c r="J611" s="592">
        <f>IF(H611="warranty",0,(I611*($J$1782)))</f>
        <v>0</v>
      </c>
      <c r="K611" s="834">
        <f t="shared" ref="K611:K614" si="1617">I611+J611</f>
        <v>0</v>
      </c>
      <c r="L611" s="834"/>
      <c r="M611" s="832" t="str">
        <f>IF($H$1784=0,"",IF(G611=0,"",IF(F611="Qty=",CONCATENATE("$",ROUND(K611*(1-$H$1784),2)," with ",($H$1784*100),"% discount"),CONCATENATE("$",ROUND(K611*(1-$H$1784),2)," with ",(($H$1784*100+F611*100)-($H$1784*100*F611)),IF(F611&gt;0,"% discounts",IF($H$1781&gt;0,"% discounts","% discount"))))))</f>
        <v/>
      </c>
      <c r="N611" s="832"/>
      <c r="O611" s="832"/>
      <c r="P611" s="832"/>
      <c r="Q611" s="832"/>
      <c r="R611" s="832"/>
      <c r="S611" s="303">
        <f t="shared" ref="S611" si="1618">E611*G611</f>
        <v>0</v>
      </c>
      <c r="T611" s="541">
        <f>VLOOKUP(A611,'Discount Lookup'!D:E,2,FALSE)*G611</f>
        <v>0</v>
      </c>
      <c r="U611" s="83">
        <f>VLOOKUP(A611,'Discount Lookup'!G:H,2,FALSE)*G611</f>
        <v>0</v>
      </c>
      <c r="V611" s="100">
        <f>E611*($J$1782)*G611</f>
        <v>0</v>
      </c>
      <c r="W611" s="100">
        <f t="shared" ref="W611" si="1619">I611</f>
        <v>0</v>
      </c>
      <c r="X611" s="100" t="b">
        <f>IF(G611&gt;0,IF(AD611="me","",G611))</f>
        <v>0</v>
      </c>
      <c r="Y611" s="201"/>
      <c r="Z611" s="829" t="str">
        <f t="shared" ref="Z611" si="1620">IF(G611=0,"",IF(AD611="me","",IF($AD$8="me","",IF(AD611="free","warranty",IF($AD$8="yes","NVP planting:","to NVP install:")))))</f>
        <v/>
      </c>
      <c r="AA611" s="829"/>
      <c r="AB611" s="830" t="str">
        <f>IF(G611=0,"",IF(AD611="free","re-planting",IF(AD611="me","not NVP, by",IF($AD$8="yes",(VLOOKUP(A611,'Discount Lookup'!J:K,2)*G611*(1-$AC$1786)*(1+$AC$1788)),IF(AD611="NVP",(VLOOKUP(A611,'Discount Lookup'!J:K,2)*G611*(1-$AC$1786)*(1+$AC$1788)),IF(AD611="free","re-planting",IF(G611=0,"",IF($AD$8="",IF(AD611="me","not NVP, by",IF(AD611="",IF(G611&gt;0,(VLOOKUP(A611,'Discount Lookup'!J:K,2)*G611*(1-$AC$1786)*(1+$AC$1788)),""),"")),"not NVP, by"))))))))</f>
        <v/>
      </c>
      <c r="AC611" s="830"/>
      <c r="AD611" s="375" t="str">
        <f t="shared" si="1604"/>
        <v/>
      </c>
      <c r="AE611" s="833" t="str">
        <f t="shared" ref="AE611" si="1621">IF(G611&gt;0,(CONCATENATE((G611)," quantity, ",(A611)," ",B611)),"")</f>
        <v/>
      </c>
      <c r="AF611" s="833"/>
      <c r="AG611" s="833"/>
      <c r="AH611" s="91">
        <f>IF(AD611="free",0,IF(AD611="me",0,IF(G611&gt;0,(VLOOKUP(A611,'Discount Lookup'!J:K,2)*G611),0)))</f>
        <v>0</v>
      </c>
      <c r="AI611" s="92" t="str">
        <f t="shared" si="1613"/>
        <v/>
      </c>
      <c r="AJ611" s="828" t="str">
        <f t="shared" ref="AJ611" si="1622">IF(G611=0,"",IF(AD611="me","  delivery-only",IF($AD$8="me","  delivery-only",CONCATENATE(" $",ROUND(AI611/G611,2)," each"))))</f>
        <v/>
      </c>
      <c r="AK611" s="828"/>
      <c r="AL611" s="313" t="str">
        <f t="shared" si="1561"/>
        <v/>
      </c>
      <c r="AM611" s="312"/>
      <c r="AN611" s="101"/>
      <c r="AO611" s="101"/>
      <c r="AP611" s="101"/>
      <c r="AQ611" s="101"/>
      <c r="AR611" s="101"/>
      <c r="AS611" s="101"/>
      <c r="AT611" s="101"/>
    </row>
    <row r="612" spans="1:48" ht="12.95" customHeight="1">
      <c r="A612" s="383">
        <v>15</v>
      </c>
      <c r="B612" s="158" t="s">
        <v>50</v>
      </c>
      <c r="C612" s="160" t="s">
        <v>70</v>
      </c>
      <c r="D612" s="161" t="s">
        <v>54</v>
      </c>
      <c r="E612" s="162">
        <v>155.94999999999999</v>
      </c>
      <c r="F612" s="713" t="s">
        <v>1306</v>
      </c>
      <c r="G612" s="357">
        <v>0</v>
      </c>
      <c r="H612" s="748" t="str">
        <f t="shared" ref="H612" si="1623">IF(G612=0,"",IF(F612="Qty=",IF(G612=1,"plant","plants"),IF(F612&gt;0.0001,"warranty","Error")))</f>
        <v/>
      </c>
      <c r="I612" s="592">
        <f t="shared" ref="I612" si="1624">IF(F612="Qty=",(E612*G612),((E612*(1-F612))*G612))</f>
        <v>0</v>
      </c>
      <c r="J612" s="592">
        <f>IF(H612="warranty",0,(I612*($J$1782)))</f>
        <v>0</v>
      </c>
      <c r="K612" s="834">
        <f t="shared" si="1617"/>
        <v>0</v>
      </c>
      <c r="L612" s="834"/>
      <c r="M612" s="832" t="str">
        <f>IF($H$1784=0,"",IF(G612=0,"",IF(F612="Qty=",CONCATENATE("$",ROUND(K612*(1-$H$1784),2)," with ",($H$1784*100),"% discount"),CONCATENATE("$",ROUND(K612*(1-$H$1784),2)," with ",(($H$1784*100+F612*100)-($H$1784*100*F612)),IF(F612&gt;0,"% discounts",IF($H$1781&gt;0,"% discounts","% discount"))))))</f>
        <v/>
      </c>
      <c r="N612" s="832"/>
      <c r="O612" s="832"/>
      <c r="P612" s="832"/>
      <c r="Q612" s="832"/>
      <c r="R612" s="832"/>
      <c r="S612" s="303">
        <f t="shared" ref="S612" si="1625">E612*G612</f>
        <v>0</v>
      </c>
      <c r="T612" s="541">
        <f>VLOOKUP(A612,'Discount Lookup'!D:E,2,FALSE)*G612</f>
        <v>0</v>
      </c>
      <c r="U612" s="83">
        <f>VLOOKUP(A612,'Discount Lookup'!G:H,2,FALSE)*G612</f>
        <v>0</v>
      </c>
      <c r="V612" s="100">
        <f>E612*($J$1782)*G612</f>
        <v>0</v>
      </c>
      <c r="W612" s="100">
        <f t="shared" ref="W612" si="1626">I612</f>
        <v>0</v>
      </c>
      <c r="X612" s="100" t="b">
        <f>IF(G612&gt;0,IF(AD612="me","",G612))</f>
        <v>0</v>
      </c>
      <c r="Y612" s="201"/>
      <c r="Z612" s="829" t="str">
        <f t="shared" ref="Z612" si="1627">IF(G612=0,"",IF(AD612="me","",IF($AD$8="me","",IF(AD612="free","warranty",IF($AD$8="yes","NVP planting:","to NVP install:")))))</f>
        <v/>
      </c>
      <c r="AA612" s="829"/>
      <c r="AB612" s="830" t="str">
        <f>IF(G612=0,"",IF(AD612="free","re-planting",IF(AD612="me","not NVP, by",IF($AD$8="yes",(VLOOKUP(A612,'Discount Lookup'!J:K,2)*G612*(1-$AC$1786)*(1+$AC$1788)),IF(AD612="NVP",(VLOOKUP(A612,'Discount Lookup'!J:K,2)*G612*(1-$AC$1786)*(1+$AC$1788)),IF(AD612="free","re-planting",IF(G612=0,"",IF($AD$8="",IF(AD612="me","not NVP, by",IF(AD612="",IF(G612&gt;0,(VLOOKUP(A612,'Discount Lookup'!J:K,2)*G612*(1-$AC$1786)*(1+$AC$1788)),""),"")),"not NVP, by"))))))))</f>
        <v/>
      </c>
      <c r="AC612" s="830"/>
      <c r="AD612" s="375" t="str">
        <f t="shared" ref="AD612" si="1628">IF(G612=0,"",IF($AD$8="me","me",IF(H612="warranty","free",IF($AD$8="yes","NVP",""))))</f>
        <v/>
      </c>
      <c r="AE612" s="833" t="str">
        <f t="shared" ref="AE612" si="1629">IF(G612&gt;0,(CONCATENATE((G612)," quantity, ",(A612)," ",B612)),"")</f>
        <v/>
      </c>
      <c r="AF612" s="833"/>
      <c r="AG612" s="833"/>
      <c r="AH612" s="91">
        <f>IF(AD612="free",0,IF(AD612="me",0,IF(G612&gt;0,(VLOOKUP(A612,'Discount Lookup'!J:K,2)*G612),0)))</f>
        <v>0</v>
      </c>
      <c r="AI612" s="92" t="str">
        <f t="shared" si="1613"/>
        <v/>
      </c>
      <c r="AJ612" s="828" t="str">
        <f t="shared" ref="AJ612" si="1630">IF(G612=0,"",IF(AD612="me","  delivery-only",IF($AD$8="me","  delivery-only",CONCATENATE(" $",ROUND(AI612/G612,2)," each"))))</f>
        <v/>
      </c>
      <c r="AK612" s="828"/>
      <c r="AL612" s="313" t="str">
        <f t="shared" si="1561"/>
        <v/>
      </c>
      <c r="AM612" s="312"/>
      <c r="AN612" s="101"/>
      <c r="AO612" s="101"/>
      <c r="AP612" s="101"/>
      <c r="AQ612" s="101"/>
      <c r="AR612" s="101"/>
      <c r="AS612" s="101"/>
      <c r="AT612" s="101"/>
    </row>
    <row r="613" spans="1:48" ht="12.95" customHeight="1">
      <c r="A613" s="383">
        <v>25</v>
      </c>
      <c r="B613" s="158" t="s">
        <v>50</v>
      </c>
      <c r="C613" s="160" t="s">
        <v>111</v>
      </c>
      <c r="D613" s="161" t="s">
        <v>54</v>
      </c>
      <c r="E613" s="162">
        <v>293.95</v>
      </c>
      <c r="F613" s="713" t="s">
        <v>1306</v>
      </c>
      <c r="G613" s="357">
        <v>0</v>
      </c>
      <c r="H613" s="748" t="str">
        <f t="shared" ref="H613:H614" si="1631">IF(G613=0,"",IF(F613="Qty=",IF(G613=1,"plant","plants"),IF(F613&gt;0.0001,"warranty","Error")))</f>
        <v/>
      </c>
      <c r="I613" s="592">
        <f t="shared" ref="I613:I614" si="1632">IF(F613="Qty=",(E613*G613),((E613*(1-F613))*G613))</f>
        <v>0</v>
      </c>
      <c r="J613" s="592">
        <f>IF(H613="warranty",0,(I613*($J$1782)))</f>
        <v>0</v>
      </c>
      <c r="K613" s="834">
        <f t="shared" si="1617"/>
        <v>0</v>
      </c>
      <c r="L613" s="834"/>
      <c r="M613" s="832" t="str">
        <f>IF($H$1784=0,"",IF(G613=0,"",IF(F613="Qty=",CONCATENATE("$",ROUND(K613*(1-$H$1784),2)," with ",($H$1784*100),"% discount"),CONCATENATE("$",ROUND(K613*(1-$H$1784),2)," with ",(($H$1784*100+F613*100)-($H$1784*100*F613)),IF(F613&gt;0,"% discounts",IF($H$1781&gt;0,"% discounts","% discount"))))))</f>
        <v/>
      </c>
      <c r="N613" s="832"/>
      <c r="O613" s="832"/>
      <c r="P613" s="832"/>
      <c r="Q613" s="832"/>
      <c r="R613" s="832"/>
      <c r="S613" s="303">
        <f t="shared" ref="S613" si="1633">E613*G613</f>
        <v>0</v>
      </c>
      <c r="T613" s="541">
        <f>VLOOKUP(A613,'Discount Lookup'!D:E,2,FALSE)*G613</f>
        <v>0</v>
      </c>
      <c r="U613" s="83">
        <f>VLOOKUP(A613,'Discount Lookup'!G:H,2,FALSE)*G613</f>
        <v>0</v>
      </c>
      <c r="V613" s="100">
        <f>E613*($J$1782)*G613</f>
        <v>0</v>
      </c>
      <c r="W613" s="100">
        <f t="shared" ref="W613" si="1634">I613</f>
        <v>0</v>
      </c>
      <c r="X613" s="100" t="b">
        <f>IF(G613&gt;0,IF(AD613="me","",G613))</f>
        <v>0</v>
      </c>
      <c r="Y613" s="201"/>
      <c r="Z613" s="829" t="str">
        <f t="shared" si="1542"/>
        <v/>
      </c>
      <c r="AA613" s="829"/>
      <c r="AB613" s="830" t="str">
        <f>IF(G613=0,"",IF(AD613="free","re-planting",IF(AD613="me","not NVP, by",IF($AD$8="yes",(VLOOKUP(A613,'Discount Lookup'!J:K,2)*G613*(1-$AC$1786)*(1+$AC$1788)),IF(AD613="NVP",(VLOOKUP(A613,'Discount Lookup'!J:K,2)*G613*(1-$AC$1786)*(1+$AC$1788)),IF(AD613="free","re-planting",IF(G613=0,"",IF($AD$8="",IF(AD613="me","not NVP, by",IF(AD613="",IF(G613&gt;0,(VLOOKUP(A613,'Discount Lookup'!J:K,2)*G613*(1-$AC$1786)*(1+$AC$1788)),""),"")),"not NVP, by"))))))))</f>
        <v/>
      </c>
      <c r="AC613" s="830"/>
      <c r="AD613" s="375" t="str">
        <f t="shared" ref="AD613:AD656" si="1635">IF(G613=0,"",IF($AD$8="me","me",IF(H613="warranty","free",IF($AD$8="yes","NVP",""))))</f>
        <v/>
      </c>
      <c r="AE613" s="833" t="str">
        <f t="shared" ref="AE613" si="1636">IF(G613&gt;0,(CONCATENATE((G613)," quantity, ",(A613)," ",B613)),"")</f>
        <v/>
      </c>
      <c r="AF613" s="833"/>
      <c r="AG613" s="833"/>
      <c r="AH613" s="91">
        <f>IF(AD613="free",0,IF(AD613="me",0,IF(G613&gt;0,(VLOOKUP(A613,'Discount Lookup'!J:K,2)*G613),0)))</f>
        <v>0</v>
      </c>
      <c r="AI613" s="92" t="str">
        <f t="shared" si="1613"/>
        <v/>
      </c>
      <c r="AJ613" s="828" t="str">
        <f t="shared" si="1543"/>
        <v/>
      </c>
      <c r="AK613" s="828"/>
      <c r="AL613" s="313" t="str">
        <f t="shared" si="1561"/>
        <v/>
      </c>
      <c r="AM613" s="312"/>
      <c r="AN613" s="101"/>
      <c r="AO613" s="101"/>
      <c r="AP613" s="101"/>
      <c r="AQ613" s="101"/>
      <c r="AR613" s="101"/>
      <c r="AS613" s="101"/>
      <c r="AT613" s="101"/>
    </row>
    <row r="614" spans="1:48" ht="12.95" customHeight="1">
      <c r="A614" s="383">
        <v>25</v>
      </c>
      <c r="B614" s="158" t="s">
        <v>50</v>
      </c>
      <c r="C614" s="160" t="s">
        <v>70</v>
      </c>
      <c r="D614" s="161" t="s">
        <v>90</v>
      </c>
      <c r="E614" s="162">
        <v>345.95</v>
      </c>
      <c r="F614" s="713" t="s">
        <v>1306</v>
      </c>
      <c r="G614" s="357">
        <v>0</v>
      </c>
      <c r="H614" s="748" t="str">
        <f t="shared" si="1631"/>
        <v/>
      </c>
      <c r="I614" s="592">
        <f t="shared" si="1632"/>
        <v>0</v>
      </c>
      <c r="J614" s="592">
        <f>IF(H614="warranty",0,(I614*($J$1782)))</f>
        <v>0</v>
      </c>
      <c r="K614" s="834">
        <f t="shared" si="1617"/>
        <v>0</v>
      </c>
      <c r="L614" s="834"/>
      <c r="M614" s="832" t="str">
        <f>IF($H$1784=0,"",IF(G614=0,"",IF(F614="Qty=",CONCATENATE("$",ROUND(K614*(1-$H$1784),2)," with ",($H$1784*100),"% discount"),CONCATENATE("$",ROUND(K614*(1-$H$1784),2)," with ",(($H$1784*100+F614*100)-($H$1784*100*F614)),IF(F614&gt;0,"% discounts",IF($H$1781&gt;0,"% discounts","% discount"))))))</f>
        <v/>
      </c>
      <c r="N614" s="832"/>
      <c r="O614" s="832"/>
      <c r="P614" s="832"/>
      <c r="Q614" s="832"/>
      <c r="R614" s="832"/>
      <c r="S614" s="303">
        <f t="shared" ref="S614" si="1637">E614*G614</f>
        <v>0</v>
      </c>
      <c r="T614" s="541">
        <f>VLOOKUP(A614,'Discount Lookup'!D:E,2,FALSE)*G614</f>
        <v>0</v>
      </c>
      <c r="U614" s="83">
        <f>VLOOKUP(A614,'Discount Lookup'!G:H,2,FALSE)*G614</f>
        <v>0</v>
      </c>
      <c r="V614" s="100">
        <f>E614*($J$1782)*G614</f>
        <v>0</v>
      </c>
      <c r="W614" s="100">
        <f t="shared" ref="W614" si="1638">I614</f>
        <v>0</v>
      </c>
      <c r="X614" s="100" t="b">
        <f>IF(G614&gt;0,IF(AD614="me","",G614))</f>
        <v>0</v>
      </c>
      <c r="Y614" s="201"/>
      <c r="Z614" s="829" t="str">
        <f t="shared" si="1542"/>
        <v/>
      </c>
      <c r="AA614" s="829"/>
      <c r="AB614" s="830" t="str">
        <f>IF(G614=0,"",IF(AD614="free","re-planting",IF(AD614="me","not NVP, by",IF($AD$8="yes",(VLOOKUP(A614,'Discount Lookup'!J:K,2)*G614*(1-$AC$1786)*(1+$AC$1788)),IF(AD614="NVP",(VLOOKUP(A614,'Discount Lookup'!J:K,2)*G614*(1-$AC$1786)*(1+$AC$1788)),IF(AD614="free","re-planting",IF(G614=0,"",IF($AD$8="",IF(AD614="me","not NVP, by",IF(AD614="",IF(G614&gt;0,(VLOOKUP(A614,'Discount Lookup'!J:K,2)*G614*(1-$AC$1786)*(1+$AC$1788)),""),"")),"not NVP, by"))))))))</f>
        <v/>
      </c>
      <c r="AC614" s="830"/>
      <c r="AD614" s="375" t="str">
        <f t="shared" si="1635"/>
        <v/>
      </c>
      <c r="AE614" s="833" t="str">
        <f t="shared" si="1605"/>
        <v/>
      </c>
      <c r="AF614" s="833"/>
      <c r="AG614" s="833"/>
      <c r="AH614" s="91">
        <f>IF(AD614="free",0,IF(AD614="me",0,IF(G614&gt;0,(VLOOKUP(A614,'Discount Lookup'!J:K,2)*G614),0)))</f>
        <v>0</v>
      </c>
      <c r="AI614" s="92" t="str">
        <f t="shared" si="1613"/>
        <v/>
      </c>
      <c r="AJ614" s="828" t="str">
        <f t="shared" si="1543"/>
        <v/>
      </c>
      <c r="AK614" s="828"/>
      <c r="AL614" s="313" t="str">
        <f t="shared" si="1561"/>
        <v/>
      </c>
      <c r="AM614" s="312"/>
      <c r="AN614" s="101"/>
      <c r="AO614" s="101"/>
      <c r="AP614" s="101"/>
      <c r="AQ614" s="101"/>
      <c r="AR614" s="101"/>
      <c r="AS614" s="101"/>
      <c r="AT614" s="101"/>
    </row>
    <row r="615" spans="1:48" ht="12.95" customHeight="1">
      <c r="A615" s="472"/>
      <c r="B615" s="173" t="s">
        <v>406</v>
      </c>
      <c r="C615" s="409"/>
      <c r="D615" s="410"/>
      <c r="E615" s="120"/>
      <c r="F615" s="711"/>
      <c r="G615" s="356"/>
      <c r="H615" s="745"/>
      <c r="I615" s="119"/>
      <c r="J615" s="119"/>
      <c r="K615" s="609"/>
      <c r="L615" s="609"/>
      <c r="M615" s="121"/>
      <c r="N615" s="189"/>
      <c r="O615" s="123"/>
      <c r="P615" s="124"/>
      <c r="Q615" s="124"/>
      <c r="R615" s="83"/>
      <c r="S615" s="82">
        <f>E615*G615</f>
        <v>0</v>
      </c>
      <c r="T615" s="540"/>
      <c r="U615" s="83"/>
      <c r="V615" s="100" t="b">
        <f>IF(G615&gt;0,IF(AD615="me","",G615))</f>
        <v>0</v>
      </c>
      <c r="W615" s="100"/>
      <c r="X615" s="100"/>
      <c r="Y615" s="201"/>
      <c r="Z615" s="829" t="str">
        <f t="shared" si="1542"/>
        <v/>
      </c>
      <c r="AA615" s="829"/>
      <c r="AB615" s="830" t="str">
        <f>IF(G615=0,"",IF(AD615="free","re-planting",IF(AD615="me","not NVP, by",IF($AD$8="yes",(VLOOKUP(A615,'Discount Lookup'!J:K,2)*G615*(1-$AC$1786)*(1+$AC$1788)),IF(AD615="NVP",(VLOOKUP(A615,'Discount Lookup'!J:K,2)*G615*(1-$AC$1786)*(1+$AC$1788)),IF(AD615="free","re-planting",IF(G615=0,"",IF($AD$8="",IF(AD615="me","not NVP, by",IF(AD615="",IF(G615&gt;0,(VLOOKUP(A615,'Discount Lookup'!J:K,2)*G615*(1-$AC$1786)*(1+$AC$1788)),""),"")),"not NVP, by"))))))))</f>
        <v/>
      </c>
      <c r="AC615" s="830"/>
      <c r="AD615" s="375" t="str">
        <f t="shared" si="1635"/>
        <v/>
      </c>
      <c r="AE615" s="833" t="str">
        <f t="shared" si="1605"/>
        <v/>
      </c>
      <c r="AF615" s="833"/>
      <c r="AG615" s="833"/>
      <c r="AH615" s="91">
        <f>IF(AD615="free",0,IF(AD615="me",0,IF(G615&gt;0,(VLOOKUP(A615,'Discount Lookup'!J:K,2)*G615),0)))</f>
        <v>0</v>
      </c>
      <c r="AI615" s="92" t="str">
        <f t="shared" si="1613"/>
        <v/>
      </c>
      <c r="AJ615" s="828" t="str">
        <f t="shared" si="1543"/>
        <v/>
      </c>
      <c r="AK615" s="828"/>
      <c r="AL615" s="313" t="str">
        <f t="shared" si="1561"/>
        <v/>
      </c>
      <c r="AM615" s="312"/>
      <c r="AN615" s="101"/>
      <c r="AO615" s="101"/>
      <c r="AP615" s="101"/>
      <c r="AQ615" s="101"/>
      <c r="AR615" s="101"/>
      <c r="AS615" s="101"/>
      <c r="AT615" s="101"/>
    </row>
    <row r="616" spans="1:48" ht="12.95" customHeight="1">
      <c r="A616" s="889" t="s">
        <v>407</v>
      </c>
      <c r="B616" s="890"/>
      <c r="C616" s="890"/>
      <c r="D616" s="890"/>
      <c r="E616" s="890"/>
      <c r="F616" s="890"/>
      <c r="G616" s="890"/>
      <c r="H616" s="774" t="s">
        <v>403</v>
      </c>
      <c r="I616" s="349" t="s">
        <v>280</v>
      </c>
      <c r="J616" s="157"/>
      <c r="K616" s="611" t="s">
        <v>45</v>
      </c>
      <c r="L616" s="630" t="s">
        <v>46</v>
      </c>
      <c r="M616" s="157"/>
      <c r="N616" s="158" t="s">
        <v>69</v>
      </c>
      <c r="O616" s="158"/>
      <c r="P616" s="164"/>
      <c r="Q616" s="164"/>
      <c r="R616" s="157"/>
      <c r="S616" s="170"/>
      <c r="T616" s="547"/>
      <c r="U616" s="171"/>
      <c r="V616" s="100" t="b">
        <f>IF(G616&gt;0,IF(AD616="me","",G616))</f>
        <v>0</v>
      </c>
      <c r="W616" s="100"/>
      <c r="X616" s="100"/>
      <c r="Y616" s="201"/>
      <c r="Z616" s="829" t="str">
        <f t="shared" si="1542"/>
        <v/>
      </c>
      <c r="AA616" s="829"/>
      <c r="AB616" s="830" t="str">
        <f>IF(G616=0,"",IF(AD616="free","re-planting",IF(AD616="me","not NVP, by",IF($AD$8="yes",(VLOOKUP(A616,'Discount Lookup'!J:K,2)*G616*(1-$AC$1786)*(1+$AC$1788)),IF(AD616="NVP",(VLOOKUP(A616,'Discount Lookup'!J:K,2)*G616*(1-$AC$1786)*(1+$AC$1788)),IF(AD616="free","re-planting",IF(G616=0,"",IF($AD$8="",IF(AD616="me","not NVP, by",IF(AD616="",IF(G616&gt;0,(VLOOKUP(A616,'Discount Lookup'!J:K,2)*G616*(1-$AC$1786)*(1+$AC$1788)),""),"")),"not NVP, by"))))))))</f>
        <v/>
      </c>
      <c r="AC616" s="830"/>
      <c r="AD616" s="375" t="str">
        <f t="shared" si="1635"/>
        <v/>
      </c>
      <c r="AE616" s="833" t="str">
        <f t="shared" si="1605"/>
        <v/>
      </c>
      <c r="AF616" s="833"/>
      <c r="AG616" s="833"/>
      <c r="AH616" s="91">
        <f>IF(AD616="free",0,IF(AD616="me",0,IF(G616&gt;0,(VLOOKUP(A616,'Discount Lookup'!J:K,2)*G616),0)))</f>
        <v>0</v>
      </c>
      <c r="AI616" s="92" t="str">
        <f t="shared" si="1613"/>
        <v/>
      </c>
      <c r="AJ616" s="828" t="str">
        <f t="shared" si="1543"/>
        <v/>
      </c>
      <c r="AK616" s="828"/>
      <c r="AL616" s="313" t="str">
        <f t="shared" si="1561"/>
        <v/>
      </c>
      <c r="AM616" s="312"/>
      <c r="AN616" s="101"/>
      <c r="AO616" s="101"/>
      <c r="AP616" s="101"/>
      <c r="AQ616" s="101"/>
      <c r="AR616" s="101"/>
      <c r="AS616" s="101"/>
      <c r="AT616" s="101"/>
      <c r="AV616" s="132"/>
    </row>
    <row r="617" spans="1:48" ht="12.95" customHeight="1">
      <c r="A617" s="383">
        <v>7</v>
      </c>
      <c r="B617" s="158" t="s">
        <v>50</v>
      </c>
      <c r="C617" s="160" t="s">
        <v>1233</v>
      </c>
      <c r="D617" s="161" t="s">
        <v>54</v>
      </c>
      <c r="E617" s="162">
        <v>95.95</v>
      </c>
      <c r="F617" s="713" t="s">
        <v>1306</v>
      </c>
      <c r="G617" s="357">
        <v>0</v>
      </c>
      <c r="H617" s="748" t="str">
        <f t="shared" ref="H617:H618" si="1639">IF(G617=0,"",IF(F617="Qty=",IF(G617=1,"plant","plants"),IF(F617&gt;0.0001,"warranty","Error")))</f>
        <v/>
      </c>
      <c r="I617" s="592">
        <f t="shared" ref="I617:I618" si="1640">IF(F617="Qty=",(E617*G617),((E617*(1-F617))*G617))</f>
        <v>0</v>
      </c>
      <c r="J617" s="592">
        <f>IF(H617="warranty",0,(I617*($J$1782)))</f>
        <v>0</v>
      </c>
      <c r="K617" s="834">
        <f t="shared" ref="K617:K618" si="1641">I617+J617</f>
        <v>0</v>
      </c>
      <c r="L617" s="834"/>
      <c r="M617" s="832" t="str">
        <f>IF($H$1784=0,"",IF(G617=0,"",IF(F617="Qty=",CONCATENATE("$",ROUND(K617*(1-$H$1784),2)," with ",($H$1784*100),"% discount"),CONCATENATE("$",ROUND(K617*(1-$H$1784),2)," with ",(($H$1784*100+F617*100)-($H$1784*100*F617)),IF(F617&gt;0,"% discounts",IF($H$1781&gt;0,"% discounts","% discount"))))))</f>
        <v/>
      </c>
      <c r="N617" s="832"/>
      <c r="O617" s="832"/>
      <c r="P617" s="832"/>
      <c r="Q617" s="832"/>
      <c r="R617" s="832"/>
      <c r="S617" s="303">
        <f t="shared" ref="S617:S618" si="1642">E617*G617</f>
        <v>0</v>
      </c>
      <c r="T617" s="541">
        <f>VLOOKUP(A617,'Discount Lookup'!D:E,2,FALSE)*G617</f>
        <v>0</v>
      </c>
      <c r="U617" s="83">
        <f>VLOOKUP(A617,'Discount Lookup'!G:H,2,FALSE)*G617</f>
        <v>0</v>
      </c>
      <c r="V617" s="100">
        <f>E617*($J$1782)*G617</f>
        <v>0</v>
      </c>
      <c r="W617" s="100">
        <f t="shared" ref="W617:W618" si="1643">I617</f>
        <v>0</v>
      </c>
      <c r="X617" s="100" t="b">
        <f>IF(G617&gt;0,IF(AD617="me","",G617))</f>
        <v>0</v>
      </c>
      <c r="Y617" s="201"/>
      <c r="Z617" s="829" t="str">
        <f t="shared" ref="Z617:Z618" si="1644">IF(G617=0,"",IF(AD617="me","",IF($AD$8="me","",IF(AD617="free","warranty",IF($AD$8="yes","NVP planting:","to NVP install:")))))</f>
        <v/>
      </c>
      <c r="AA617" s="829"/>
      <c r="AB617" s="830" t="str">
        <f>IF(G617=0,"",IF(AD617="free","re-planting",IF(AD617="me","not NVP, by",IF($AD$8="yes",(VLOOKUP(A617,'Discount Lookup'!J:K,2)*G617*(1-$AC$1786)*(1+$AC$1788)),IF(AD617="NVP",(VLOOKUP(A617,'Discount Lookup'!J:K,2)*G617*(1-$AC$1786)*(1+$AC$1788)),IF(AD617="free","re-planting",IF(G617=0,"",IF($AD$8="",IF(AD617="me","not NVP, by",IF(AD617="",IF(G617&gt;0,(VLOOKUP(A617,'Discount Lookup'!J:K,2)*G617*(1-$AC$1786)*(1+$AC$1788)),""),"")),"not NVP, by"))))))))</f>
        <v/>
      </c>
      <c r="AC617" s="830"/>
      <c r="AD617" s="375" t="str">
        <f t="shared" si="1635"/>
        <v/>
      </c>
      <c r="AE617" s="833" t="str">
        <f t="shared" ref="AE617:AE618" si="1645">IF(G617&gt;0,(CONCATENATE((G617)," quantity, ",(A617)," ",B617)),"")</f>
        <v/>
      </c>
      <c r="AF617" s="833"/>
      <c r="AG617" s="833"/>
      <c r="AH617" s="91">
        <f>IF(AD617="free",0,IF(AD617="me",0,IF(G617&gt;0,(VLOOKUP(A617,'Discount Lookup'!J:K,2)*G617),0)))</f>
        <v>0</v>
      </c>
      <c r="AI617" s="92" t="str">
        <f t="shared" si="1613"/>
        <v/>
      </c>
      <c r="AJ617" s="828" t="str">
        <f t="shared" ref="AJ617:AJ618" si="1646">IF(G617=0,"",IF(AD617="me","  delivery-only",IF($AD$8="me","  delivery-only",CONCATENATE(" $",ROUND(AI617/G617,2)," each"))))</f>
        <v/>
      </c>
      <c r="AK617" s="828"/>
      <c r="AL617" s="313" t="str">
        <f t="shared" si="1561"/>
        <v/>
      </c>
      <c r="AM617" s="312"/>
      <c r="AN617" s="101"/>
      <c r="AO617" s="101"/>
      <c r="AP617" s="101"/>
      <c r="AQ617" s="101"/>
      <c r="AR617" s="101"/>
      <c r="AS617" s="101"/>
      <c r="AT617" s="101"/>
      <c r="AV617" s="132"/>
    </row>
    <row r="618" spans="1:48" ht="12.95" customHeight="1">
      <c r="A618" s="383">
        <v>10</v>
      </c>
      <c r="B618" s="158" t="s">
        <v>50</v>
      </c>
      <c r="C618" s="160" t="s">
        <v>53</v>
      </c>
      <c r="D618" s="161" t="s">
        <v>54</v>
      </c>
      <c r="E618" s="162">
        <v>148.94999999999999</v>
      </c>
      <c r="F618" s="713" t="s">
        <v>1306</v>
      </c>
      <c r="G618" s="357">
        <v>0</v>
      </c>
      <c r="H618" s="748" t="str">
        <f t="shared" si="1639"/>
        <v/>
      </c>
      <c r="I618" s="592">
        <f t="shared" si="1640"/>
        <v>0</v>
      </c>
      <c r="J618" s="592">
        <f>IF(H618="warranty",0,(I618*($J$1782)))</f>
        <v>0</v>
      </c>
      <c r="K618" s="834">
        <f t="shared" si="1641"/>
        <v>0</v>
      </c>
      <c r="L618" s="834"/>
      <c r="M618" s="832" t="str">
        <f>IF($H$1784=0,"",IF(G618=0,"",IF(F618="Qty=",CONCATENATE("$",ROUND(K618*(1-$H$1784),2)," with ",($H$1784*100),"% discount"),CONCATENATE("$",ROUND(K618*(1-$H$1784),2)," with ",(($H$1784*100+F618*100)-($H$1784*100*F618)),IF(F618&gt;0,"% discounts",IF($H$1781&gt;0,"% discounts","% discount"))))))</f>
        <v/>
      </c>
      <c r="N618" s="832"/>
      <c r="O618" s="832"/>
      <c r="P618" s="832"/>
      <c r="Q618" s="832"/>
      <c r="R618" s="832"/>
      <c r="S618" s="303">
        <f t="shared" si="1642"/>
        <v>0</v>
      </c>
      <c r="T618" s="541">
        <f>VLOOKUP(A618,'Discount Lookup'!D:E,2,FALSE)*G618</f>
        <v>0</v>
      </c>
      <c r="U618" s="83">
        <f>VLOOKUP(A618,'Discount Lookup'!G:H,2,FALSE)*G618</f>
        <v>0</v>
      </c>
      <c r="V618" s="100">
        <f>E618*($J$1782)*G618</f>
        <v>0</v>
      </c>
      <c r="W618" s="100">
        <f t="shared" si="1643"/>
        <v>0</v>
      </c>
      <c r="X618" s="100" t="b">
        <f>IF(G618&gt;0,IF(AD618="me","",G618))</f>
        <v>0</v>
      </c>
      <c r="Y618" s="201"/>
      <c r="Z618" s="829" t="str">
        <f t="shared" si="1644"/>
        <v/>
      </c>
      <c r="AA618" s="829"/>
      <c r="AB618" s="830" t="str">
        <f>IF(G618=0,"",IF(AD618="free","re-planting",IF(AD618="me","not NVP, by",IF($AD$8="yes",(VLOOKUP(A618,'Discount Lookup'!J:K,2)*G618*(1-$AC$1786)*(1+$AC$1788)),IF(AD618="NVP",(VLOOKUP(A618,'Discount Lookup'!J:K,2)*G618*(1-$AC$1786)*(1+$AC$1788)),IF(AD618="free","re-planting",IF(G618=0,"",IF($AD$8="",IF(AD618="me","not NVP, by",IF(AD618="",IF(G618&gt;0,(VLOOKUP(A618,'Discount Lookup'!J:K,2)*G618*(1-$AC$1786)*(1+$AC$1788)),""),"")),"not NVP, by"))))))))</f>
        <v/>
      </c>
      <c r="AC618" s="830"/>
      <c r="AD618" s="375" t="str">
        <f t="shared" si="1635"/>
        <v/>
      </c>
      <c r="AE618" s="833" t="str">
        <f t="shared" si="1645"/>
        <v/>
      </c>
      <c r="AF618" s="833"/>
      <c r="AG618" s="833"/>
      <c r="AH618" s="91">
        <f>IF(AD618="free",0,IF(AD618="me",0,IF(G618&gt;0,(VLOOKUP(A618,'Discount Lookup'!J:K,2)*G618),0)))</f>
        <v>0</v>
      </c>
      <c r="AI618" s="92" t="str">
        <f t="shared" si="1613"/>
        <v/>
      </c>
      <c r="AJ618" s="828" t="str">
        <f t="shared" si="1646"/>
        <v/>
      </c>
      <c r="AK618" s="828"/>
      <c r="AL618" s="313" t="str">
        <f t="shared" si="1561"/>
        <v/>
      </c>
      <c r="AM618" s="312"/>
      <c r="AN618" s="101"/>
      <c r="AO618" s="101"/>
      <c r="AP618" s="101"/>
      <c r="AQ618" s="101"/>
      <c r="AR618" s="101"/>
      <c r="AS618" s="101"/>
      <c r="AT618" s="101"/>
      <c r="AV618" s="132"/>
    </row>
    <row r="619" spans="1:48" ht="12.95" customHeight="1">
      <c r="A619" s="472"/>
      <c r="B619" s="173" t="s">
        <v>408</v>
      </c>
      <c r="C619" s="117"/>
      <c r="D619" s="118"/>
      <c r="E619" s="119"/>
      <c r="F619" s="711"/>
      <c r="G619" s="356"/>
      <c r="H619" s="745"/>
      <c r="I619" s="119"/>
      <c r="J619" s="119"/>
      <c r="K619" s="609"/>
      <c r="L619" s="609"/>
      <c r="M619" s="121"/>
      <c r="N619" s="122" t="s">
        <v>336</v>
      </c>
      <c r="O619" s="123"/>
      <c r="P619" s="124"/>
      <c r="Q619" s="124"/>
      <c r="R619" s="83"/>
      <c r="S619" s="82"/>
      <c r="T619" s="540"/>
      <c r="U619" s="83"/>
      <c r="V619" s="100"/>
      <c r="W619" s="100"/>
      <c r="X619" s="100"/>
      <c r="Y619" s="201"/>
      <c r="Z619" s="829" t="str">
        <f t="shared" si="1542"/>
        <v/>
      </c>
      <c r="AA619" s="829"/>
      <c r="AB619" s="830" t="str">
        <f>IF(G619=0,"",IF(AD619="free","re-planting",IF(AD619="me","not NVP, by",IF($AD$8="yes",(VLOOKUP(A619,'Discount Lookup'!J:K,2)*G619*(1-$AC$1786)*(1+$AC$1788)),IF(AD619="NVP",(VLOOKUP(A619,'Discount Lookup'!J:K,2)*G619*(1-$AC$1786)*(1+$AC$1788)),IF(AD619="free","re-planting",IF(G619=0,"",IF($AD$8="",IF(AD619="me","not NVP, by",IF(AD619="",IF(G619&gt;0,(VLOOKUP(A619,'Discount Lookup'!J:K,2)*G619*(1-$AC$1786)*(1+$AC$1788)),""),"")),"not NVP, by"))))))))</f>
        <v/>
      </c>
      <c r="AC619" s="830"/>
      <c r="AD619" s="375" t="str">
        <f t="shared" si="1635"/>
        <v/>
      </c>
      <c r="AE619" s="833" t="str">
        <f t="shared" si="1605"/>
        <v/>
      </c>
      <c r="AF619" s="833"/>
      <c r="AG619" s="833"/>
      <c r="AH619" s="91">
        <f>IF(AD619="free",0,IF(AD619="me",0,IF(G619&gt;0,(VLOOKUP(A619,'Discount Lookup'!J:K,2)*G619),0)))</f>
        <v>0</v>
      </c>
      <c r="AI619" s="92" t="str">
        <f t="shared" si="1613"/>
        <v/>
      </c>
      <c r="AJ619" s="828" t="str">
        <f t="shared" si="1543"/>
        <v/>
      </c>
      <c r="AK619" s="828"/>
      <c r="AL619" s="313" t="str">
        <f t="shared" si="1561"/>
        <v/>
      </c>
      <c r="AM619" s="312"/>
      <c r="AN619" s="101"/>
      <c r="AO619" s="101"/>
      <c r="AP619" s="101"/>
      <c r="AQ619" s="101"/>
      <c r="AR619" s="101"/>
      <c r="AS619" s="101"/>
      <c r="AT619" s="101"/>
    </row>
    <row r="620" spans="1:48" ht="12.95" customHeight="1">
      <c r="A620" s="894" t="s">
        <v>409</v>
      </c>
      <c r="B620" s="895"/>
      <c r="C620" s="895"/>
      <c r="D620" s="895"/>
      <c r="E620" s="895"/>
      <c r="F620" s="895"/>
      <c r="G620" s="895"/>
      <c r="H620" s="774" t="s">
        <v>403</v>
      </c>
      <c r="I620" s="349" t="s">
        <v>280</v>
      </c>
      <c r="J620" s="157"/>
      <c r="K620" s="611" t="s">
        <v>45</v>
      </c>
      <c r="L620" s="630" t="s">
        <v>46</v>
      </c>
      <c r="M620" s="157"/>
      <c r="N620" s="158" t="s">
        <v>98</v>
      </c>
      <c r="O620" s="158"/>
      <c r="P620" s="164"/>
      <c r="Q620" s="164"/>
      <c r="R620" s="157"/>
      <c r="S620" s="170"/>
      <c r="T620" s="547"/>
      <c r="U620" s="171"/>
      <c r="V620" s="100" t="b">
        <f>IF(G620&gt;0,IF(AD620="me","",G620))</f>
        <v>0</v>
      </c>
      <c r="W620" s="100"/>
      <c r="X620" s="100"/>
      <c r="Y620" s="201"/>
      <c r="Z620" s="829" t="str">
        <f t="shared" si="1542"/>
        <v/>
      </c>
      <c r="AA620" s="829"/>
      <c r="AB620" s="830" t="str">
        <f>IF(G620=0,"",IF(AD620="free","re-planting",IF(AD620="me","not NVP, by",IF($AD$8="yes",(VLOOKUP(A620,'Discount Lookup'!J:K,2)*G620*(1-$AC$1786)*(1+$AC$1788)),IF(AD620="NVP",(VLOOKUP(A620,'Discount Lookup'!J:K,2)*G620*(1-$AC$1786)*(1+$AC$1788)),IF(AD620="free","re-planting",IF(G620=0,"",IF($AD$8="",IF(AD620="me","not NVP, by",IF(AD620="",IF(G620&gt;0,(VLOOKUP(A620,'Discount Lookup'!J:K,2)*G620*(1-$AC$1786)*(1+$AC$1788)),""),"")),"not NVP, by"))))))))</f>
        <v/>
      </c>
      <c r="AC620" s="830"/>
      <c r="AD620" s="375" t="str">
        <f t="shared" si="1635"/>
        <v/>
      </c>
      <c r="AE620" s="833" t="str">
        <f t="shared" si="1605"/>
        <v/>
      </c>
      <c r="AF620" s="833"/>
      <c r="AG620" s="833"/>
      <c r="AH620" s="91">
        <f>IF(AD620="free",0,IF(AD620="me",0,IF(G620&gt;0,(VLOOKUP(A620,'Discount Lookup'!J:K,2)*G620),0)))</f>
        <v>0</v>
      </c>
      <c r="AI620" s="92" t="str">
        <f t="shared" si="1613"/>
        <v/>
      </c>
      <c r="AJ620" s="828" t="str">
        <f t="shared" si="1543"/>
        <v/>
      </c>
      <c r="AK620" s="828"/>
      <c r="AL620" s="313" t="str">
        <f t="shared" si="1561"/>
        <v/>
      </c>
      <c r="AM620" s="312"/>
      <c r="AN620" s="101"/>
      <c r="AO620" s="101"/>
      <c r="AP620" s="101"/>
      <c r="AQ620" s="101"/>
      <c r="AR620" s="101"/>
      <c r="AS620" s="101"/>
      <c r="AT620" s="101"/>
    </row>
    <row r="621" spans="1:48" ht="12.95" customHeight="1">
      <c r="A621" s="383">
        <v>3</v>
      </c>
      <c r="B621" s="158" t="s">
        <v>50</v>
      </c>
      <c r="C621" s="160" t="s">
        <v>85</v>
      </c>
      <c r="D621" s="161" t="s">
        <v>63</v>
      </c>
      <c r="E621" s="162">
        <v>31.95</v>
      </c>
      <c r="F621" s="713" t="s">
        <v>1306</v>
      </c>
      <c r="G621" s="357">
        <v>0</v>
      </c>
      <c r="H621" s="748" t="str">
        <f t="shared" ref="H621:H627" si="1647">IF(G621=0,"",IF(F621="Qty=",IF(G621=1,"plant","plants"),IF(F621&gt;0.0001,"warranty","Error")))</f>
        <v/>
      </c>
      <c r="I621" s="592">
        <f t="shared" ref="I621:I627" si="1648">IF(F621="Qty=",(E621*G621),((E621*(1-F621))*G621))</f>
        <v>0</v>
      </c>
      <c r="J621" s="592">
        <f t="shared" ref="J621:J627" si="1649">IF(H621="warranty",0,(I621*($J$1782)))</f>
        <v>0</v>
      </c>
      <c r="K621" s="834">
        <f t="shared" ref="K621:K627" si="1650">I621+J621</f>
        <v>0</v>
      </c>
      <c r="L621" s="834"/>
      <c r="M621" s="832" t="str">
        <f t="shared" ref="M621:M627" si="1651">IF($H$1784=0,"",IF(G621=0,"",IF(F621="Qty=",CONCATENATE("$",ROUND(K621*(1-$H$1784),2)," with ",($H$1784*100),"% discount"),CONCATENATE("$",ROUND(K621*(1-$H$1784),2)," with ",(($H$1784*100+F621*100)-($H$1784*100*F621)),IF(F621&gt;0,"% discounts",IF($H$1781&gt;0,"% discounts","% discount"))))))</f>
        <v/>
      </c>
      <c r="N621" s="832"/>
      <c r="O621" s="832"/>
      <c r="P621" s="832"/>
      <c r="Q621" s="832"/>
      <c r="R621" s="832"/>
      <c r="S621" s="303">
        <f t="shared" ref="S621:S623" si="1652">E621*G621</f>
        <v>0</v>
      </c>
      <c r="T621" s="541">
        <f>VLOOKUP(A621,'Discount Lookup'!D:E,2,FALSE)*G621</f>
        <v>0</v>
      </c>
      <c r="U621" s="83">
        <f>VLOOKUP(A621,'Discount Lookup'!G:H,2,FALSE)*G621</f>
        <v>0</v>
      </c>
      <c r="V621" s="100">
        <f t="shared" ref="V621:V627" si="1653">E621*($J$1782)*G621</f>
        <v>0</v>
      </c>
      <c r="W621" s="100">
        <f t="shared" ref="W621:W623" si="1654">I621</f>
        <v>0</v>
      </c>
      <c r="X621" s="100" t="b">
        <f t="shared" ref="X621:X627" si="1655">IF(G621&gt;0,IF(AD621="me","",G621))</f>
        <v>0</v>
      </c>
      <c r="Y621" s="201"/>
      <c r="Z621" s="829" t="str">
        <f t="shared" si="1542"/>
        <v/>
      </c>
      <c r="AA621" s="829"/>
      <c r="AB621" s="830" t="str">
        <f>IF(G621=0,"",IF(AD621="free","re-planting",IF(AD621="me","not NVP, by",IF($AD$8="yes",(VLOOKUP(A621,'Discount Lookup'!J:K,2)*G621*(1-$AC$1786)*(1+$AC$1788)),IF(AD621="NVP",(VLOOKUP(A621,'Discount Lookup'!J:K,2)*G621*(1-$AC$1786)*(1+$AC$1788)),IF(AD621="free","re-planting",IF(G621=0,"",IF($AD$8="",IF(AD621="me","not NVP, by",IF(AD621="",IF(G621&gt;0,(VLOOKUP(A621,'Discount Lookup'!J:K,2)*G621*(1-$AC$1786)*(1+$AC$1788)),""),"")),"not NVP, by"))))))))</f>
        <v/>
      </c>
      <c r="AC621" s="830"/>
      <c r="AD621" s="375" t="str">
        <f t="shared" si="1635"/>
        <v/>
      </c>
      <c r="AE621" s="833" t="str">
        <f t="shared" si="1605"/>
        <v/>
      </c>
      <c r="AF621" s="833"/>
      <c r="AG621" s="833"/>
      <c r="AH621" s="91">
        <f>IF(AD621="free",0,IF(AD621="me",0,IF(G621&gt;0,(VLOOKUP(A621,'Discount Lookup'!J:K,2)*G621),0)))</f>
        <v>0</v>
      </c>
      <c r="AI621" s="92" t="str">
        <f t="shared" si="1613"/>
        <v/>
      </c>
      <c r="AJ621" s="828" t="str">
        <f t="shared" si="1543"/>
        <v/>
      </c>
      <c r="AK621" s="828"/>
      <c r="AL621" s="313" t="str">
        <f t="shared" si="1561"/>
        <v/>
      </c>
      <c r="AM621" s="312"/>
      <c r="AN621" s="101"/>
      <c r="AO621" s="101"/>
      <c r="AP621" s="101"/>
      <c r="AQ621" s="101"/>
      <c r="AR621" s="101"/>
      <c r="AS621" s="101"/>
      <c r="AT621" s="101"/>
    </row>
    <row r="622" spans="1:48" ht="12.95" customHeight="1">
      <c r="A622" s="383">
        <v>7</v>
      </c>
      <c r="B622" s="158" t="s">
        <v>50</v>
      </c>
      <c r="C622" s="160" t="s">
        <v>137</v>
      </c>
      <c r="D622" s="161" t="s">
        <v>54</v>
      </c>
      <c r="E622" s="162">
        <v>79.95</v>
      </c>
      <c r="F622" s="713" t="s">
        <v>1306</v>
      </c>
      <c r="G622" s="357">
        <v>0</v>
      </c>
      <c r="H622" s="748" t="str">
        <f t="shared" si="1647"/>
        <v/>
      </c>
      <c r="I622" s="592">
        <f t="shared" si="1648"/>
        <v>0</v>
      </c>
      <c r="J622" s="592">
        <f t="shared" si="1649"/>
        <v>0</v>
      </c>
      <c r="K622" s="834">
        <f t="shared" si="1650"/>
        <v>0</v>
      </c>
      <c r="L622" s="834"/>
      <c r="M622" s="832" t="str">
        <f t="shared" si="1651"/>
        <v/>
      </c>
      <c r="N622" s="832"/>
      <c r="O622" s="832"/>
      <c r="P622" s="832"/>
      <c r="Q622" s="832"/>
      <c r="R622" s="832"/>
      <c r="S622" s="303">
        <f t="shared" si="1652"/>
        <v>0</v>
      </c>
      <c r="T622" s="541">
        <f>VLOOKUP(A622,'Discount Lookup'!D:E,2,FALSE)*G622</f>
        <v>0</v>
      </c>
      <c r="U622" s="83">
        <f>VLOOKUP(A622,'Discount Lookup'!G:H,2,FALSE)*G622</f>
        <v>0</v>
      </c>
      <c r="V622" s="100">
        <f t="shared" si="1653"/>
        <v>0</v>
      </c>
      <c r="W622" s="100">
        <f t="shared" si="1654"/>
        <v>0</v>
      </c>
      <c r="X622" s="100" t="b">
        <f t="shared" si="1655"/>
        <v>0</v>
      </c>
      <c r="Y622" s="201"/>
      <c r="Z622" s="829" t="str">
        <f t="shared" si="1542"/>
        <v/>
      </c>
      <c r="AA622" s="829"/>
      <c r="AB622" s="830" t="str">
        <f>IF(G622=0,"",IF(AD622="free","re-planting",IF(AD622="me","not NVP, by",IF($AD$8="yes",(VLOOKUP(A622,'Discount Lookup'!J:K,2)*G622*(1-$AC$1786)*(1+$AC$1788)),IF(AD622="NVP",(VLOOKUP(A622,'Discount Lookup'!J:K,2)*G622*(1-$AC$1786)*(1+$AC$1788)),IF(AD622="free","re-planting",IF(G622=0,"",IF($AD$8="",IF(AD622="me","not NVP, by",IF(AD622="",IF(G622&gt;0,(VLOOKUP(A622,'Discount Lookup'!J:K,2)*G622*(1-$AC$1786)*(1+$AC$1788)),""),"")),"not NVP, by"))))))))</f>
        <v/>
      </c>
      <c r="AC622" s="830"/>
      <c r="AD622" s="375" t="str">
        <f t="shared" si="1635"/>
        <v/>
      </c>
      <c r="AE622" s="833" t="str">
        <f t="shared" si="1605"/>
        <v/>
      </c>
      <c r="AF622" s="833"/>
      <c r="AG622" s="833"/>
      <c r="AH622" s="91">
        <f>IF(AD622="free",0,IF(AD622="me",0,IF(G622&gt;0,(VLOOKUP(A622,'Discount Lookup'!J:K,2)*G622),0)))</f>
        <v>0</v>
      </c>
      <c r="AI622" s="92" t="str">
        <f t="shared" si="1613"/>
        <v/>
      </c>
      <c r="AJ622" s="828" t="str">
        <f t="shared" si="1543"/>
        <v/>
      </c>
      <c r="AK622" s="828"/>
      <c r="AL622" s="313" t="str">
        <f t="shared" si="1561"/>
        <v/>
      </c>
      <c r="AM622" s="312"/>
      <c r="AN622" s="101"/>
      <c r="AO622" s="101"/>
      <c r="AP622" s="101"/>
      <c r="AQ622" s="101"/>
      <c r="AR622" s="101"/>
      <c r="AS622" s="101"/>
      <c r="AT622" s="101"/>
    </row>
    <row r="623" spans="1:48" ht="12.95" customHeight="1">
      <c r="A623" s="383">
        <v>7</v>
      </c>
      <c r="B623" s="158" t="s">
        <v>50</v>
      </c>
      <c r="C623" s="160" t="s">
        <v>119</v>
      </c>
      <c r="D623" s="161" t="s">
        <v>54</v>
      </c>
      <c r="E623" s="162">
        <v>79.95</v>
      </c>
      <c r="F623" s="713" t="s">
        <v>1306</v>
      </c>
      <c r="G623" s="357">
        <v>0</v>
      </c>
      <c r="H623" s="748" t="str">
        <f t="shared" si="1647"/>
        <v/>
      </c>
      <c r="I623" s="592">
        <f t="shared" si="1648"/>
        <v>0</v>
      </c>
      <c r="J623" s="592">
        <f t="shared" si="1649"/>
        <v>0</v>
      </c>
      <c r="K623" s="834">
        <f t="shared" si="1650"/>
        <v>0</v>
      </c>
      <c r="L623" s="834"/>
      <c r="M623" s="832" t="str">
        <f t="shared" si="1651"/>
        <v/>
      </c>
      <c r="N623" s="832"/>
      <c r="O623" s="832"/>
      <c r="P623" s="832"/>
      <c r="Q623" s="832"/>
      <c r="R623" s="832"/>
      <c r="S623" s="303">
        <f t="shared" si="1652"/>
        <v>0</v>
      </c>
      <c r="T623" s="541">
        <f>VLOOKUP(A623,'Discount Lookup'!D:E,2,FALSE)*G623</f>
        <v>0</v>
      </c>
      <c r="U623" s="83">
        <f>VLOOKUP(A623,'Discount Lookup'!G:H,2,FALSE)*G623</f>
        <v>0</v>
      </c>
      <c r="V623" s="100">
        <f t="shared" si="1653"/>
        <v>0</v>
      </c>
      <c r="W623" s="100">
        <f t="shared" si="1654"/>
        <v>0</v>
      </c>
      <c r="X623" s="100" t="b">
        <f t="shared" si="1655"/>
        <v>0</v>
      </c>
      <c r="Y623" s="201"/>
      <c r="Z623" s="829" t="str">
        <f t="shared" si="1542"/>
        <v/>
      </c>
      <c r="AA623" s="829"/>
      <c r="AB623" s="830" t="str">
        <f>IF(G623=0,"",IF(AD623="free","re-planting",IF(AD623="me","not NVP, by",IF($AD$8="yes",(VLOOKUP(A623,'Discount Lookup'!J:K,2)*G623*(1-$AC$1786)*(1+$AC$1788)),IF(AD623="NVP",(VLOOKUP(A623,'Discount Lookup'!J:K,2)*G623*(1-$AC$1786)*(1+$AC$1788)),IF(AD623="free","re-planting",IF(G623=0,"",IF($AD$8="",IF(AD623="me","not NVP, by",IF(AD623="",IF(G623&gt;0,(VLOOKUP(A623,'Discount Lookup'!J:K,2)*G623*(1-$AC$1786)*(1+$AC$1788)),""),"")),"not NVP, by"))))))))</f>
        <v/>
      </c>
      <c r="AC623" s="830"/>
      <c r="AD623" s="375" t="str">
        <f t="shared" si="1635"/>
        <v/>
      </c>
      <c r="AE623" s="833" t="str">
        <f t="shared" si="1605"/>
        <v/>
      </c>
      <c r="AF623" s="833"/>
      <c r="AG623" s="833"/>
      <c r="AH623" s="91">
        <f>IF(AD623="free",0,IF(AD623="me",0,IF(G623&gt;0,(VLOOKUP(A623,'Discount Lookup'!J:K,2)*G623),0)))</f>
        <v>0</v>
      </c>
      <c r="AI623" s="92" t="str">
        <f t="shared" si="1613"/>
        <v/>
      </c>
      <c r="AJ623" s="828" t="str">
        <f t="shared" si="1543"/>
        <v/>
      </c>
      <c r="AK623" s="828"/>
      <c r="AL623" s="313" t="str">
        <f t="shared" si="1561"/>
        <v/>
      </c>
      <c r="AM623" s="312"/>
      <c r="AN623" s="101"/>
      <c r="AO623" s="101"/>
      <c r="AP623" s="101"/>
      <c r="AQ623" s="101"/>
      <c r="AR623" s="101"/>
      <c r="AS623" s="101"/>
      <c r="AT623" s="101"/>
    </row>
    <row r="624" spans="1:48" ht="12.95" customHeight="1">
      <c r="A624" s="383">
        <v>7</v>
      </c>
      <c r="B624" s="158" t="s">
        <v>50</v>
      </c>
      <c r="C624" s="160" t="s">
        <v>70</v>
      </c>
      <c r="D624" s="161" t="s">
        <v>63</v>
      </c>
      <c r="E624" s="162">
        <v>68.95</v>
      </c>
      <c r="F624" s="713" t="s">
        <v>1306</v>
      </c>
      <c r="G624" s="357">
        <v>0</v>
      </c>
      <c r="H624" s="748" t="str">
        <f t="shared" si="1647"/>
        <v/>
      </c>
      <c r="I624" s="592">
        <f t="shared" si="1648"/>
        <v>0</v>
      </c>
      <c r="J624" s="592">
        <f t="shared" si="1649"/>
        <v>0</v>
      </c>
      <c r="K624" s="834">
        <f t="shared" si="1650"/>
        <v>0</v>
      </c>
      <c r="L624" s="834"/>
      <c r="M624" s="832" t="str">
        <f t="shared" si="1651"/>
        <v/>
      </c>
      <c r="N624" s="832"/>
      <c r="O624" s="832"/>
      <c r="P624" s="832"/>
      <c r="Q624" s="832"/>
      <c r="R624" s="832"/>
      <c r="S624" s="303">
        <f>E624*G624</f>
        <v>0</v>
      </c>
      <c r="T624" s="541">
        <f>VLOOKUP(A624,'Discount Lookup'!D:E,2,FALSE)*G624</f>
        <v>0</v>
      </c>
      <c r="U624" s="83">
        <f>VLOOKUP(A624,'Discount Lookup'!G:H,2,FALSE)*G624</f>
        <v>0</v>
      </c>
      <c r="V624" s="100">
        <f t="shared" si="1653"/>
        <v>0</v>
      </c>
      <c r="W624" s="100">
        <f>I624</f>
        <v>0</v>
      </c>
      <c r="X624" s="100" t="b">
        <f t="shared" si="1655"/>
        <v>0</v>
      </c>
      <c r="Y624" s="201"/>
      <c r="Z624" s="829" t="str">
        <f t="shared" si="1542"/>
        <v/>
      </c>
      <c r="AA624" s="829"/>
      <c r="AB624" s="830" t="str">
        <f>IF(G624=0,"",IF(AD624="free","re-planting",IF(AD624="me","not NVP, by",IF($AD$8="yes",(VLOOKUP(A624,'Discount Lookup'!J:K,2)*G624*(1-$AC$1786)*(1+$AC$1788)),IF(AD624="NVP",(VLOOKUP(A624,'Discount Lookup'!J:K,2)*G624*(1-$AC$1786)*(1+$AC$1788)),IF(AD624="free","re-planting",IF(G624=0,"",IF($AD$8="",IF(AD624="me","not NVP, by",IF(AD624="",IF(G624&gt;0,(VLOOKUP(A624,'Discount Lookup'!J:K,2)*G624*(1-$AC$1786)*(1+$AC$1788)),""),"")),"not NVP, by"))))))))</f>
        <v/>
      </c>
      <c r="AC624" s="830"/>
      <c r="AD624" s="375" t="str">
        <f t="shared" si="1635"/>
        <v/>
      </c>
      <c r="AE624" s="833" t="str">
        <f>IF(G624&gt;0,(CONCATENATE((G624)," quantity, ",(A624)," ",B624)),"")</f>
        <v/>
      </c>
      <c r="AF624" s="833"/>
      <c r="AG624" s="833"/>
      <c r="AH624" s="91">
        <f>IF(AD624="free",0,IF(AD624="me",0,IF(G624&gt;0,(VLOOKUP(A624,'Discount Lookup'!J:K,2)*G624),0)))</f>
        <v>0</v>
      </c>
      <c r="AI624" s="92" t="str">
        <f t="shared" si="1613"/>
        <v/>
      </c>
      <c r="AJ624" s="828" t="str">
        <f t="shared" si="1543"/>
        <v/>
      </c>
      <c r="AK624" s="828"/>
      <c r="AL624" s="313" t="str">
        <f t="shared" si="1561"/>
        <v/>
      </c>
      <c r="AM624" s="312"/>
      <c r="AN624" s="101"/>
      <c r="AO624" s="101"/>
      <c r="AP624" s="101"/>
      <c r="AQ624" s="101"/>
      <c r="AR624" s="101"/>
      <c r="AS624" s="101"/>
      <c r="AT624" s="101"/>
    </row>
    <row r="625" spans="1:46" ht="12.95" customHeight="1">
      <c r="A625" s="383">
        <v>15</v>
      </c>
      <c r="B625" s="158" t="s">
        <v>50</v>
      </c>
      <c r="C625" s="160" t="s">
        <v>70</v>
      </c>
      <c r="D625" s="161" t="s">
        <v>54</v>
      </c>
      <c r="E625" s="162">
        <v>155.94999999999999</v>
      </c>
      <c r="F625" s="713" t="s">
        <v>1306</v>
      </c>
      <c r="G625" s="357">
        <v>0</v>
      </c>
      <c r="H625" s="748" t="str">
        <f t="shared" si="1647"/>
        <v/>
      </c>
      <c r="I625" s="592">
        <f t="shared" si="1648"/>
        <v>0</v>
      </c>
      <c r="J625" s="592">
        <f t="shared" si="1649"/>
        <v>0</v>
      </c>
      <c r="K625" s="834">
        <f t="shared" si="1650"/>
        <v>0</v>
      </c>
      <c r="L625" s="834"/>
      <c r="M625" s="832" t="str">
        <f t="shared" si="1651"/>
        <v/>
      </c>
      <c r="N625" s="832"/>
      <c r="O625" s="832"/>
      <c r="P625" s="832"/>
      <c r="Q625" s="832"/>
      <c r="R625" s="832"/>
      <c r="S625" s="303">
        <f t="shared" ref="S625:S626" si="1656">E625*G625</f>
        <v>0</v>
      </c>
      <c r="T625" s="541">
        <f>VLOOKUP(A625,'Discount Lookup'!D:E,2,FALSE)*G625</f>
        <v>0</v>
      </c>
      <c r="U625" s="83">
        <f>VLOOKUP(A625,'Discount Lookup'!G:H,2,FALSE)*G625</f>
        <v>0</v>
      </c>
      <c r="V625" s="100">
        <f t="shared" si="1653"/>
        <v>0</v>
      </c>
      <c r="W625" s="100">
        <f t="shared" ref="W625:W626" si="1657">I625</f>
        <v>0</v>
      </c>
      <c r="X625" s="100" t="b">
        <f t="shared" si="1655"/>
        <v>0</v>
      </c>
      <c r="Y625" s="201"/>
      <c r="Z625" s="829" t="str">
        <f t="shared" si="1542"/>
        <v/>
      </c>
      <c r="AA625" s="829"/>
      <c r="AB625" s="830" t="str">
        <f>IF(G625=0,"",IF(AD625="free","re-planting",IF(AD625="me","not NVP, by",IF($AD$8="yes",(VLOOKUP(A625,'Discount Lookup'!J:K,2)*G625*(1-$AC$1786)*(1+$AC$1788)),IF(AD625="NVP",(VLOOKUP(A625,'Discount Lookup'!J:K,2)*G625*(1-$AC$1786)*(1+$AC$1788)),IF(AD625="free","re-planting",IF(G625=0,"",IF($AD$8="",IF(AD625="me","not NVP, by",IF(AD625="",IF(G625&gt;0,(VLOOKUP(A625,'Discount Lookup'!J:K,2)*G625*(1-$AC$1786)*(1+$AC$1788)),""),"")),"not NVP, by"))))))))</f>
        <v/>
      </c>
      <c r="AC625" s="830"/>
      <c r="AD625" s="375" t="str">
        <f t="shared" si="1635"/>
        <v/>
      </c>
      <c r="AE625" s="833" t="str">
        <f t="shared" ref="AE625:AE626" si="1658">IF(G625&gt;0,(CONCATENATE((G625)," quantity, ",(A625)," ",B625)),"")</f>
        <v/>
      </c>
      <c r="AF625" s="833"/>
      <c r="AG625" s="833"/>
      <c r="AH625" s="91">
        <f>IF(AD625="free",0,IF(AD625="me",0,IF(G625&gt;0,(VLOOKUP(A625,'Discount Lookup'!J:K,2)*G625),0)))</f>
        <v>0</v>
      </c>
      <c r="AI625" s="92" t="str">
        <f t="shared" si="1613"/>
        <v/>
      </c>
      <c r="AJ625" s="828" t="str">
        <f t="shared" si="1543"/>
        <v/>
      </c>
      <c r="AK625" s="828"/>
      <c r="AL625" s="313" t="str">
        <f t="shared" si="1561"/>
        <v/>
      </c>
      <c r="AM625" s="312"/>
      <c r="AN625" s="101"/>
      <c r="AO625" s="101"/>
      <c r="AP625" s="101"/>
      <c r="AQ625" s="101"/>
      <c r="AR625" s="101"/>
      <c r="AS625" s="101"/>
      <c r="AT625" s="101"/>
    </row>
    <row r="626" spans="1:46" ht="12.95" customHeight="1">
      <c r="A626" s="383">
        <v>15</v>
      </c>
      <c r="B626" s="158" t="s">
        <v>50</v>
      </c>
      <c r="C626" s="160" t="s">
        <v>119</v>
      </c>
      <c r="D626" s="161" t="s">
        <v>63</v>
      </c>
      <c r="E626" s="162">
        <v>160.94999999999999</v>
      </c>
      <c r="F626" s="713" t="s">
        <v>1306</v>
      </c>
      <c r="G626" s="357">
        <v>0</v>
      </c>
      <c r="H626" s="748" t="str">
        <f t="shared" ref="H626" si="1659">IF(G626=0,"",IF(F626="Qty=",IF(G626=1,"plant","plants"),IF(F626&gt;0.0001,"warranty","Error")))</f>
        <v/>
      </c>
      <c r="I626" s="592">
        <f t="shared" ref="I626" si="1660">IF(F626="Qty=",(E626*G626),((E626*(1-F626))*G626))</f>
        <v>0</v>
      </c>
      <c r="J626" s="592">
        <f t="shared" si="1649"/>
        <v>0</v>
      </c>
      <c r="K626" s="834">
        <f t="shared" si="1650"/>
        <v>0</v>
      </c>
      <c r="L626" s="834"/>
      <c r="M626" s="832" t="str">
        <f t="shared" si="1651"/>
        <v/>
      </c>
      <c r="N626" s="832"/>
      <c r="O626" s="832"/>
      <c r="P626" s="832"/>
      <c r="Q626" s="832"/>
      <c r="R626" s="832"/>
      <c r="S626" s="303">
        <f t="shared" si="1656"/>
        <v>0</v>
      </c>
      <c r="T626" s="541">
        <f>VLOOKUP(A626,'Discount Lookup'!D:E,2,FALSE)*G626</f>
        <v>0</v>
      </c>
      <c r="U626" s="83">
        <f>VLOOKUP(A626,'Discount Lookup'!G:H,2,FALSE)*G626</f>
        <v>0</v>
      </c>
      <c r="V626" s="100">
        <f t="shared" si="1653"/>
        <v>0</v>
      </c>
      <c r="W626" s="100">
        <f t="shared" si="1657"/>
        <v>0</v>
      </c>
      <c r="X626" s="100" t="b">
        <f t="shared" ref="X626" si="1661">IF(G626&gt;0,IF(AD626="me","",G626))</f>
        <v>0</v>
      </c>
      <c r="Y626" s="201"/>
      <c r="Z626" s="829" t="str">
        <f t="shared" ref="Z626" si="1662">IF(G626=0,"",IF(AD626="me","",IF($AD$8="me","",IF(AD626="free","warranty",IF($AD$8="yes","NVP planting:","to NVP install:")))))</f>
        <v/>
      </c>
      <c r="AA626" s="829"/>
      <c r="AB626" s="830" t="str">
        <f>IF(G626=0,"",IF(AD626="free","re-planting",IF(AD626="me","not NVP, by",IF($AD$8="yes",(VLOOKUP(A626,'Discount Lookup'!J:K,2)*G626*(1-$AC$1786)*(1+$AC$1788)),IF(AD626="NVP",(VLOOKUP(A626,'Discount Lookup'!J:K,2)*G626*(1-$AC$1786)*(1+$AC$1788)),IF(AD626="free","re-planting",IF(G626=0,"",IF($AD$8="",IF(AD626="me","not NVP, by",IF(AD626="",IF(G626&gt;0,(VLOOKUP(A626,'Discount Lookup'!J:K,2)*G626*(1-$AC$1786)*(1+$AC$1788)),""),"")),"not NVP, by"))))))))</f>
        <v/>
      </c>
      <c r="AC626" s="830"/>
      <c r="AD626" s="375" t="str">
        <f t="shared" si="1635"/>
        <v/>
      </c>
      <c r="AE626" s="833" t="str">
        <f t="shared" si="1658"/>
        <v/>
      </c>
      <c r="AF626" s="833"/>
      <c r="AG626" s="833"/>
      <c r="AH626" s="91">
        <f>IF(AD626="free",0,IF(AD626="me",0,IF(G626&gt;0,(VLOOKUP(A626,'Discount Lookup'!J:K,2)*G626),0)))</f>
        <v>0</v>
      </c>
      <c r="AI626" s="92" t="str">
        <f t="shared" si="1613"/>
        <v/>
      </c>
      <c r="AJ626" s="828" t="str">
        <f t="shared" ref="AJ626" si="1663">IF(G626=0,"",IF(AD626="me","  delivery-only",IF($AD$8="me","  delivery-only",CONCATENATE(" $",ROUND(AI626/G626,2)," each"))))</f>
        <v/>
      </c>
      <c r="AK626" s="828"/>
      <c r="AL626" s="313" t="str">
        <f t="shared" si="1561"/>
        <v/>
      </c>
      <c r="AM626" s="312"/>
      <c r="AN626" s="101"/>
      <c r="AO626" s="101"/>
      <c r="AP626" s="101"/>
      <c r="AQ626" s="101"/>
      <c r="AR626" s="101"/>
      <c r="AS626" s="101"/>
      <c r="AT626" s="101"/>
    </row>
    <row r="627" spans="1:46" ht="12.95" customHeight="1">
      <c r="A627" s="383">
        <v>25</v>
      </c>
      <c r="B627" s="158" t="s">
        <v>50</v>
      </c>
      <c r="C627" s="160" t="s">
        <v>88</v>
      </c>
      <c r="D627" s="161" t="s">
        <v>90</v>
      </c>
      <c r="E627" s="162">
        <v>338.95</v>
      </c>
      <c r="F627" s="713" t="s">
        <v>1306</v>
      </c>
      <c r="G627" s="357">
        <v>0</v>
      </c>
      <c r="H627" s="748" t="str">
        <f t="shared" si="1647"/>
        <v/>
      </c>
      <c r="I627" s="592">
        <f t="shared" si="1648"/>
        <v>0</v>
      </c>
      <c r="J627" s="592">
        <f t="shared" si="1649"/>
        <v>0</v>
      </c>
      <c r="K627" s="834">
        <f t="shared" si="1650"/>
        <v>0</v>
      </c>
      <c r="L627" s="834"/>
      <c r="M627" s="832" t="str">
        <f t="shared" si="1651"/>
        <v/>
      </c>
      <c r="N627" s="832"/>
      <c r="O627" s="832"/>
      <c r="P627" s="832"/>
      <c r="Q627" s="832"/>
      <c r="R627" s="832"/>
      <c r="S627" s="303">
        <f t="shared" ref="S627" si="1664">E627*G627</f>
        <v>0</v>
      </c>
      <c r="T627" s="541">
        <f>VLOOKUP(A627,'Discount Lookup'!D:E,2,FALSE)*G627</f>
        <v>0</v>
      </c>
      <c r="U627" s="83">
        <f>VLOOKUP(A627,'Discount Lookup'!G:H,2,FALSE)*G627</f>
        <v>0</v>
      </c>
      <c r="V627" s="100">
        <f t="shared" si="1653"/>
        <v>0</v>
      </c>
      <c r="W627" s="100">
        <f t="shared" ref="W627" si="1665">I627</f>
        <v>0</v>
      </c>
      <c r="X627" s="100" t="b">
        <f t="shared" si="1655"/>
        <v>0</v>
      </c>
      <c r="Y627" s="201"/>
      <c r="Z627" s="829" t="str">
        <f t="shared" si="1542"/>
        <v/>
      </c>
      <c r="AA627" s="829"/>
      <c r="AB627" s="830" t="str">
        <f>IF(G627=0,"",IF(AD627="free","re-planting",IF(AD627="me","not NVP, by",IF($AD$8="yes",(VLOOKUP(A627,'Discount Lookup'!J:K,2)*G627*(1-$AC$1786)*(1+$AC$1788)),IF(AD627="NVP",(VLOOKUP(A627,'Discount Lookup'!J:K,2)*G627*(1-$AC$1786)*(1+$AC$1788)),IF(AD627="free","re-planting",IF(G627=0,"",IF($AD$8="",IF(AD627="me","not NVP, by",IF(AD627="",IF(G627&gt;0,(VLOOKUP(A627,'Discount Lookup'!J:K,2)*G627*(1-$AC$1786)*(1+$AC$1788)),""),"")),"not NVP, by"))))))))</f>
        <v/>
      </c>
      <c r="AC627" s="830"/>
      <c r="AD627" s="375" t="str">
        <f t="shared" si="1635"/>
        <v/>
      </c>
      <c r="AE627" s="833" t="str">
        <f t="shared" si="1605"/>
        <v/>
      </c>
      <c r="AF627" s="833"/>
      <c r="AG627" s="833"/>
      <c r="AH627" s="91">
        <f>IF(AD627="free",0,IF(AD627="me",0,IF(G627&gt;0,(VLOOKUP(A627,'Discount Lookup'!J:K,2)*G627),0)))</f>
        <v>0</v>
      </c>
      <c r="AI627" s="92" t="str">
        <f t="shared" si="1613"/>
        <v/>
      </c>
      <c r="AJ627" s="828" t="str">
        <f t="shared" si="1543"/>
        <v/>
      </c>
      <c r="AK627" s="828"/>
      <c r="AL627" s="313" t="str">
        <f t="shared" si="1561"/>
        <v/>
      </c>
      <c r="AM627" s="312"/>
      <c r="AN627" s="101"/>
      <c r="AO627" s="101"/>
      <c r="AP627" s="101"/>
      <c r="AQ627" s="101"/>
      <c r="AR627" s="101"/>
      <c r="AS627" s="101"/>
      <c r="AT627" s="101"/>
    </row>
    <row r="628" spans="1:46" ht="12.95" customHeight="1">
      <c r="A628" s="472"/>
      <c r="B628" s="173" t="s">
        <v>410</v>
      </c>
      <c r="C628" s="187"/>
      <c r="D628" s="187"/>
      <c r="E628" s="188"/>
      <c r="F628" s="711"/>
      <c r="G628" s="356"/>
      <c r="H628" s="745"/>
      <c r="I628" s="119"/>
      <c r="J628" s="119"/>
      <c r="K628" s="609"/>
      <c r="L628" s="609"/>
      <c r="M628" s="121"/>
      <c r="N628" s="122" t="s">
        <v>331</v>
      </c>
      <c r="O628" s="123"/>
      <c r="P628" s="124"/>
      <c r="Y628" s="132"/>
      <c r="Z628" s="829" t="str">
        <f t="shared" si="1542"/>
        <v/>
      </c>
      <c r="AA628" s="829"/>
      <c r="AB628" s="830" t="str">
        <f>IF(G628=0,"",IF(AD628="free","re-planting",IF(AD628="me","not NVP, by",IF($AD$8="yes",(VLOOKUP(A628,'Discount Lookup'!J:K,2)*G628*(1-$AC$1786)*(1+$AC$1788)),IF(AD628="NVP",(VLOOKUP(A628,'Discount Lookup'!J:K,2)*G628*(1-$AC$1786)*(1+$AC$1788)),IF(AD628="free","re-planting",IF(G628=0,"",IF($AD$8="",IF(AD628="me","not NVP, by",IF(AD628="",IF(G628&gt;0,(VLOOKUP(A628,'Discount Lookup'!J:K,2)*G628*(1-$AC$1786)*(1+$AC$1788)),""),"")),"not NVP, by"))))))))</f>
        <v/>
      </c>
      <c r="AC628" s="830"/>
      <c r="AD628" s="375" t="str">
        <f t="shared" si="1635"/>
        <v/>
      </c>
      <c r="AE628" s="833" t="str">
        <f t="shared" si="1605"/>
        <v/>
      </c>
      <c r="AF628" s="833"/>
      <c r="AG628" s="833"/>
      <c r="AH628" s="91">
        <f>IF(AD628="free",0,IF(AD628="me",0,IF(G628&gt;0,(VLOOKUP(A628,'Discount Lookup'!J:K,2)*G628),0)))</f>
        <v>0</v>
      </c>
      <c r="AI628" s="92" t="str">
        <f t="shared" si="1613"/>
        <v/>
      </c>
      <c r="AJ628" s="828" t="str">
        <f t="shared" si="1543"/>
        <v/>
      </c>
      <c r="AK628" s="828"/>
      <c r="AL628" s="313" t="str">
        <f t="shared" si="1561"/>
        <v/>
      </c>
      <c r="AM628" s="312"/>
      <c r="AN628" s="101"/>
      <c r="AO628" s="101"/>
      <c r="AP628" s="101"/>
      <c r="AQ628" s="101"/>
      <c r="AR628" s="101"/>
      <c r="AS628" s="101"/>
      <c r="AT628" s="101"/>
    </row>
    <row r="629" spans="1:46" ht="12.95" customHeight="1">
      <c r="A629" s="894" t="s">
        <v>411</v>
      </c>
      <c r="B629" s="895"/>
      <c r="C629" s="895"/>
      <c r="D629" s="895"/>
      <c r="E629" s="895"/>
      <c r="F629" s="895"/>
      <c r="G629" s="895"/>
      <c r="H629" s="774" t="s">
        <v>203</v>
      </c>
      <c r="I629" s="164" t="s">
        <v>79</v>
      </c>
      <c r="J629" s="157"/>
      <c r="K629" s="611" t="s">
        <v>45</v>
      </c>
      <c r="L629" s="630" t="s">
        <v>46</v>
      </c>
      <c r="M629" s="157"/>
      <c r="N629" s="158" t="s">
        <v>98</v>
      </c>
      <c r="O629" s="158"/>
      <c r="P629" s="164"/>
      <c r="Q629" s="164"/>
      <c r="R629" s="157"/>
      <c r="S629" s="170"/>
      <c r="T629" s="547"/>
      <c r="U629" s="171"/>
      <c r="V629" s="100" t="b">
        <f>IF(G629&gt;0,IF(AD629="me","",G629))</f>
        <v>0</v>
      </c>
      <c r="W629" s="100"/>
      <c r="X629" s="100"/>
      <c r="Y629" s="201"/>
      <c r="Z629" s="829" t="str">
        <f>IF(G629=0,"",IF(AD629="me","",IF($AD$8="me","",IF(AD629="free","warranty",IF($AD$8="yes","NVP planting:","to NVP install:")))))</f>
        <v/>
      </c>
      <c r="AA629" s="829"/>
      <c r="AB629" s="830" t="str">
        <f>IF(G629=0,"",IF(AD629="free","re-planting",IF(AD629="me","not NVP, by",IF($AD$8="yes",(VLOOKUP(A629,'Discount Lookup'!J:K,2)*G629*(1-$AC$1786)*(1+$AC$1788)),IF(AD629="NVP",(VLOOKUP(A629,'Discount Lookup'!J:K,2)*G629*(1-$AC$1786)*(1+$AC$1788)),IF(AD629="free","re-planting",IF(G629=0,"",IF($AD$8="",IF(AD629="me","not NVP, by",IF(AD629="",IF(G629&gt;0,(VLOOKUP(A629,'Discount Lookup'!J:K,2)*G629*(1-$AC$1786)*(1+$AC$1788)),""),"")),"not NVP, by"))))))))</f>
        <v/>
      </c>
      <c r="AC629" s="830"/>
      <c r="AD629" s="375" t="str">
        <f t="shared" si="1635"/>
        <v/>
      </c>
      <c r="AE629" s="833" t="str">
        <f t="shared" ref="AE629:AE632" si="1666">IF(G629&gt;0,(CONCATENATE((G629)," quantity, ",(A629)," ",B629)),"")</f>
        <v/>
      </c>
      <c r="AF629" s="833"/>
      <c r="AG629" s="833"/>
      <c r="AH629" s="91">
        <f>IF(AD629="free",0,IF(AD629="me",0,IF(G629&gt;0,(VLOOKUP(A629,'Discount Lookup'!J:K,2)*G629),0)))</f>
        <v>0</v>
      </c>
      <c r="AI629" s="92" t="str">
        <f t="shared" si="1613"/>
        <v/>
      </c>
      <c r="AJ629" s="828" t="str">
        <f>IF(G629=0,"",IF(AD629="me","  delivery-only",IF($AD$8="me","  delivery-only",CONCATENATE(" $",ROUND(AI629/G629,2)," each"))))</f>
        <v/>
      </c>
      <c r="AK629" s="828"/>
      <c r="AL629" s="313" t="str">
        <f t="shared" si="1561"/>
        <v/>
      </c>
      <c r="AM629" s="312"/>
      <c r="AN629" s="101"/>
      <c r="AO629" s="101"/>
      <c r="AP629" s="101"/>
      <c r="AQ629" s="101"/>
      <c r="AR629" s="101"/>
      <c r="AS629" s="101"/>
      <c r="AT629" s="101"/>
    </row>
    <row r="630" spans="1:46" ht="12.95" customHeight="1">
      <c r="A630" s="383">
        <v>7</v>
      </c>
      <c r="B630" s="158" t="s">
        <v>50</v>
      </c>
      <c r="C630" s="160" t="s">
        <v>1649</v>
      </c>
      <c r="D630" s="161" t="s">
        <v>54</v>
      </c>
      <c r="E630" s="162">
        <v>137.94999999999999</v>
      </c>
      <c r="F630" s="713" t="s">
        <v>1306</v>
      </c>
      <c r="G630" s="357">
        <v>0</v>
      </c>
      <c r="H630" s="748" t="str">
        <f t="shared" ref="H630" si="1667">IF(G630=0,"",IF(F630="Qty=",IF(G630=1,"plant","plants"),IF(F630&gt;0.0001,"warranty","Error")))</f>
        <v/>
      </c>
      <c r="I630" s="592">
        <f t="shared" ref="I630" si="1668">IF(F630="Qty=",(E630*G630),((E630*(1-F630))*G630))</f>
        <v>0</v>
      </c>
      <c r="J630" s="592">
        <f>IF(H630="warranty",0,(I630*($J$1782)))</f>
        <v>0</v>
      </c>
      <c r="K630" s="834">
        <f t="shared" ref="K630:K631" si="1669">I630+J630</f>
        <v>0</v>
      </c>
      <c r="L630" s="834"/>
      <c r="M630" s="832" t="str">
        <f>IF($H$1784=0,"",IF(G630=0,"",IF(F630="Qty=",CONCATENATE("$",ROUND(K630*(1-$H$1784),2)," with ",($H$1784*100),"% discount"),CONCATENATE("$",ROUND(K630*(1-$H$1784),2)," with ",(($H$1784*100+F630*100)-($H$1784*100*F630)),IF(F630&gt;0,"% discounts",IF($H$1781&gt;0,"% discounts","% discount"))))))</f>
        <v/>
      </c>
      <c r="N630" s="832"/>
      <c r="O630" s="832"/>
      <c r="P630" s="832"/>
      <c r="Q630" s="832"/>
      <c r="R630" s="832"/>
      <c r="S630" s="303">
        <f t="shared" ref="S630" si="1670">E630*G630</f>
        <v>0</v>
      </c>
      <c r="T630" s="541">
        <f>VLOOKUP(A630,'Discount Lookup'!D:E,2,FALSE)*G630</f>
        <v>0</v>
      </c>
      <c r="U630" s="83">
        <f>VLOOKUP(A630,'Discount Lookup'!G:H,2,FALSE)*G630</f>
        <v>0</v>
      </c>
      <c r="V630" s="100">
        <f>E630*($J$1782)*G630</f>
        <v>0</v>
      </c>
      <c r="W630" s="100">
        <f t="shared" ref="W630" si="1671">I630</f>
        <v>0</v>
      </c>
      <c r="X630" s="100" t="b">
        <f>IF(G630&gt;0,IF(AD630="me","",G630))</f>
        <v>0</v>
      </c>
      <c r="Y630" s="201"/>
      <c r="Z630" s="829" t="str">
        <f>IF(G630=0,"",IF(AD630="me","",IF($AD$8="me","",IF(AD630="free","warranty",IF($AD$8="yes","NVP planting:","to NVP install:")))))</f>
        <v/>
      </c>
      <c r="AA630" s="829"/>
      <c r="AB630" s="830" t="str">
        <f>IF(G630=0,"",IF(AD630="free","re-planting",IF(AD630="me","not NVP, by",IF($AD$8="yes",(VLOOKUP(A630,'Discount Lookup'!J:K,2)*G630*(1-$AC$1786)*(1+$AC$1788)),IF(AD630="NVP",(VLOOKUP(A630,'Discount Lookup'!J:K,2)*G630*(1-$AC$1786)*(1+$AC$1788)),IF(AD630="free","re-planting",IF(G630=0,"",IF($AD$8="",IF(AD630="me","not NVP, by",IF(AD630="",IF(G630&gt;0,(VLOOKUP(A630,'Discount Lookup'!J:K,2)*G630*(1-$AC$1786)*(1+$AC$1788)),""),"")),"not NVP, by"))))))))</f>
        <v/>
      </c>
      <c r="AC630" s="830"/>
      <c r="AD630" s="375" t="str">
        <f t="shared" si="1635"/>
        <v/>
      </c>
      <c r="AE630" s="833" t="str">
        <f t="shared" ref="AE630" si="1672">IF(G630&gt;0,(CONCATENATE((G630)," quantity, ",(A630)," ",B630)),"")</f>
        <v/>
      </c>
      <c r="AF630" s="833"/>
      <c r="AG630" s="833"/>
      <c r="AH630" s="91">
        <f>IF(AD630="free",0,IF(AD630="me",0,IF(G630&gt;0,(VLOOKUP(A630,'Discount Lookup'!J:K,2)*G630),0)))</f>
        <v>0</v>
      </c>
      <c r="AI630" s="92" t="str">
        <f t="shared" si="1613"/>
        <v/>
      </c>
      <c r="AJ630" s="828" t="str">
        <f>IF(G630=0,"",IF(AD630="me","  delivery-only",IF($AD$8="me","  delivery-only",CONCATENATE(" $",ROUND(AI630/G630,2)," each"))))</f>
        <v/>
      </c>
      <c r="AK630" s="828"/>
      <c r="AL630" s="313" t="str">
        <f t="shared" si="1561"/>
        <v/>
      </c>
      <c r="AM630" s="312"/>
      <c r="AN630" s="101"/>
      <c r="AO630" s="101"/>
      <c r="AP630" s="101"/>
      <c r="AQ630" s="101"/>
      <c r="AR630" s="101"/>
      <c r="AS630" s="101"/>
      <c r="AT630" s="101"/>
    </row>
    <row r="631" spans="1:46" ht="12.95" customHeight="1">
      <c r="A631" s="383">
        <v>15</v>
      </c>
      <c r="B631" s="158" t="s">
        <v>50</v>
      </c>
      <c r="C631" s="160" t="s">
        <v>264</v>
      </c>
      <c r="D631" s="161" t="s">
        <v>54</v>
      </c>
      <c r="E631" s="162">
        <v>340.95</v>
      </c>
      <c r="F631" s="713" t="s">
        <v>1306</v>
      </c>
      <c r="G631" s="357">
        <v>0</v>
      </c>
      <c r="H631" s="748" t="str">
        <f t="shared" ref="H631" si="1673">IF(G631=0,"",IF(F631="Qty=",IF(G631=1,"plant","plants"),IF(F631&gt;0.0001,"warranty","Error")))</f>
        <v/>
      </c>
      <c r="I631" s="592">
        <f t="shared" ref="I631" si="1674">IF(F631="Qty=",(E631*G631),((E631*(1-F631))*G631))</f>
        <v>0</v>
      </c>
      <c r="J631" s="592">
        <f>IF(H631="warranty",0,(I631*($J$1782)))</f>
        <v>0</v>
      </c>
      <c r="K631" s="834">
        <f t="shared" si="1669"/>
        <v>0</v>
      </c>
      <c r="L631" s="834"/>
      <c r="M631" s="832" t="str">
        <f>IF($H$1784=0,"",IF(G631=0,"",IF(F631="Qty=",CONCATENATE("$",ROUND(K631*(1-$H$1784),2)," with ",($H$1784*100),"% discount"),CONCATENATE("$",ROUND(K631*(1-$H$1784),2)," with ",(($H$1784*100+F631*100)-($H$1784*100*F631)),IF(F631&gt;0,"% discounts",IF($H$1781&gt;0,"% discounts","% discount"))))))</f>
        <v/>
      </c>
      <c r="N631" s="832"/>
      <c r="O631" s="832"/>
      <c r="P631" s="832"/>
      <c r="Q631" s="832"/>
      <c r="R631" s="832"/>
      <c r="S631" s="303">
        <f t="shared" ref="S631" si="1675">E631*G631</f>
        <v>0</v>
      </c>
      <c r="T631" s="541">
        <f>VLOOKUP(A631,'Discount Lookup'!D:E,2,FALSE)*G631</f>
        <v>0</v>
      </c>
      <c r="U631" s="83">
        <f>VLOOKUP(A631,'Discount Lookup'!G:H,2,FALSE)*G631</f>
        <v>0</v>
      </c>
      <c r="V631" s="100">
        <f>E631*($J$1782)*G631</f>
        <v>0</v>
      </c>
      <c r="W631" s="100">
        <f t="shared" ref="W631" si="1676">I631</f>
        <v>0</v>
      </c>
      <c r="X631" s="100" t="b">
        <f>IF(G631&gt;0,IF(AD631="me","",G631))</f>
        <v>0</v>
      </c>
      <c r="Y631" s="201"/>
      <c r="Z631" s="829" t="str">
        <f>IF(G631=0,"",IF(AD631="me","",IF($AD$8="me","",IF(AD631="free","warranty",IF($AD$8="yes","NVP planting:","to NVP install:")))))</f>
        <v/>
      </c>
      <c r="AA631" s="829"/>
      <c r="AB631" s="830" t="str">
        <f>IF(G631=0,"",IF(AD631="free","re-planting",IF(AD631="me","not NVP, by",IF($AD$8="yes",(VLOOKUP(A631,'Discount Lookup'!J:K,2)*G631*(1-$AC$1786)*(1+$AC$1788)),IF(AD631="NVP",(VLOOKUP(A631,'Discount Lookup'!J:K,2)*G631*(1-$AC$1786)*(1+$AC$1788)),IF(AD631="free","re-planting",IF(G631=0,"",IF($AD$8="",IF(AD631="me","not NVP, by",IF(AD631="",IF(G631&gt;0,(VLOOKUP(A631,'Discount Lookup'!J:K,2)*G631*(1-$AC$1786)*(1+$AC$1788)),""),"")),"not NVP, by"))))))))</f>
        <v/>
      </c>
      <c r="AC631" s="830"/>
      <c r="AD631" s="375" t="str">
        <f t="shared" si="1635"/>
        <v/>
      </c>
      <c r="AE631" s="833" t="str">
        <f t="shared" si="1666"/>
        <v/>
      </c>
      <c r="AF631" s="833"/>
      <c r="AG631" s="833"/>
      <c r="AH631" s="91">
        <f>IF(AD631="free",0,IF(AD631="me",0,IF(G631&gt;0,(VLOOKUP(A631,'Discount Lookup'!J:K,2)*G631),0)))</f>
        <v>0</v>
      </c>
      <c r="AI631" s="92" t="str">
        <f t="shared" si="1613"/>
        <v/>
      </c>
      <c r="AJ631" s="828" t="str">
        <f>IF(G631=0,"",IF(AD631="me","  delivery-only",IF($AD$8="me","  delivery-only",CONCATENATE(" $",ROUND(AI631/G631,2)," each"))))</f>
        <v/>
      </c>
      <c r="AK631" s="828"/>
      <c r="AL631" s="313" t="str">
        <f t="shared" si="1561"/>
        <v/>
      </c>
      <c r="AM631" s="312"/>
      <c r="AN631" s="101"/>
      <c r="AO631" s="101"/>
      <c r="AP631" s="101"/>
      <c r="AQ631" s="101"/>
      <c r="AR631" s="101"/>
      <c r="AS631" s="101"/>
      <c r="AT631" s="101"/>
    </row>
    <row r="632" spans="1:46" ht="12.95" customHeight="1">
      <c r="A632" s="472"/>
      <c r="B632" s="103" t="s">
        <v>1662</v>
      </c>
      <c r="C632" s="118"/>
      <c r="D632" s="118"/>
      <c r="E632" s="119"/>
      <c r="G632" s="358"/>
      <c r="H632" s="745"/>
      <c r="I632" s="119"/>
      <c r="J632" s="119"/>
      <c r="K632" s="609"/>
      <c r="L632" s="609"/>
      <c r="M632" s="121"/>
      <c r="N632" s="122" t="s">
        <v>277</v>
      </c>
      <c r="O632" s="123"/>
      <c r="P632" s="124"/>
      <c r="Q632" s="841"/>
      <c r="R632" s="841"/>
      <c r="S632" s="841"/>
      <c r="T632" s="841"/>
      <c r="U632" s="841"/>
      <c r="V632" s="841"/>
      <c r="Y632" s="132"/>
      <c r="Z632" s="829" t="str">
        <f>IF(G632=0,"",IF(AD632="me","",IF($AD$8="me","",IF(AD632="free","warranty",IF($AD$8="yes","NVP planting:","to NVP install:")))))</f>
        <v/>
      </c>
      <c r="AA632" s="829"/>
      <c r="AB632" s="830" t="str">
        <f>IF(G632=0,"",IF(AD632="free","re-planting",IF(AD632="me","not NVP, by",IF($AD$8="yes",(VLOOKUP(A632,'Discount Lookup'!J:K,2)*G632*(1-$AC$1786)*(1+$AC$1788)),IF(AD632="NVP",(VLOOKUP(A632,'Discount Lookup'!J:K,2)*G632*(1-$AC$1786)*(1+$AC$1788)),IF(AD632="free","re-planting",IF(G632=0,"",IF($AD$8="",IF(AD632="me","not NVP, by",IF(AD632="",IF(G632&gt;0,(VLOOKUP(A632,'Discount Lookup'!J:K,2)*G632*(1-$AC$1786)*(1+$AC$1788)),""),"")),"not NVP, by"))))))))</f>
        <v/>
      </c>
      <c r="AC632" s="830"/>
      <c r="AD632" s="375" t="str">
        <f t="shared" si="1635"/>
        <v/>
      </c>
      <c r="AE632" s="833" t="str">
        <f t="shared" si="1666"/>
        <v/>
      </c>
      <c r="AF632" s="833"/>
      <c r="AG632" s="833"/>
      <c r="AH632" s="91">
        <f>IF(AD632="free",0,IF(AD632="me",0,IF(G632&gt;0,(VLOOKUP(A632,'Discount Lookup'!J:K,2)*G632),0)))</f>
        <v>0</v>
      </c>
      <c r="AI632" s="92" t="str">
        <f t="shared" si="1613"/>
        <v/>
      </c>
      <c r="AJ632" s="828" t="str">
        <f>IF(G632=0,"",IF(AD632="me","  delivery-only",IF($AD$8="me","  delivery-only",CONCATENATE(" $",ROUND(AI632/G632,2)," each"))))</f>
        <v/>
      </c>
      <c r="AK632" s="828"/>
      <c r="AL632" s="313" t="str">
        <f t="shared" si="1561"/>
        <v/>
      </c>
      <c r="AM632" s="312"/>
      <c r="AN632" s="101"/>
      <c r="AO632" s="101"/>
      <c r="AP632" s="101"/>
      <c r="AQ632" s="101"/>
      <c r="AR632" s="101"/>
      <c r="AS632" s="101"/>
      <c r="AT632" s="101"/>
    </row>
    <row r="633" spans="1:46" ht="12.95" customHeight="1">
      <c r="A633" s="889" t="s">
        <v>412</v>
      </c>
      <c r="B633" s="890"/>
      <c r="C633" s="890"/>
      <c r="D633" s="890"/>
      <c r="E633" s="890"/>
      <c r="F633" s="890"/>
      <c r="G633" s="890"/>
      <c r="H633" s="774" t="s">
        <v>203</v>
      </c>
      <c r="I633" s="349" t="s">
        <v>280</v>
      </c>
      <c r="J633" s="157"/>
      <c r="K633" s="611" t="s">
        <v>45</v>
      </c>
      <c r="L633" s="630" t="s">
        <v>46</v>
      </c>
      <c r="M633" s="157"/>
      <c r="N633" s="158" t="s">
        <v>69</v>
      </c>
      <c r="O633" s="158"/>
      <c r="P633" s="158"/>
      <c r="Q633" s="158"/>
      <c r="R633" s="881"/>
      <c r="S633" s="881"/>
      <c r="T633" s="881"/>
      <c r="U633" s="881"/>
      <c r="V633" s="100" t="b">
        <f>IF(G633&gt;0,IF(AD633="me","",G633))</f>
        <v>0</v>
      </c>
      <c r="W633" s="100"/>
      <c r="X633" s="100"/>
      <c r="Y633" s="201"/>
      <c r="Z633" s="829" t="str">
        <f t="shared" si="1542"/>
        <v/>
      </c>
      <c r="AA633" s="829"/>
      <c r="AB633" s="830" t="str">
        <f>IF(G633=0,"",IF(AD633="free","re-planting",IF(AD633="me","not NVP, by",IF($AD$8="yes",(VLOOKUP(A633,'Discount Lookup'!J:K,2)*G633*(1-$AC$1786)*(1+$AC$1788)),IF(AD633="NVP",(VLOOKUP(A633,'Discount Lookup'!J:K,2)*G633*(1-$AC$1786)*(1+$AC$1788)),IF(AD633="free","re-planting",IF(G633=0,"",IF($AD$8="",IF(AD633="me","not NVP, by",IF(AD633="",IF(G633&gt;0,(VLOOKUP(A633,'Discount Lookup'!J:K,2)*G633*(1-$AC$1786)*(1+$AC$1788)),""),"")),"not NVP, by"))))))))</f>
        <v/>
      </c>
      <c r="AC633" s="830"/>
      <c r="AD633" s="375" t="str">
        <f t="shared" si="1635"/>
        <v/>
      </c>
      <c r="AE633" s="833" t="str">
        <f t="shared" si="1605"/>
        <v/>
      </c>
      <c r="AF633" s="833"/>
      <c r="AG633" s="833"/>
      <c r="AH633" s="91">
        <f>IF(AD633="free",0,IF(AD633="me",0,IF(G633&gt;0,(VLOOKUP(A633,'Discount Lookup'!J:K,2)*G633),0)))</f>
        <v>0</v>
      </c>
      <c r="AI633" s="92" t="str">
        <f t="shared" si="1613"/>
        <v/>
      </c>
      <c r="AJ633" s="828" t="str">
        <f t="shared" si="1543"/>
        <v/>
      </c>
      <c r="AK633" s="828"/>
      <c r="AL633" s="313" t="str">
        <f t="shared" si="1561"/>
        <v/>
      </c>
      <c r="AM633" s="312"/>
      <c r="AN633" s="101"/>
      <c r="AO633" s="101"/>
      <c r="AP633" s="101"/>
      <c r="AQ633" s="101"/>
      <c r="AR633" s="101"/>
      <c r="AS633" s="101"/>
      <c r="AT633" s="101"/>
    </row>
    <row r="634" spans="1:46" ht="12.95" customHeight="1">
      <c r="A634" s="383">
        <v>15</v>
      </c>
      <c r="B634" s="158" t="s">
        <v>50</v>
      </c>
      <c r="C634" s="160" t="s">
        <v>70</v>
      </c>
      <c r="D634" s="161" t="s">
        <v>54</v>
      </c>
      <c r="E634" s="162">
        <v>339.95</v>
      </c>
      <c r="F634" s="713" t="s">
        <v>1306</v>
      </c>
      <c r="G634" s="357">
        <v>0</v>
      </c>
      <c r="H634" s="748" t="str">
        <f t="shared" ref="H634" si="1677">IF(G634=0,"",IF(F634="Qty=",IF(G634=1,"plant","plants"),IF(F634&gt;0.0001,"warranty","Error")))</f>
        <v/>
      </c>
      <c r="I634" s="592">
        <f t="shared" ref="I634" si="1678">IF(F634="Qty=",(E634*G634),((E634*(1-F634))*G634))</f>
        <v>0</v>
      </c>
      <c r="J634" s="592">
        <f>IF(H634="warranty",0,(I634*($J$1782)))</f>
        <v>0</v>
      </c>
      <c r="K634" s="834">
        <f t="shared" ref="K634" si="1679">I634+J634</f>
        <v>0</v>
      </c>
      <c r="L634" s="834"/>
      <c r="M634" s="832" t="str">
        <f>IF($H$1784=0,"",IF(G634=0,"",IF(F634="Qty=",CONCATENATE("$",ROUND(K634*(1-$H$1784),2)," with ",($H$1784*100),"% discount"),CONCATENATE("$",ROUND(K634*(1-$H$1784),2)," with ",(($H$1784*100+F634*100)-($H$1784*100*F634)),IF(F634&gt;0,"% discounts",IF($H$1781&gt;0,"% discounts","% discount"))))))</f>
        <v/>
      </c>
      <c r="N634" s="832"/>
      <c r="O634" s="832"/>
      <c r="P634" s="832"/>
      <c r="Q634" s="832"/>
      <c r="R634" s="832"/>
      <c r="S634" s="303">
        <f t="shared" ref="S634" si="1680">E634*G634</f>
        <v>0</v>
      </c>
      <c r="T634" s="541">
        <f>VLOOKUP(A634,'Discount Lookup'!D:E,2,FALSE)*G634</f>
        <v>0</v>
      </c>
      <c r="U634" s="83">
        <f>VLOOKUP(A634,'Discount Lookup'!G:H,2,FALSE)*G634</f>
        <v>0</v>
      </c>
      <c r="V634" s="100">
        <f>E634*($J$1782)*G634</f>
        <v>0</v>
      </c>
      <c r="W634" s="100">
        <f t="shared" ref="W634" si="1681">I634</f>
        <v>0</v>
      </c>
      <c r="X634" s="100" t="b">
        <f>IF(G634&gt;0,IF(AD634="me","",G634))</f>
        <v>0</v>
      </c>
      <c r="Y634" s="201"/>
      <c r="Z634" s="829" t="str">
        <f t="shared" si="1542"/>
        <v/>
      </c>
      <c r="AA634" s="829"/>
      <c r="AB634" s="830" t="str">
        <f>IF(G634=0,"",IF(AD634="free","re-planting",IF(AD634="me","not NVP, by",IF($AD$8="yes",(VLOOKUP(A634,'Discount Lookup'!J:K,2)*G634*(1-$AC$1786)*(1+$AC$1788)),IF(AD634="NVP",(VLOOKUP(A634,'Discount Lookup'!J:K,2)*G634*(1-$AC$1786)*(1+$AC$1788)),IF(AD634="free","re-planting",IF(G634=0,"",IF($AD$8="",IF(AD634="me","not NVP, by",IF(AD634="",IF(G634&gt;0,(VLOOKUP(A634,'Discount Lookup'!J:K,2)*G634*(1-$AC$1786)*(1+$AC$1788)),""),"")),"not NVP, by"))))))))</f>
        <v/>
      </c>
      <c r="AC634" s="830"/>
      <c r="AD634" s="375" t="str">
        <f t="shared" si="1635"/>
        <v/>
      </c>
      <c r="AE634" s="833" t="str">
        <f t="shared" si="1605"/>
        <v/>
      </c>
      <c r="AF634" s="833"/>
      <c r="AG634" s="833"/>
      <c r="AH634" s="91">
        <f>IF(AD634="free",0,IF(AD634="me",0,IF(G634&gt;0,(VLOOKUP(A634,'Discount Lookup'!J:K,2)*G634),0)))</f>
        <v>0</v>
      </c>
      <c r="AI634" s="92" t="str">
        <f t="shared" si="1613"/>
        <v/>
      </c>
      <c r="AJ634" s="828" t="str">
        <f t="shared" si="1543"/>
        <v/>
      </c>
      <c r="AK634" s="828"/>
      <c r="AL634" s="313" t="str">
        <f t="shared" si="1561"/>
        <v/>
      </c>
      <c r="AM634" s="312"/>
      <c r="AN634" s="101"/>
      <c r="AO634" s="101"/>
      <c r="AP634" s="101"/>
      <c r="AQ634" s="101"/>
      <c r="AR634" s="101"/>
      <c r="AS634" s="101"/>
      <c r="AT634" s="101"/>
    </row>
    <row r="635" spans="1:46" ht="12.95" customHeight="1">
      <c r="A635" s="472"/>
      <c r="B635" s="173" t="s">
        <v>413</v>
      </c>
      <c r="G635" s="361"/>
      <c r="H635" s="746"/>
      <c r="L635" s="616" t="s">
        <v>1338</v>
      </c>
      <c r="M635" s="846" t="s">
        <v>38</v>
      </c>
      <c r="N635" s="846"/>
      <c r="O635" s="178"/>
      <c r="P635" s="124">
        <v>0</v>
      </c>
      <c r="Q635" s="124"/>
      <c r="R635" s="83">
        <v>0</v>
      </c>
      <c r="S635" s="82">
        <v>0</v>
      </c>
      <c r="T635" s="540"/>
      <c r="U635" s="83"/>
      <c r="V635" s="100" t="b">
        <v>0</v>
      </c>
      <c r="W635" s="100"/>
      <c r="X635" s="100"/>
      <c r="Y635" s="201"/>
      <c r="Z635" s="829" t="str">
        <f t="shared" ref="Z635:Z705" si="1682">IF(G635=0,"",IF(AD635="me","",IF($AD$8="me","",IF(AD635="free","warranty",IF($AD$8="yes","NVP planting:","to NVP install:")))))</f>
        <v/>
      </c>
      <c r="AA635" s="829"/>
      <c r="AB635" s="830" t="str">
        <f>IF(G635=0,"",IF(AD635="free","re-planting",IF(AD635="me","not NVP, by",IF($AD$8="yes",(VLOOKUP(A635,'Discount Lookup'!J:K,2)*G635*(1-$AC$1786)*(1+$AC$1788)),IF(AD635="NVP",(VLOOKUP(A635,'Discount Lookup'!J:K,2)*G635*(1-$AC$1786)*(1+$AC$1788)),IF(AD635="free","re-planting",IF(G635=0,"",IF($AD$8="",IF(AD635="me","not NVP, by",IF(AD635="",IF(G635&gt;0,(VLOOKUP(A635,'Discount Lookup'!J:K,2)*G635*(1-$AC$1786)*(1+$AC$1788)),""),"")),"not NVP, by"))))))))</f>
        <v/>
      </c>
      <c r="AC635" s="830"/>
      <c r="AD635" s="375" t="str">
        <f t="shared" si="1635"/>
        <v/>
      </c>
      <c r="AE635" s="833" t="str">
        <f t="shared" si="1605"/>
        <v/>
      </c>
      <c r="AF635" s="833"/>
      <c r="AG635" s="833"/>
      <c r="AH635" s="91">
        <f>IF(AD635="free",0,IF(AD635="me",0,IF(G635&gt;0,(VLOOKUP(A635,'Discount Lookup'!J:K,2)*G635),0)))</f>
        <v>0</v>
      </c>
      <c r="AI635" s="92" t="str">
        <f t="shared" si="1613"/>
        <v/>
      </c>
      <c r="AJ635" s="828" t="str">
        <f t="shared" ref="AJ635:AJ705" si="1683">IF(G635=0,"",IF(AD635="me","  delivery-only",IF($AD$8="me","  delivery-only",CONCATENATE(" $",ROUND(AI635/G635,2)," each"))))</f>
        <v/>
      </c>
      <c r="AK635" s="828"/>
      <c r="AL635" s="313" t="str">
        <f t="shared" si="1561"/>
        <v/>
      </c>
      <c r="AM635" s="312"/>
      <c r="AN635" s="101"/>
      <c r="AO635" s="101"/>
      <c r="AP635" s="101"/>
      <c r="AQ635" s="101"/>
      <c r="AR635" s="101"/>
      <c r="AS635" s="101"/>
      <c r="AT635" s="101"/>
    </row>
    <row r="636" spans="1:46" ht="12.95" customHeight="1">
      <c r="A636" s="894" t="s">
        <v>414</v>
      </c>
      <c r="B636" s="895"/>
      <c r="C636" s="895"/>
      <c r="D636" s="895"/>
      <c r="E636" s="895"/>
      <c r="F636" s="895"/>
      <c r="G636" s="895"/>
      <c r="H636" s="775" t="s">
        <v>203</v>
      </c>
      <c r="I636" s="349" t="s">
        <v>280</v>
      </c>
      <c r="J636" s="157"/>
      <c r="K636" s="611" t="s">
        <v>45</v>
      </c>
      <c r="L636" s="630" t="s">
        <v>46</v>
      </c>
      <c r="M636" s="157"/>
      <c r="N636" s="158" t="s">
        <v>69</v>
      </c>
      <c r="O636" s="165"/>
      <c r="P636" s="166"/>
      <c r="Q636" s="166"/>
      <c r="R636" s="157"/>
      <c r="S636" s="170"/>
      <c r="T636" s="547"/>
      <c r="U636" s="171"/>
      <c r="V636" s="100" t="b">
        <f>IF(G636&gt;0,IF(AD636="me","",G636))</f>
        <v>0</v>
      </c>
      <c r="W636" s="100"/>
      <c r="X636" s="100"/>
      <c r="Y636" s="201"/>
      <c r="Z636" s="829" t="str">
        <f t="shared" si="1682"/>
        <v/>
      </c>
      <c r="AA636" s="829"/>
      <c r="AB636" s="830" t="str">
        <f>IF(G636=0,"",IF(AD636="free","re-planting",IF(AD636="me","not NVP, by",IF($AD$8="yes",(VLOOKUP(A636,'Discount Lookup'!J:K,2)*G636*(1-$AC$1786)*(1+$AC$1788)),IF(AD636="NVP",(VLOOKUP(A636,'Discount Lookup'!J:K,2)*G636*(1-$AC$1786)*(1+$AC$1788)),IF(AD636="free","re-planting",IF(G636=0,"",IF($AD$8="",IF(AD636="me","not NVP, by",IF(AD636="",IF(G636&gt;0,(VLOOKUP(A636,'Discount Lookup'!J:K,2)*G636*(1-$AC$1786)*(1+$AC$1788)),""),"")),"not NVP, by"))))))))</f>
        <v/>
      </c>
      <c r="AC636" s="830"/>
      <c r="AD636" s="375" t="str">
        <f t="shared" si="1635"/>
        <v/>
      </c>
      <c r="AE636" s="833" t="str">
        <f t="shared" si="1605"/>
        <v/>
      </c>
      <c r="AF636" s="833"/>
      <c r="AG636" s="833"/>
      <c r="AH636" s="91">
        <f>IF(AD636="free",0,IF(AD636="me",0,IF(G636&gt;0,(VLOOKUP(A636,'Discount Lookup'!J:K,2)*G636),0)))</f>
        <v>0</v>
      </c>
      <c r="AI636" s="92" t="str">
        <f t="shared" si="1613"/>
        <v/>
      </c>
      <c r="AJ636" s="828" t="str">
        <f t="shared" si="1683"/>
        <v/>
      </c>
      <c r="AK636" s="828"/>
      <c r="AL636" s="313" t="str">
        <f t="shared" si="1561"/>
        <v/>
      </c>
      <c r="AM636" s="312"/>
      <c r="AN636" s="101"/>
      <c r="AO636" s="101"/>
      <c r="AP636" s="101"/>
      <c r="AQ636" s="101"/>
      <c r="AR636" s="101"/>
      <c r="AS636" s="101"/>
      <c r="AT636" s="101"/>
    </row>
    <row r="637" spans="1:46" ht="12.95" customHeight="1">
      <c r="A637" s="383">
        <v>25</v>
      </c>
      <c r="B637" s="158" t="s">
        <v>50</v>
      </c>
      <c r="C637" s="172" t="s">
        <v>1498</v>
      </c>
      <c r="D637" s="161" t="s">
        <v>90</v>
      </c>
      <c r="E637" s="162">
        <v>304.95</v>
      </c>
      <c r="F637" s="713" t="s">
        <v>1306</v>
      </c>
      <c r="G637" s="357">
        <v>0</v>
      </c>
      <c r="H637" s="748" t="str">
        <f t="shared" ref="H637" si="1684">IF(G637=0,"",IF(F637="Qty=",IF(G637=1,"plant","plants"),IF(F637&gt;0.0001,"warranty","Error")))</f>
        <v/>
      </c>
      <c r="I637" s="592">
        <f t="shared" ref="I637" si="1685">IF(F637="Qty=",(E637*G637),((E637*(1-F637))*G637))</f>
        <v>0</v>
      </c>
      <c r="J637" s="592">
        <f>IF(H637="warranty",0,(I637*($J$1782)))</f>
        <v>0</v>
      </c>
      <c r="K637" s="834">
        <f t="shared" ref="K637" si="1686">I637+J637</f>
        <v>0</v>
      </c>
      <c r="L637" s="834"/>
      <c r="M637" s="832" t="str">
        <f>IF($H$1784=0,"",IF(G637=0,"",IF(F637="Qty=",CONCATENATE("$",ROUND(K637*(1-$H$1784),2)," with ",($H$1784*100),"% discount"),CONCATENATE("$",ROUND(K637*(1-$H$1784),2)," with ",(($H$1784*100+F637*100)-($H$1784*100*F637)),IF(F637&gt;0,"% discounts",IF($H$1781&gt;0,"% discounts","% discount"))))))</f>
        <v/>
      </c>
      <c r="N637" s="832"/>
      <c r="O637" s="832"/>
      <c r="P637" s="832"/>
      <c r="Q637" s="832"/>
      <c r="R637" s="832"/>
      <c r="S637" s="303">
        <f t="shared" ref="S637" si="1687">E637*G637</f>
        <v>0</v>
      </c>
      <c r="T637" s="541">
        <f>VLOOKUP(A637,'Discount Lookup'!D:E,2,FALSE)*G637</f>
        <v>0</v>
      </c>
      <c r="U637" s="83">
        <f>VLOOKUP(A637,'Discount Lookup'!G:H,2,FALSE)*G637</f>
        <v>0</v>
      </c>
      <c r="V637" s="100">
        <f>E637*($J$1782)*G637</f>
        <v>0</v>
      </c>
      <c r="W637" s="100">
        <f t="shared" ref="W637" si="1688">I637</f>
        <v>0</v>
      </c>
      <c r="X637" s="100" t="b">
        <f>IF(G637&gt;0,IF(AD637="me","",G637))</f>
        <v>0</v>
      </c>
      <c r="Y637" s="201"/>
      <c r="Z637" s="829" t="str">
        <f t="shared" si="1682"/>
        <v/>
      </c>
      <c r="AA637" s="829"/>
      <c r="AB637" s="830" t="str">
        <f>IF(G637=0,"",IF(AD637="free","re-planting",IF(AD637="me","not NVP, by",IF($AD$8="yes",(VLOOKUP(A637,'Discount Lookup'!J:K,2)*G637*(1-$AC$1786)*(1+$AC$1788)),IF(AD637="NVP",(VLOOKUP(A637,'Discount Lookup'!J:K,2)*G637*(1-$AC$1786)*(1+$AC$1788)),IF(AD637="free","re-planting",IF(G637=0,"",IF($AD$8="",IF(AD637="me","not NVP, by",IF(AD637="",IF(G637&gt;0,(VLOOKUP(A637,'Discount Lookup'!J:K,2)*G637*(1-$AC$1786)*(1+$AC$1788)),""),"")),"not NVP, by"))))))))</f>
        <v/>
      </c>
      <c r="AC637" s="830"/>
      <c r="AD637" s="375" t="str">
        <f t="shared" si="1635"/>
        <v/>
      </c>
      <c r="AE637" s="833" t="str">
        <f t="shared" si="1605"/>
        <v/>
      </c>
      <c r="AF637" s="833"/>
      <c r="AG637" s="833"/>
      <c r="AH637" s="91">
        <f>IF(AD637="free",0,IF(AD637="me",0,IF(G637&gt;0,(VLOOKUP(A637,'Discount Lookup'!J:K,2)*G637),0)))</f>
        <v>0</v>
      </c>
      <c r="AI637" s="92" t="str">
        <f t="shared" si="1613"/>
        <v/>
      </c>
      <c r="AJ637" s="828" t="str">
        <f t="shared" si="1683"/>
        <v/>
      </c>
      <c r="AK637" s="828"/>
      <c r="AL637" s="313" t="str">
        <f t="shared" si="1561"/>
        <v/>
      </c>
      <c r="AM637" s="312"/>
      <c r="AN637" s="101"/>
      <c r="AO637" s="101"/>
      <c r="AP637" s="101"/>
      <c r="AQ637" s="101"/>
      <c r="AR637" s="101"/>
      <c r="AS637" s="101"/>
      <c r="AT637" s="101"/>
    </row>
    <row r="638" spans="1:46" ht="12.75" customHeight="1">
      <c r="A638" s="481"/>
      <c r="B638" s="173" t="s">
        <v>415</v>
      </c>
      <c r="G638" s="361"/>
      <c r="H638" s="749"/>
      <c r="J638" s="840"/>
      <c r="K638" s="840"/>
      <c r="L638" s="840"/>
      <c r="M638" s="48"/>
      <c r="N638" s="48"/>
      <c r="O638" s="123">
        <f>VLOOKUP(A638,'Discount Lookup'!D:E,2,FALSE)*G638</f>
        <v>0</v>
      </c>
      <c r="P638" s="124">
        <f>VLOOKUP(A638,'Discount Lookup'!G:H,2,FALSE)*G638</f>
        <v>0</v>
      </c>
      <c r="Q638" s="841" t="s">
        <v>125</v>
      </c>
      <c r="R638" s="841"/>
      <c r="S638" s="841"/>
      <c r="T638" s="841"/>
      <c r="U638" s="841"/>
      <c r="V638" s="841"/>
      <c r="W638" s="100"/>
      <c r="X638" s="100"/>
      <c r="Y638" s="201"/>
      <c r="Z638" s="829" t="str">
        <f t="shared" si="1682"/>
        <v/>
      </c>
      <c r="AA638" s="829"/>
      <c r="AB638" s="830" t="str">
        <f>IF(G638=0,"",IF(AD638="free","re-planting",IF(AD638="me","not NVP, by",IF($AD$8="yes",(VLOOKUP(A638,'Discount Lookup'!J:K,2)*G638*(1-$AC$1786)*(1+$AC$1788)),IF(AD638="NVP",(VLOOKUP(A638,'Discount Lookup'!J:K,2)*G638*(1-$AC$1786)*(1+$AC$1788)),IF(AD638="free","re-planting",IF(G638=0,"",IF($AD$8="",IF(AD638="me","not NVP, by",IF(AD638="",IF(G638&gt;0,(VLOOKUP(A638,'Discount Lookup'!J:K,2)*G638*(1-$AC$1786)*(1+$AC$1788)),""),"")),"not NVP, by"))))))))</f>
        <v/>
      </c>
      <c r="AC638" s="830"/>
      <c r="AD638" s="375" t="str">
        <f t="shared" si="1635"/>
        <v/>
      </c>
      <c r="AE638" s="833" t="str">
        <f t="shared" si="1605"/>
        <v/>
      </c>
      <c r="AF638" s="833"/>
      <c r="AG638" s="833"/>
      <c r="AH638" s="91">
        <f>IF(AD638="free",0,IF(AD638="me",0,IF(G638&gt;0,(VLOOKUP(A638,'Discount Lookup'!J:K,2)*G638),0)))</f>
        <v>0</v>
      </c>
      <c r="AI638" s="92" t="str">
        <f t="shared" si="1613"/>
        <v/>
      </c>
      <c r="AJ638" s="828" t="str">
        <f t="shared" si="1683"/>
        <v/>
      </c>
      <c r="AK638" s="828"/>
      <c r="AL638" s="313" t="str">
        <f t="shared" si="1561"/>
        <v/>
      </c>
      <c r="AM638" s="312"/>
      <c r="AN638" s="101"/>
      <c r="AO638" s="101"/>
      <c r="AP638" s="101"/>
      <c r="AQ638" s="101"/>
      <c r="AR638" s="101"/>
      <c r="AS638" s="101"/>
      <c r="AT638" s="101"/>
    </row>
    <row r="639" spans="1:46" ht="12.95" customHeight="1">
      <c r="A639" s="889" t="s">
        <v>1224</v>
      </c>
      <c r="B639" s="890"/>
      <c r="C639" s="890"/>
      <c r="D639" s="890"/>
      <c r="E639" s="890"/>
      <c r="F639" s="890"/>
      <c r="G639" s="890"/>
      <c r="H639" s="775" t="s">
        <v>214</v>
      </c>
      <c r="I639" s="164" t="s">
        <v>79</v>
      </c>
      <c r="J639" s="157"/>
      <c r="K639" s="611" t="s">
        <v>45</v>
      </c>
      <c r="L639" s="630" t="s">
        <v>46</v>
      </c>
      <c r="M639" s="157"/>
      <c r="N639" s="158" t="s">
        <v>47</v>
      </c>
      <c r="O639" s="158"/>
      <c r="P639" s="158"/>
      <c r="Q639" s="804" t="s">
        <v>1626</v>
      </c>
      <c r="R639" s="157"/>
      <c r="S639" s="170"/>
      <c r="T639" s="547"/>
      <c r="U639" s="159"/>
      <c r="V639" s="100" t="b">
        <f>IF(G639&gt;0,IF(AD639="me","",G639))</f>
        <v>0</v>
      </c>
      <c r="W639" s="100"/>
      <c r="X639" s="100"/>
      <c r="Y639" s="201"/>
      <c r="Z639" s="829" t="str">
        <f t="shared" si="1682"/>
        <v/>
      </c>
      <c r="AA639" s="829"/>
      <c r="AB639" s="830" t="str">
        <f>IF(G639=0,"",IF(AD639="free","re-planting",IF(AD639="me","not NVP, by",IF($AD$8="yes",(VLOOKUP(A639,'Discount Lookup'!J:K,2)*G639*(1-$AC$1786)*(1+$AC$1788)),IF(AD639="NVP",(VLOOKUP(A639,'Discount Lookup'!J:K,2)*G639*(1-$AC$1786)*(1+$AC$1788)),IF(AD639="free","re-planting",IF(G639=0,"",IF($AD$8="",IF(AD639="me","not NVP, by",IF(AD639="",IF(G639&gt;0,(VLOOKUP(A639,'Discount Lookup'!J:K,2)*G639*(1-$AC$1786)*(1+$AC$1788)),""),"")),"not NVP, by"))))))))</f>
        <v/>
      </c>
      <c r="AC639" s="830"/>
      <c r="AD639" s="375" t="str">
        <f t="shared" si="1635"/>
        <v/>
      </c>
      <c r="AE639" s="833" t="str">
        <f t="shared" ref="AE639:AE643" si="1689">IF(G639&gt;0,(CONCATENATE((G639)," quantity, ",(A639)," ",B639)),"")</f>
        <v/>
      </c>
      <c r="AF639" s="833"/>
      <c r="AG639" s="833"/>
      <c r="AH639" s="91">
        <f>IF(AD639="free",0,IF(AD639="me",0,IF(G639&gt;0,(VLOOKUP(A639,'Discount Lookup'!J:K,2)*G639),0)))</f>
        <v>0</v>
      </c>
      <c r="AI639" s="92" t="str">
        <f t="shared" si="1613"/>
        <v/>
      </c>
      <c r="AJ639" s="828" t="str">
        <f t="shared" si="1683"/>
        <v/>
      </c>
      <c r="AK639" s="828"/>
      <c r="AL639" s="313" t="str">
        <f t="shared" si="1561"/>
        <v/>
      </c>
      <c r="AM639" s="312"/>
      <c r="AN639" s="101"/>
      <c r="AO639" s="101"/>
      <c r="AP639" s="101"/>
      <c r="AQ639" s="101"/>
      <c r="AR639" s="101"/>
      <c r="AS639" s="101"/>
      <c r="AT639" s="101"/>
    </row>
    <row r="640" spans="1:46" ht="12.95" customHeight="1">
      <c r="A640" s="383">
        <v>7</v>
      </c>
      <c r="B640" s="158" t="s">
        <v>50</v>
      </c>
      <c r="C640" s="172" t="s">
        <v>64</v>
      </c>
      <c r="D640" s="161" t="s">
        <v>54</v>
      </c>
      <c r="E640" s="162">
        <v>109.95</v>
      </c>
      <c r="F640" s="713" t="s">
        <v>1306</v>
      </c>
      <c r="G640" s="357">
        <v>0</v>
      </c>
      <c r="H640" s="748" t="str">
        <f t="shared" ref="H640:H642" si="1690">IF(G640=0,"",IF(F640="Qty=",IF(G640=1,"plant","plants"),IF(F640&gt;0.0001,"warranty","Error")))</f>
        <v/>
      </c>
      <c r="I640" s="592">
        <f t="shared" ref="I640:I642" si="1691">IF(F640="Qty=",(E640*G640),((E640*(1-F640))*G640))</f>
        <v>0</v>
      </c>
      <c r="J640" s="592">
        <f>IF(H640="warranty",0,(I640*($J$1782)))</f>
        <v>0</v>
      </c>
      <c r="K640" s="834">
        <f t="shared" ref="K640:K642" si="1692">I640+J640</f>
        <v>0</v>
      </c>
      <c r="L640" s="834"/>
      <c r="M640" s="832" t="str">
        <f>IF($H$1784=0,"",IF(G640=0,"",IF(F640="Qty=",CONCATENATE("$",ROUND(K640*(1-$H$1784),2)," with ",($H$1784*100),"% discount"),CONCATENATE("$",ROUND(K640*(1-$H$1784),2)," with ",(($H$1784*100+F640*100)-($H$1784*100*F640)),IF(F640&gt;0,"% discounts",IF($H$1781&gt;0,"% discounts","% discount"))))))</f>
        <v/>
      </c>
      <c r="N640" s="832"/>
      <c r="O640" s="832"/>
      <c r="P640" s="832"/>
      <c r="Q640" s="832"/>
      <c r="R640" s="832"/>
      <c r="S640" s="303">
        <f t="shared" ref="S640:S642" si="1693">E640*G640</f>
        <v>0</v>
      </c>
      <c r="T640" s="541">
        <f>VLOOKUP(A640,'Discount Lookup'!D:E,2,FALSE)*G640</f>
        <v>0</v>
      </c>
      <c r="U640" s="83">
        <f>VLOOKUP(A640,'Discount Lookup'!G:H,2,FALSE)*G640</f>
        <v>0</v>
      </c>
      <c r="V640" s="100">
        <f>E640*($J$1782)*G640</f>
        <v>0</v>
      </c>
      <c r="W640" s="100">
        <f t="shared" ref="W640:W642" si="1694">I640</f>
        <v>0</v>
      </c>
      <c r="X640" s="100" t="b">
        <f>IF(G640&gt;0,IF(AD640="me","",G640))</f>
        <v>0</v>
      </c>
      <c r="Y640" s="201"/>
      <c r="Z640" s="829" t="str">
        <f t="shared" si="1682"/>
        <v/>
      </c>
      <c r="AA640" s="829"/>
      <c r="AB640" s="830" t="str">
        <f>IF(G640=0,"",IF(AD640="free","re-planting",IF(AD640="me","not NVP, by",IF($AD$8="yes",(VLOOKUP(A640,'Discount Lookup'!J:K,2)*G640*(1-$AC$1786)*(1+$AC$1788)),IF(AD640="NVP",(VLOOKUP(A640,'Discount Lookup'!J:K,2)*G640*(1-$AC$1786)*(1+$AC$1788)),IF(AD640="free","re-planting",IF(G640=0,"",IF($AD$8="",IF(AD640="me","not NVP, by",IF(AD640="",IF(G640&gt;0,(VLOOKUP(A640,'Discount Lookup'!J:K,2)*G640*(1-$AC$1786)*(1+$AC$1788)),""),"")),"not NVP, by"))))))))</f>
        <v/>
      </c>
      <c r="AC640" s="830"/>
      <c r="AD640" s="375" t="str">
        <f t="shared" si="1635"/>
        <v/>
      </c>
      <c r="AE640" s="833" t="str">
        <f t="shared" si="1689"/>
        <v/>
      </c>
      <c r="AF640" s="833"/>
      <c r="AG640" s="833"/>
      <c r="AH640" s="91">
        <f>IF(AD640="free",0,IF(AD640="me",0,IF(G640&gt;0,(VLOOKUP(A640,'Discount Lookup'!J:K,2)*G640),0)))</f>
        <v>0</v>
      </c>
      <c r="AI640" s="92" t="str">
        <f t="shared" ref="AI640:AI671" si="1695">IF(G640=0,"",IF(AD640="free",(K640*(1-$H$1784)),IF($AD$8="me",(K640*(1-$H$1784)),IF(AD640="me",(K640*(1-$H$1784)),(K640*(1-$H$1784))+AB640))))</f>
        <v/>
      </c>
      <c r="AJ640" s="828" t="str">
        <f t="shared" si="1683"/>
        <v/>
      </c>
      <c r="AK640" s="828"/>
      <c r="AL640" s="313" t="str">
        <f t="shared" si="1561"/>
        <v/>
      </c>
      <c r="AM640" s="312"/>
      <c r="AN640" s="101"/>
      <c r="AO640" s="101"/>
      <c r="AP640" s="101"/>
      <c r="AQ640" s="101"/>
      <c r="AR640" s="101"/>
      <c r="AS640" s="101"/>
      <c r="AT640" s="101"/>
    </row>
    <row r="641" spans="1:46" ht="12.95" customHeight="1">
      <c r="A641" s="383">
        <v>15</v>
      </c>
      <c r="B641" s="158" t="s">
        <v>50</v>
      </c>
      <c r="C641" s="172" t="s">
        <v>1668</v>
      </c>
      <c r="D641" s="161" t="s">
        <v>54</v>
      </c>
      <c r="E641" s="162">
        <v>201.95</v>
      </c>
      <c r="F641" s="713" t="s">
        <v>1306</v>
      </c>
      <c r="G641" s="357">
        <v>0</v>
      </c>
      <c r="H641" s="748" t="str">
        <f t="shared" si="1690"/>
        <v/>
      </c>
      <c r="I641" s="592">
        <f t="shared" si="1691"/>
        <v>0</v>
      </c>
      <c r="J641" s="592">
        <f>IF(H641="warranty",0,(I641*($J$1782)))</f>
        <v>0</v>
      </c>
      <c r="K641" s="834">
        <f t="shared" si="1692"/>
        <v>0</v>
      </c>
      <c r="L641" s="834"/>
      <c r="M641" s="832" t="str">
        <f>IF($H$1784=0,"",IF(G641=0,"",IF(F641="Qty=",CONCATENATE("$",ROUND(K641*(1-$H$1784),2)," with ",($H$1784*100),"% discount"),CONCATENATE("$",ROUND(K641*(1-$H$1784),2)," with ",(($H$1784*100+F641*100)-($H$1784*100*F641)),IF(F641&gt;0,"% discounts",IF($H$1781&gt;0,"% discounts","% discount"))))))</f>
        <v/>
      </c>
      <c r="N641" s="832"/>
      <c r="O641" s="832"/>
      <c r="P641" s="832"/>
      <c r="Q641" s="832"/>
      <c r="R641" s="832"/>
      <c r="S641" s="303">
        <f t="shared" si="1693"/>
        <v>0</v>
      </c>
      <c r="T641" s="541">
        <f>VLOOKUP(A641,'Discount Lookup'!D:E,2,FALSE)*G641</f>
        <v>0</v>
      </c>
      <c r="U641" s="83">
        <f>VLOOKUP(A641,'Discount Lookup'!G:H,2,FALSE)*G641</f>
        <v>0</v>
      </c>
      <c r="V641" s="100">
        <f>E641*($J$1782)*G641</f>
        <v>0</v>
      </c>
      <c r="W641" s="100">
        <f t="shared" si="1694"/>
        <v>0</v>
      </c>
      <c r="X641" s="100" t="b">
        <f>IF(G641&gt;0,IF(AD641="me","",G641))</f>
        <v>0</v>
      </c>
      <c r="Y641" s="201"/>
      <c r="Z641" s="829" t="str">
        <f t="shared" si="1682"/>
        <v/>
      </c>
      <c r="AA641" s="829"/>
      <c r="AB641" s="830" t="str">
        <f>IF(G641=0,"",IF(AD641="free","re-planting",IF(AD641="me","not NVP, by",IF($AD$8="yes",(VLOOKUP(A641,'Discount Lookup'!J:K,2)*G641*(1-$AC$1786)*(1+$AC$1788)),IF(AD641="NVP",(VLOOKUP(A641,'Discount Lookup'!J:K,2)*G641*(1-$AC$1786)*(1+$AC$1788)),IF(AD641="free","re-planting",IF(G641=0,"",IF($AD$8="",IF(AD641="me","not NVP, by",IF(AD641="",IF(G641&gt;0,(VLOOKUP(A641,'Discount Lookup'!J:K,2)*G641*(1-$AC$1786)*(1+$AC$1788)),""),"")),"not NVP, by"))))))))</f>
        <v/>
      </c>
      <c r="AC641" s="830"/>
      <c r="AD641" s="375" t="str">
        <f t="shared" si="1635"/>
        <v/>
      </c>
      <c r="AE641" s="833" t="str">
        <f t="shared" si="1689"/>
        <v/>
      </c>
      <c r="AF641" s="833"/>
      <c r="AG641" s="833"/>
      <c r="AH641" s="91">
        <f>IF(AD641="free",0,IF(AD641="me",0,IF(G641&gt;0,(VLOOKUP(A641,'Discount Lookup'!J:K,2)*G641),0)))</f>
        <v>0</v>
      </c>
      <c r="AI641" s="92" t="str">
        <f t="shared" si="1695"/>
        <v/>
      </c>
      <c r="AJ641" s="828" t="str">
        <f t="shared" si="1683"/>
        <v/>
      </c>
      <c r="AK641" s="828"/>
      <c r="AL641" s="313" t="str">
        <f t="shared" si="1561"/>
        <v/>
      </c>
      <c r="AM641" s="312"/>
      <c r="AN641" s="101"/>
      <c r="AO641" s="101"/>
      <c r="AP641" s="101"/>
      <c r="AQ641" s="101"/>
      <c r="AR641" s="101"/>
      <c r="AS641" s="101"/>
      <c r="AT641" s="101"/>
    </row>
    <row r="642" spans="1:46" ht="12.95" customHeight="1">
      <c r="A642" s="383">
        <v>15</v>
      </c>
      <c r="B642" s="158" t="s">
        <v>50</v>
      </c>
      <c r="C642" s="172" t="s">
        <v>1377</v>
      </c>
      <c r="D642" s="161" t="s">
        <v>90</v>
      </c>
      <c r="E642" s="162">
        <v>290.95</v>
      </c>
      <c r="F642" s="713" t="s">
        <v>1306</v>
      </c>
      <c r="G642" s="357">
        <v>0</v>
      </c>
      <c r="H642" s="748" t="str">
        <f t="shared" si="1690"/>
        <v/>
      </c>
      <c r="I642" s="592">
        <f t="shared" si="1691"/>
        <v>0</v>
      </c>
      <c r="J642" s="592">
        <f>IF(H642="warranty",0,(I642*($J$1782)))</f>
        <v>0</v>
      </c>
      <c r="K642" s="834">
        <f t="shared" si="1692"/>
        <v>0</v>
      </c>
      <c r="L642" s="834"/>
      <c r="M642" s="832" t="str">
        <f>IF($H$1784=0,"",IF(G642=0,"",IF(F642="Qty=",CONCATENATE("$",ROUND(K642*(1-$H$1784),2)," with ",($H$1784*100),"% discount"),CONCATENATE("$",ROUND(K642*(1-$H$1784),2)," with ",(($H$1784*100+F642*100)-($H$1784*100*F642)),IF(F642&gt;0,"% discounts",IF($H$1781&gt;0,"% discounts","% discount"))))))</f>
        <v/>
      </c>
      <c r="N642" s="832"/>
      <c r="O642" s="832"/>
      <c r="P642" s="832"/>
      <c r="Q642" s="832"/>
      <c r="R642" s="832"/>
      <c r="S642" s="303">
        <f t="shared" si="1693"/>
        <v>0</v>
      </c>
      <c r="T642" s="541">
        <f>VLOOKUP(A642,'Discount Lookup'!D:E,2,FALSE)*G642</f>
        <v>0</v>
      </c>
      <c r="U642" s="83">
        <f>VLOOKUP(A642,'Discount Lookup'!G:H,2,FALSE)*G642</f>
        <v>0</v>
      </c>
      <c r="V642" s="100">
        <f>E642*($J$1782)*G642</f>
        <v>0</v>
      </c>
      <c r="W642" s="100">
        <f t="shared" si="1694"/>
        <v>0</v>
      </c>
      <c r="X642" s="100" t="b">
        <f>IF(G642&gt;0,IF(AD642="me","",G642))</f>
        <v>0</v>
      </c>
      <c r="Y642" s="201"/>
      <c r="Z642" s="829" t="str">
        <f t="shared" si="1682"/>
        <v/>
      </c>
      <c r="AA642" s="829"/>
      <c r="AB642" s="830" t="str">
        <f>IF(G642=0,"",IF(AD642="free","re-planting",IF(AD642="me","not NVP, by",IF($AD$8="yes",(VLOOKUP(A642,'Discount Lookup'!J:K,2)*G642*(1-$AC$1786)*(1+$AC$1788)),IF(AD642="NVP",(VLOOKUP(A642,'Discount Lookup'!J:K,2)*G642*(1-$AC$1786)*(1+$AC$1788)),IF(AD642="free","re-planting",IF(G642=0,"",IF($AD$8="",IF(AD642="me","not NVP, by",IF(AD642="",IF(G642&gt;0,(VLOOKUP(A642,'Discount Lookup'!J:K,2)*G642*(1-$AC$1786)*(1+$AC$1788)),""),"")),"not NVP, by"))))))))</f>
        <v/>
      </c>
      <c r="AC642" s="830"/>
      <c r="AD642" s="375" t="str">
        <f t="shared" si="1635"/>
        <v/>
      </c>
      <c r="AE642" s="833" t="str">
        <f t="shared" si="1689"/>
        <v/>
      </c>
      <c r="AF642" s="833"/>
      <c r="AG642" s="833"/>
      <c r="AH642" s="91">
        <f>IF(AD642="free",0,IF(AD642="me",0,IF(G642&gt;0,(VLOOKUP(A642,'Discount Lookup'!J:K,2)*G642),0)))</f>
        <v>0</v>
      </c>
      <c r="AI642" s="92" t="str">
        <f t="shared" si="1695"/>
        <v/>
      </c>
      <c r="AJ642" s="828" t="str">
        <f t="shared" si="1683"/>
        <v/>
      </c>
      <c r="AK642" s="828"/>
      <c r="AL642" s="313" t="str">
        <f t="shared" si="1561"/>
        <v/>
      </c>
      <c r="AM642" s="312"/>
      <c r="AN642" s="101"/>
      <c r="AO642" s="101"/>
      <c r="AP642" s="101"/>
      <c r="AQ642" s="101"/>
      <c r="AR642" s="101"/>
      <c r="AS642" s="101"/>
      <c r="AT642" s="101"/>
    </row>
    <row r="643" spans="1:46" ht="12.95" customHeight="1">
      <c r="A643" s="474"/>
      <c r="B643" s="173" t="s">
        <v>1223</v>
      </c>
      <c r="C643" s="130"/>
      <c r="D643" s="104"/>
      <c r="E643" s="131"/>
      <c r="G643" s="356"/>
      <c r="H643" s="744"/>
      <c r="J643" s="119"/>
      <c r="K643" s="609"/>
      <c r="L643" s="609"/>
      <c r="M643" s="48"/>
      <c r="N643" s="163" t="s">
        <v>268</v>
      </c>
      <c r="O643" s="123"/>
      <c r="P643" s="124"/>
      <c r="Q643" s="124"/>
      <c r="R643" s="840"/>
      <c r="S643" s="840"/>
      <c r="T643" s="840"/>
      <c r="U643" s="840"/>
      <c r="V643" s="100" t="b">
        <f>IF(G643&gt;0,IF(AD643="me","",G643))</f>
        <v>0</v>
      </c>
      <c r="W643" s="100"/>
      <c r="X643" s="100"/>
      <c r="Y643" s="201"/>
      <c r="Z643" s="829" t="str">
        <f t="shared" si="1682"/>
        <v/>
      </c>
      <c r="AA643" s="829"/>
      <c r="AB643" s="830" t="str">
        <f>IF(G643=0,"",IF(AD643="free","re-planting",IF(AD643="me","not NVP, by",IF($AD$8="yes",(VLOOKUP(A643,'Discount Lookup'!J:K,2)*G643*(1-$AC$1786)*(1+$AC$1788)),IF(AD643="NVP",(VLOOKUP(A643,'Discount Lookup'!J:K,2)*G643*(1-$AC$1786)*(1+$AC$1788)),IF(AD643="free","re-planting",IF(G643=0,"",IF($AD$8="",IF(AD643="me","not NVP, by",IF(AD643="",IF(G643&gt;0,(VLOOKUP(A643,'Discount Lookup'!J:K,2)*G643*(1-$AC$1786)*(1+$AC$1788)),""),"")),"not NVP, by"))))))))</f>
        <v/>
      </c>
      <c r="AC643" s="830"/>
      <c r="AD643" s="375" t="str">
        <f t="shared" si="1635"/>
        <v/>
      </c>
      <c r="AE643" s="833" t="str">
        <f t="shared" si="1689"/>
        <v/>
      </c>
      <c r="AF643" s="833"/>
      <c r="AG643" s="833"/>
      <c r="AH643" s="91">
        <f>IF(AD643="free",0,IF(AD643="me",0,IF(G643&gt;0,(VLOOKUP(A643,'Discount Lookup'!J:K,2)*G643),0)))</f>
        <v>0</v>
      </c>
      <c r="AI643" s="92" t="str">
        <f t="shared" si="1695"/>
        <v/>
      </c>
      <c r="AJ643" s="828" t="str">
        <f t="shared" si="1683"/>
        <v/>
      </c>
      <c r="AK643" s="828"/>
      <c r="AL643" s="313" t="str">
        <f t="shared" si="1561"/>
        <v/>
      </c>
      <c r="AM643" s="312"/>
      <c r="AN643" s="101"/>
      <c r="AO643" s="101"/>
      <c r="AP643" s="101"/>
      <c r="AQ643" s="101"/>
      <c r="AR643" s="101"/>
      <c r="AS643" s="101"/>
      <c r="AT643" s="101"/>
    </row>
    <row r="644" spans="1:46" ht="12.95" customHeight="1">
      <c r="A644" s="894" t="s">
        <v>416</v>
      </c>
      <c r="B644" s="895"/>
      <c r="C644" s="895"/>
      <c r="D644" s="895"/>
      <c r="E644" s="895"/>
      <c r="F644" s="895"/>
      <c r="G644" s="895"/>
      <c r="H644" s="775" t="s">
        <v>417</v>
      </c>
      <c r="I644" s="164" t="s">
        <v>79</v>
      </c>
      <c r="J644" s="157"/>
      <c r="K644" s="611" t="s">
        <v>45</v>
      </c>
      <c r="L644" s="630" t="s">
        <v>46</v>
      </c>
      <c r="M644" s="157"/>
      <c r="N644" s="158" t="s">
        <v>1615</v>
      </c>
      <c r="O644" s="158"/>
      <c r="P644" s="158"/>
      <c r="Q644" s="804"/>
      <c r="R644" s="157"/>
      <c r="S644" s="170"/>
      <c r="T644" s="547"/>
      <c r="U644" s="159"/>
      <c r="V644" s="100" t="b">
        <f>IF(G644&gt;0,IF(AD644="me","",G644))</f>
        <v>0</v>
      </c>
      <c r="W644" s="100"/>
      <c r="X644" s="100"/>
      <c r="Y644" s="201"/>
      <c r="Z644" s="829" t="str">
        <f t="shared" si="1682"/>
        <v/>
      </c>
      <c r="AA644" s="829"/>
      <c r="AB644" s="830" t="str">
        <f>IF(G644=0,"",IF(AD644="free","re-planting",IF(AD644="me","not NVP, by",IF($AD$8="yes",(VLOOKUP(A644,'Discount Lookup'!J:K,2)*G644*(1-$AC$1786)*(1+$AC$1788)),IF(AD644="NVP",(VLOOKUP(A644,'Discount Lookup'!J:K,2)*G644*(1-$AC$1786)*(1+$AC$1788)),IF(AD644="free","re-planting",IF(G644=0,"",IF($AD$8="",IF(AD644="me","not NVP, by",IF(AD644="",IF(G644&gt;0,(VLOOKUP(A644,'Discount Lookup'!J:K,2)*G644*(1-$AC$1786)*(1+$AC$1788)),""),"")),"not NVP, by"))))))))</f>
        <v/>
      </c>
      <c r="AC644" s="830"/>
      <c r="AD644" s="375" t="str">
        <f t="shared" si="1635"/>
        <v/>
      </c>
      <c r="AE644" s="833" t="str">
        <f>IF(G644&gt;0,(CONCATENATE((G644)," quantity, ",(A644)," ",B644)),"")</f>
        <v/>
      </c>
      <c r="AF644" s="833"/>
      <c r="AG644" s="833"/>
      <c r="AH644" s="91" t="str">
        <f>IF(AD644="free",0,IF(AD644="me","",IF(G644&gt;0,(VLOOKUP(A644,'Discount Lookup'!J:K,2)*G644),"")))</f>
        <v/>
      </c>
      <c r="AI644" s="92" t="str">
        <f t="shared" si="1695"/>
        <v/>
      </c>
      <c r="AJ644" s="828" t="str">
        <f t="shared" si="1683"/>
        <v/>
      </c>
      <c r="AK644" s="828"/>
      <c r="AL644" s="313" t="str">
        <f t="shared" si="1561"/>
        <v/>
      </c>
      <c r="AM644" s="312"/>
      <c r="AN644" s="101"/>
      <c r="AO644" s="101"/>
      <c r="AP644" s="101"/>
      <c r="AQ644" s="101"/>
      <c r="AR644" s="101"/>
      <c r="AS644" s="101"/>
      <c r="AT644" s="101"/>
    </row>
    <row r="645" spans="1:46" ht="12.95" customHeight="1">
      <c r="A645" s="383">
        <v>15</v>
      </c>
      <c r="B645" s="158" t="s">
        <v>50</v>
      </c>
      <c r="C645" s="168" t="s">
        <v>103</v>
      </c>
      <c r="D645" s="161" t="s">
        <v>54</v>
      </c>
      <c r="E645" s="162">
        <v>390.95</v>
      </c>
      <c r="F645" s="713" t="s">
        <v>1306</v>
      </c>
      <c r="G645" s="357">
        <v>0</v>
      </c>
      <c r="H645" s="748" t="str">
        <f t="shared" ref="H645" si="1696">IF(G645=0,"",IF(F645="Qty=",IF(G645=1,"plant","plants"),IF(F645&gt;0.0001,"warranty","Error")))</f>
        <v/>
      </c>
      <c r="I645" s="592">
        <f t="shared" ref="I645" si="1697">IF(F645="Qty=",(E645*G645),((E645*(1-F645))*G645))</f>
        <v>0</v>
      </c>
      <c r="J645" s="592">
        <f>IF(H645="warranty",0,(I645*($J$1782)))</f>
        <v>0</v>
      </c>
      <c r="K645" s="834">
        <f t="shared" ref="K645:K646" si="1698">I645+J645</f>
        <v>0</v>
      </c>
      <c r="L645" s="834"/>
      <c r="M645" s="832" t="str">
        <f>IF($H$1784=0,"",IF(G645=0,"",IF(F645="Qty=",CONCATENATE("$",ROUND(K645*(1-$H$1784),2)," with ",($H$1784*100),"% discount"),CONCATENATE("$",ROUND(K645*(1-$H$1784),2)," with ",(($H$1784*100+F645*100)-($H$1784*100*F645)),IF(F645&gt;0,"% discounts",IF($H$1781&gt;0,"% discounts","% discount"))))))</f>
        <v/>
      </c>
      <c r="N645" s="832"/>
      <c r="O645" s="832"/>
      <c r="P645" s="832"/>
      <c r="Q645" s="832"/>
      <c r="R645" s="832"/>
      <c r="S645" s="303">
        <f t="shared" ref="S645" si="1699">E645*G645</f>
        <v>0</v>
      </c>
      <c r="T645" s="541">
        <f>VLOOKUP(A645,'Discount Lookup'!D:E,2,FALSE)*G645</f>
        <v>0</v>
      </c>
      <c r="U645" s="83">
        <f>VLOOKUP(A645,'Discount Lookup'!G:H,2,FALSE)*G645</f>
        <v>0</v>
      </c>
      <c r="V645" s="100">
        <f>E645*($J$1782)*G645</f>
        <v>0</v>
      </c>
      <c r="W645" s="100">
        <f t="shared" ref="W645" si="1700">I645</f>
        <v>0</v>
      </c>
      <c r="X645" s="100" t="b">
        <f>IF(G645&gt;0,IF(AD645="me","",G645))</f>
        <v>0</v>
      </c>
      <c r="Y645" s="201"/>
      <c r="Z645" s="829" t="str">
        <f t="shared" ref="Z645" si="1701">IF(G645=0,"",IF(AD645="me","",IF($AD$8="me","",IF(AD645="free","warranty",IF($AD$8="yes","NVP planting:","to NVP install:")))))</f>
        <v/>
      </c>
      <c r="AA645" s="829"/>
      <c r="AB645" s="830" t="str">
        <f>IF(G645=0,"",IF(AD645="free","re-planting",IF(AD645="me","not NVP, by",IF($AD$8="yes",(VLOOKUP(A645,'Discount Lookup'!J:K,2)*G645*(1-$AC$1786)*(1+$AC$1788)),IF(AD645="NVP",(VLOOKUP(A645,'Discount Lookup'!J:K,2)*G645*(1-$AC$1786)*(1+$AC$1788)),IF(AD645="free","re-planting",IF(G645=0,"",IF($AD$8="",IF(AD645="me","not NVP, by",IF(AD645="",IF(G645&gt;0,(VLOOKUP(A645,'Discount Lookup'!J:K,2)*G645*(1-$AC$1786)*(1+$AC$1788)),""),"")),"not NVP, by"))))))))</f>
        <v/>
      </c>
      <c r="AC645" s="830"/>
      <c r="AD645" s="375" t="str">
        <f t="shared" si="1635"/>
        <v/>
      </c>
      <c r="AE645" s="833" t="str">
        <f>IF(G645&gt;0,(CONCATENATE((G645)," quantity, ",(A645)," ",B645)),"")</f>
        <v/>
      </c>
      <c r="AF645" s="833"/>
      <c r="AG645" s="833"/>
      <c r="AH645" s="91" t="str">
        <f>IF(AD645="free",0,IF(AD645="me","",IF(G645&gt;0,(VLOOKUP(A645,'Discount Lookup'!J:K,2)*G645),"")))</f>
        <v/>
      </c>
      <c r="AI645" s="92" t="str">
        <f t="shared" si="1695"/>
        <v/>
      </c>
      <c r="AJ645" s="828" t="str">
        <f t="shared" ref="AJ645" si="1702">IF(G645=0,"",IF(AD645="me","  delivery-only",IF($AD$8="me","  delivery-only",CONCATENATE(" $",ROUND(AI645/G645,2)," each"))))</f>
        <v/>
      </c>
      <c r="AK645" s="828"/>
      <c r="AL645" s="313" t="str">
        <f t="shared" si="1561"/>
        <v/>
      </c>
      <c r="AM645" s="312"/>
      <c r="AN645" s="101"/>
      <c r="AO645" s="101"/>
      <c r="AP645" s="101"/>
      <c r="AQ645" s="101"/>
      <c r="AR645" s="101"/>
      <c r="AS645" s="101"/>
      <c r="AT645" s="101"/>
    </row>
    <row r="646" spans="1:46" ht="12.95" customHeight="1">
      <c r="A646" s="383">
        <v>25</v>
      </c>
      <c r="B646" s="158" t="s">
        <v>50</v>
      </c>
      <c r="C646" s="449" t="s">
        <v>1583</v>
      </c>
      <c r="D646" s="161" t="s">
        <v>54</v>
      </c>
      <c r="E646" s="162">
        <v>812.95</v>
      </c>
      <c r="F646" s="713" t="s">
        <v>1306</v>
      </c>
      <c r="G646" s="357">
        <v>0</v>
      </c>
      <c r="H646" s="748" t="str">
        <f t="shared" ref="H646" si="1703">IF(G646=0,"",IF(F646="Qty=",IF(G646=1,"plant","plants"),IF(F646&gt;0.0001,"warranty","Error")))</f>
        <v/>
      </c>
      <c r="I646" s="592">
        <f t="shared" ref="I646" si="1704">IF(F646="Qty=",(E646*G646),((E646*(1-F646))*G646))</f>
        <v>0</v>
      </c>
      <c r="J646" s="592">
        <f>IF(H646="warranty",0,(I646*($J$1782)))</f>
        <v>0</v>
      </c>
      <c r="K646" s="834">
        <f t="shared" si="1698"/>
        <v>0</v>
      </c>
      <c r="L646" s="834"/>
      <c r="M646" s="832" t="str">
        <f>IF($H$1784=0,"",IF(G646=0,"",IF(F646="Qty=",CONCATENATE("$",ROUND(K646*(1-$H$1784),2)," with ",($H$1784*100),"% discount"),CONCATENATE("$",ROUND(K646*(1-$H$1784),2)," with ",(($H$1784*100+F646*100)-($H$1784*100*F646)),IF(F646&gt;0,"% discounts",IF($H$1781&gt;0,"% discounts","% discount"))))))</f>
        <v/>
      </c>
      <c r="N646" s="832"/>
      <c r="O646" s="832"/>
      <c r="P646" s="832"/>
      <c r="Q646" s="832"/>
      <c r="R646" s="832"/>
      <c r="S646" s="303">
        <f t="shared" ref="S646" si="1705">E646*G646</f>
        <v>0</v>
      </c>
      <c r="T646" s="541">
        <f>VLOOKUP(A646,'Discount Lookup'!D:E,2,FALSE)*G646</f>
        <v>0</v>
      </c>
      <c r="U646" s="83">
        <f>VLOOKUP(A646,'Discount Lookup'!G:H,2,FALSE)*G646</f>
        <v>0</v>
      </c>
      <c r="V646" s="100">
        <f>E646*($J$1782)*G646</f>
        <v>0</v>
      </c>
      <c r="W646" s="100">
        <f t="shared" ref="W646" si="1706">I646</f>
        <v>0</v>
      </c>
      <c r="X646" s="100" t="b">
        <f>IF(G646&gt;0,IF(AD646="me","",G646))</f>
        <v>0</v>
      </c>
      <c r="Y646" s="201"/>
      <c r="Z646" s="829" t="str">
        <f t="shared" si="1682"/>
        <v/>
      </c>
      <c r="AA646" s="829"/>
      <c r="AB646" s="830" t="str">
        <f>IF(G646=0,"",IF(AD646="free","re-planting",IF(AD646="me","not NVP, by",IF($AD$8="yes",(VLOOKUP(A646,'Discount Lookup'!J:K,2)*G646*(1-$AC$1786)*(1+$AC$1788)),IF(AD646="NVP",(VLOOKUP(A646,'Discount Lookup'!J:K,2)*G646*(1-$AC$1786)*(1+$AC$1788)),IF(AD646="free","re-planting",IF(G646=0,"",IF($AD$8="",IF(AD646="me","not NVP, by",IF(AD646="",IF(G646&gt;0,(VLOOKUP(A646,'Discount Lookup'!J:K,2)*G646*(1-$AC$1786)*(1+$AC$1788)),""),"")),"not NVP, by"))))))))</f>
        <v/>
      </c>
      <c r="AC646" s="830"/>
      <c r="AD646" s="375" t="str">
        <f t="shared" si="1635"/>
        <v/>
      </c>
      <c r="AE646" s="833" t="str">
        <f>IF(G646&gt;0,(CONCATENATE((G646)," quantity, ",(A646)," ",B646)),"")</f>
        <v/>
      </c>
      <c r="AF646" s="833"/>
      <c r="AG646" s="833"/>
      <c r="AH646" s="91" t="str">
        <f>IF(AD646="free",0,IF(AD646="me","",IF(G646&gt;0,(VLOOKUP(A646,'Discount Lookup'!J:K,2)*G646),"")))</f>
        <v/>
      </c>
      <c r="AI646" s="92" t="str">
        <f t="shared" si="1695"/>
        <v/>
      </c>
      <c r="AJ646" s="828" t="str">
        <f t="shared" si="1683"/>
        <v/>
      </c>
      <c r="AK646" s="828"/>
      <c r="AL646" s="313" t="str">
        <f t="shared" si="1561"/>
        <v/>
      </c>
      <c r="AM646" s="312"/>
      <c r="AN646" s="101"/>
      <c r="AO646" s="101"/>
      <c r="AP646" s="101"/>
      <c r="AQ646" s="101"/>
      <c r="AR646" s="101"/>
      <c r="AS646" s="101"/>
      <c r="AT646" s="101"/>
    </row>
    <row r="647" spans="1:46" ht="12.95" customHeight="1">
      <c r="A647" s="472"/>
      <c r="B647" s="173" t="s">
        <v>418</v>
      </c>
      <c r="C647" s="118"/>
      <c r="D647" s="118"/>
      <c r="E647" s="119"/>
      <c r="F647" s="711"/>
      <c r="G647" s="358"/>
      <c r="H647" s="745"/>
      <c r="I647" s="119"/>
      <c r="J647" s="119"/>
      <c r="K647" s="609"/>
      <c r="L647" s="609"/>
      <c r="M647" s="121"/>
      <c r="N647" s="121"/>
      <c r="O647" s="123"/>
      <c r="P647" s="124"/>
      <c r="Q647" s="124"/>
      <c r="R647" s="83"/>
      <c r="S647" s="82">
        <f>E647*G647</f>
        <v>0</v>
      </c>
      <c r="T647" s="540"/>
      <c r="U647" s="83"/>
      <c r="V647" s="100" t="b">
        <f>IF(G647&gt;0,IF(AD647="me","",G647))</f>
        <v>0</v>
      </c>
      <c r="W647" s="100"/>
      <c r="X647" s="100"/>
      <c r="Y647" s="201"/>
      <c r="Z647" s="829" t="str">
        <f t="shared" si="1682"/>
        <v/>
      </c>
      <c r="AA647" s="829"/>
      <c r="AB647" s="830" t="str">
        <f>IF(G647=0,"",IF(AD647="free","re-planting",IF(AD647="me","not NVP, by",IF($AD$8="yes",(VLOOKUP(A647,'Discount Lookup'!J:K,2)*G647*(1-$AC$1786)*(1+$AC$1788)),IF(AD647="NVP",(VLOOKUP(A647,'Discount Lookup'!J:K,2)*G647*(1-$AC$1786)*(1+$AC$1788)),IF(AD647="free","re-planting",IF(G647=0,"",IF($AD$8="",IF(AD647="me","not NVP, by",IF(AD647="",IF(G647&gt;0,(VLOOKUP(A647,'Discount Lookup'!J:K,2)*G647*(1-$AC$1786)*(1+$AC$1788)),""),"")),"not NVP, by"))))))))</f>
        <v/>
      </c>
      <c r="AC647" s="830"/>
      <c r="AD647" s="375" t="str">
        <f t="shared" si="1635"/>
        <v/>
      </c>
      <c r="AE647" s="833" t="str">
        <f>IF(G647&gt;0,(CONCATENATE((G647)," quantity, ",(A647)," ",B647)),"")</f>
        <v/>
      </c>
      <c r="AF647" s="833"/>
      <c r="AG647" s="833"/>
      <c r="AH647" s="91" t="str">
        <f>IF(AD647="free",0,IF(AD647="me","",IF(G647&gt;0,(VLOOKUP(A647,'Discount Lookup'!J:K,2)*G647),"")))</f>
        <v/>
      </c>
      <c r="AI647" s="92" t="str">
        <f t="shared" si="1695"/>
        <v/>
      </c>
      <c r="AJ647" s="828" t="str">
        <f t="shared" si="1683"/>
        <v/>
      </c>
      <c r="AK647" s="828"/>
      <c r="AL647" s="313" t="str">
        <f t="shared" si="1561"/>
        <v/>
      </c>
      <c r="AM647" s="312"/>
      <c r="AN647" s="101"/>
      <c r="AO647" s="101"/>
      <c r="AP647" s="101"/>
      <c r="AQ647" s="101"/>
      <c r="AR647" s="101"/>
      <c r="AS647" s="101"/>
      <c r="AT647" s="101"/>
    </row>
    <row r="648" spans="1:46" ht="12.95" customHeight="1">
      <c r="A648" s="889" t="s">
        <v>419</v>
      </c>
      <c r="B648" s="890"/>
      <c r="C648" s="890"/>
      <c r="D648" s="890"/>
      <c r="E648" s="890"/>
      <c r="F648" s="890"/>
      <c r="G648" s="890"/>
      <c r="H648" s="775" t="s">
        <v>417</v>
      </c>
      <c r="I648" s="349" t="s">
        <v>280</v>
      </c>
      <c r="J648" s="157"/>
      <c r="K648" s="611" t="s">
        <v>45</v>
      </c>
      <c r="L648" s="630" t="s">
        <v>46</v>
      </c>
      <c r="M648" s="157"/>
      <c r="N648" s="158" t="s">
        <v>69</v>
      </c>
      <c r="O648" s="158"/>
      <c r="P648" s="164"/>
      <c r="Q648" s="164"/>
      <c r="R648" s="157"/>
      <c r="S648" s="170"/>
      <c r="T648" s="547"/>
      <c r="U648" s="171"/>
      <c r="V648" s="100" t="b">
        <f>IF(G648&gt;0,IF(AD648="me","",G648))</f>
        <v>0</v>
      </c>
      <c r="W648" s="100"/>
      <c r="X648" s="100"/>
      <c r="Y648" s="201"/>
      <c r="Z648" s="829" t="str">
        <f t="shared" si="1682"/>
        <v/>
      </c>
      <c r="AA648" s="829"/>
      <c r="AB648" s="830" t="str">
        <f>IF(G648=0,"",IF(AD648="free","re-planting",IF(AD648="me","not NVP, by",IF($AD$8="yes",(VLOOKUP(A648,'Discount Lookup'!J:K,2)*G648*(1-$AC$1786)*(1+$AC$1788)),IF(AD648="NVP",(VLOOKUP(A648,'Discount Lookup'!J:K,2)*G648*(1-$AC$1786)*(1+$AC$1788)),IF(AD648="free","re-planting",IF(G648=0,"",IF($AD$8="",IF(AD648="me","not NVP, by",IF(AD648="",IF(G648&gt;0,(VLOOKUP(A648,'Discount Lookup'!J:K,2)*G648*(1-$AC$1786)*(1+$AC$1788)),""),"")),"not NVP, by"))))))))</f>
        <v/>
      </c>
      <c r="AC648" s="830"/>
      <c r="AD648" s="375" t="str">
        <f t="shared" si="1635"/>
        <v/>
      </c>
      <c r="AE648" s="833" t="str">
        <f t="shared" si="1605"/>
        <v/>
      </c>
      <c r="AF648" s="833"/>
      <c r="AG648" s="833"/>
      <c r="AH648" s="91">
        <f>IF(AD648="free",0,IF(AD648="me",0,IF(G648&gt;0,(VLOOKUP(A648,'Discount Lookup'!J:K,2)*G648),0)))</f>
        <v>0</v>
      </c>
      <c r="AI648" s="92" t="str">
        <f t="shared" si="1695"/>
        <v/>
      </c>
      <c r="AJ648" s="828" t="str">
        <f t="shared" si="1683"/>
        <v/>
      </c>
      <c r="AK648" s="828"/>
      <c r="AL648" s="313" t="str">
        <f t="shared" si="1561"/>
        <v/>
      </c>
      <c r="AM648" s="312"/>
      <c r="AN648" s="101"/>
      <c r="AO648" s="101"/>
      <c r="AP648" s="101"/>
      <c r="AQ648" s="101"/>
      <c r="AR648" s="101"/>
      <c r="AS648" s="101"/>
      <c r="AT648" s="101"/>
    </row>
    <row r="649" spans="1:46" ht="12.95" customHeight="1">
      <c r="A649" s="383">
        <v>7</v>
      </c>
      <c r="B649" s="158" t="s">
        <v>50</v>
      </c>
      <c r="C649" s="158" t="s">
        <v>1475</v>
      </c>
      <c r="D649" s="161" t="s">
        <v>54</v>
      </c>
      <c r="E649" s="162">
        <v>114.95</v>
      </c>
      <c r="F649" s="713" t="s">
        <v>1306</v>
      </c>
      <c r="G649" s="357">
        <v>0</v>
      </c>
      <c r="H649" s="748" t="str">
        <f t="shared" ref="H649" si="1707">IF(G649=0,"",IF(F649="Qty=",IF(G649=1,"plant","plants"),IF(F649&gt;0.0001,"warranty","Error")))</f>
        <v/>
      </c>
      <c r="I649" s="592">
        <f t="shared" ref="I649" si="1708">IF(F649="Qty=",(E649*G649),((E649*(1-F649))*G649))</f>
        <v>0</v>
      </c>
      <c r="J649" s="592">
        <f>IF(H649="warranty",0,(I649*($J$1782)))</f>
        <v>0</v>
      </c>
      <c r="K649" s="834">
        <f t="shared" ref="K649" si="1709">I649+J649</f>
        <v>0</v>
      </c>
      <c r="L649" s="834"/>
      <c r="M649" s="832" t="str">
        <f>IF($H$1784=0,"",IF(G649=0,"",IF(F649="Qty=",CONCATENATE("$",ROUND(K649*(1-$H$1784),2)," with ",($H$1784*100),"% discount"),CONCATENATE("$",ROUND(K649*(1-$H$1784),2)," with ",(($H$1784*100+F649*100)-($H$1784*100*F649)),IF(F649&gt;0,"% discounts",IF($H$1781&gt;0,"% discounts","% discount"))))))</f>
        <v/>
      </c>
      <c r="N649" s="832"/>
      <c r="O649" s="832"/>
      <c r="P649" s="832"/>
      <c r="Q649" s="832"/>
      <c r="R649" s="832"/>
      <c r="S649" s="303">
        <f t="shared" ref="S649" si="1710">E649*G649</f>
        <v>0</v>
      </c>
      <c r="T649" s="541">
        <f>VLOOKUP(A649,'Discount Lookup'!D:E,2,FALSE)*G649</f>
        <v>0</v>
      </c>
      <c r="U649" s="83">
        <f>VLOOKUP(A649,'Discount Lookup'!G:H,2,FALSE)*G649</f>
        <v>0</v>
      </c>
      <c r="V649" s="100">
        <f>E649*($J$1782)*G649</f>
        <v>0</v>
      </c>
      <c r="W649" s="100">
        <f t="shared" ref="W649" si="1711">I649</f>
        <v>0</v>
      </c>
      <c r="X649" s="100" t="b">
        <f>IF(G649&gt;0,IF(AD649="me","",G649))</f>
        <v>0</v>
      </c>
      <c r="Y649" s="201"/>
      <c r="Z649" s="829" t="str">
        <f t="shared" si="1682"/>
        <v/>
      </c>
      <c r="AA649" s="829"/>
      <c r="AB649" s="830" t="str">
        <f>IF(G649=0,"",IF(AD649="free","re-planting",IF(AD649="me","not NVP, by",IF($AD$8="yes",(VLOOKUP(A649,'Discount Lookup'!J:K,2)*G649*(1-$AC$1786)*(1+$AC$1788)),IF(AD649="NVP",(VLOOKUP(A649,'Discount Lookup'!J:K,2)*G649*(1-$AC$1786)*(1+$AC$1788)),IF(AD649="free","re-planting",IF(G649=0,"",IF($AD$8="",IF(AD649="me","not NVP, by",IF(AD649="",IF(G649&gt;0,(VLOOKUP(A649,'Discount Lookup'!J:K,2)*G649*(1-$AC$1786)*(1+$AC$1788)),""),"")),"not NVP, by"))))))))</f>
        <v/>
      </c>
      <c r="AC649" s="830"/>
      <c r="AD649" s="375" t="str">
        <f t="shared" si="1635"/>
        <v/>
      </c>
      <c r="AE649" s="833" t="str">
        <f t="shared" si="1605"/>
        <v/>
      </c>
      <c r="AF649" s="833"/>
      <c r="AG649" s="833"/>
      <c r="AH649" s="91">
        <f>IF(AD649="free",0,IF(AD649="me",0,IF(G649&gt;0,(VLOOKUP(A649,'Discount Lookup'!J:K,2)*G649),0)))</f>
        <v>0</v>
      </c>
      <c r="AI649" s="92" t="str">
        <f t="shared" si="1695"/>
        <v/>
      </c>
      <c r="AJ649" s="828" t="str">
        <f t="shared" si="1683"/>
        <v/>
      </c>
      <c r="AK649" s="828"/>
      <c r="AL649" s="313" t="str">
        <f t="shared" si="1561"/>
        <v/>
      </c>
      <c r="AM649" s="312"/>
      <c r="AN649" s="101"/>
      <c r="AO649" s="101"/>
      <c r="AP649" s="101"/>
      <c r="AQ649" s="101"/>
      <c r="AR649" s="101"/>
      <c r="AS649" s="101"/>
      <c r="AT649" s="101"/>
    </row>
    <row r="650" spans="1:46" ht="12.95" customHeight="1">
      <c r="A650" s="472"/>
      <c r="B650" s="173" t="s">
        <v>420</v>
      </c>
      <c r="C650" s="118"/>
      <c r="D650" s="118"/>
      <c r="E650" s="119"/>
      <c r="F650" s="711"/>
      <c r="G650" s="358"/>
      <c r="H650" s="745"/>
      <c r="I650" s="119"/>
      <c r="J650" s="119"/>
      <c r="K650" s="609"/>
      <c r="L650" s="609"/>
      <c r="M650" s="121"/>
      <c r="N650" s="121"/>
      <c r="O650" s="123"/>
      <c r="P650" s="124"/>
      <c r="Q650" s="124"/>
      <c r="R650" s="83"/>
      <c r="S650" s="82">
        <f>E650*G650</f>
        <v>0</v>
      </c>
      <c r="T650" s="540"/>
      <c r="U650" s="83"/>
      <c r="V650" s="100" t="b">
        <f>IF(G650&gt;0,IF(AD650="me","",G650))</f>
        <v>0</v>
      </c>
      <c r="W650" s="100"/>
      <c r="X650" s="100"/>
      <c r="Y650" s="201"/>
      <c r="Z650" s="829" t="str">
        <f t="shared" si="1682"/>
        <v/>
      </c>
      <c r="AA650" s="829"/>
      <c r="AB650" s="830" t="str">
        <f>IF(G650=0,"",IF(AD650="free","re-planting",IF(AD650="me","not NVP, by",IF($AD$8="yes",(VLOOKUP(A650,'Discount Lookup'!J:K,2)*G650*(1-$AC$1786)*(1+$AC$1788)),IF(AD650="NVP",(VLOOKUP(A650,'Discount Lookup'!J:K,2)*G650*(1-$AC$1786)*(1+$AC$1788)),IF(AD650="free","re-planting",IF(G650=0,"",IF($AD$8="",IF(AD650="me","not NVP, by",IF(AD650="",IF(G650&gt;0,(VLOOKUP(A650,'Discount Lookup'!J:K,2)*G650*(1-$AC$1786)*(1+$AC$1788)),""),"")),"not NVP, by"))))))))</f>
        <v/>
      </c>
      <c r="AC650" s="830"/>
      <c r="AD650" s="375" t="str">
        <f t="shared" si="1635"/>
        <v/>
      </c>
      <c r="AE650" s="833" t="str">
        <f t="shared" si="1605"/>
        <v/>
      </c>
      <c r="AF650" s="833"/>
      <c r="AG650" s="833"/>
      <c r="AH650" s="91">
        <f>IF(AD650="free",0,IF(AD650="me",0,IF(G650&gt;0,(VLOOKUP(A650,'Discount Lookup'!J:K,2)*G650),0)))</f>
        <v>0</v>
      </c>
      <c r="AI650" s="92" t="str">
        <f t="shared" si="1695"/>
        <v/>
      </c>
      <c r="AJ650" s="828" t="str">
        <f t="shared" si="1683"/>
        <v/>
      </c>
      <c r="AK650" s="828"/>
      <c r="AL650" s="313" t="str">
        <f t="shared" si="1561"/>
        <v/>
      </c>
      <c r="AM650" s="312"/>
      <c r="AN650" s="101"/>
      <c r="AO650" s="101"/>
      <c r="AP650" s="101"/>
      <c r="AQ650" s="101"/>
      <c r="AR650" s="101"/>
      <c r="AS650" s="101"/>
      <c r="AT650" s="101"/>
    </row>
    <row r="651" spans="1:46" ht="12.95" customHeight="1">
      <c r="A651" s="889" t="s">
        <v>421</v>
      </c>
      <c r="B651" s="890"/>
      <c r="C651" s="890"/>
      <c r="D651" s="890"/>
      <c r="E651" s="890"/>
      <c r="F651" s="890"/>
      <c r="G651" s="890"/>
      <c r="H651" s="775" t="s">
        <v>226</v>
      </c>
      <c r="I651" s="349" t="s">
        <v>280</v>
      </c>
      <c r="J651" s="157"/>
      <c r="K651" s="611" t="s">
        <v>45</v>
      </c>
      <c r="L651" s="630" t="s">
        <v>46</v>
      </c>
      <c r="M651" s="157"/>
      <c r="N651" s="158" t="s">
        <v>69</v>
      </c>
      <c r="O651" s="158"/>
      <c r="P651" s="164"/>
      <c r="Q651" s="164"/>
      <c r="R651" s="157"/>
      <c r="S651" s="170"/>
      <c r="T651" s="547"/>
      <c r="U651" s="171"/>
      <c r="V651" s="100" t="b">
        <f>IF(G651&gt;0,IF(AD651="me","",G651))</f>
        <v>0</v>
      </c>
      <c r="W651" s="100"/>
      <c r="X651" s="100"/>
      <c r="Y651" s="201"/>
      <c r="Z651" s="829" t="str">
        <f>IF(G651=0,"",IF(AD651="me","",IF($AD$8="me","",IF(AD651="free","warranty",IF($AD$8="yes","NVP planting:","to NVP install:")))))</f>
        <v/>
      </c>
      <c r="AA651" s="829"/>
      <c r="AB651" s="830" t="str">
        <f>IF(G651=0,"",IF(AD651="free","re-planting",IF(AD651="me","not NVP, by",IF($AD$8="yes",(VLOOKUP(A651,'Discount Lookup'!J:K,2)*G651*(1-$AC$1786)*(1+$AC$1788)),IF(AD651="NVP",(VLOOKUP(A651,'Discount Lookup'!J:K,2)*G651*(1-$AC$1786)*(1+$AC$1788)),IF(AD651="free","re-planting",IF(G651=0,"",IF($AD$8="",IF(AD651="me","not NVP, by",IF(AD651="",IF(G651&gt;0,(VLOOKUP(A651,'Discount Lookup'!J:K,2)*G651*(1-$AC$1786)*(1+$AC$1788)),""),"")),"not NVP, by"))))))))</f>
        <v/>
      </c>
      <c r="AC651" s="830"/>
      <c r="AD651" s="375" t="str">
        <f t="shared" si="1635"/>
        <v/>
      </c>
      <c r="AE651" s="833" t="str">
        <f t="shared" ref="AE651" si="1712">IF(G651&gt;0,(CONCATENATE((G651)," quantity, ",(A651)," ",B651)),"")</f>
        <v/>
      </c>
      <c r="AF651" s="833"/>
      <c r="AG651" s="833"/>
      <c r="AH651" s="91" t="str">
        <f>IF(AD651="free",0,IF(AD651="me","",IF(G651&gt;0,(VLOOKUP(A651,'Discount Lookup'!J:K,2)*G651),"")))</f>
        <v/>
      </c>
      <c r="AI651" s="92" t="str">
        <f t="shared" si="1695"/>
        <v/>
      </c>
      <c r="AJ651" s="828" t="str">
        <f t="shared" ref="AJ651" si="1713">IF(G651=0,"",IF(AD651="me","  delivery-only",CONCATENATE(" $",ROUND(AI651/G651,2)," each")))</f>
        <v/>
      </c>
      <c r="AK651" s="828"/>
      <c r="AL651" s="313" t="str">
        <f t="shared" ref="AL651:AL714" si="1714">IF(AD651="free","      ~ discounts included, no tax or planting fee applies ~",IF(G651=0,"",IF($AD$8="me",CONCATENATE(" $",ROUND(AI651/G651,2)," per plant, with tax &amp; discount"),IF(AD651="me",CONCATENATE(" $",ROUND(AI651/G651,2)," per plant, with tax &amp; discount"),CONCATENATE("= $",ROUND((K651*(1-$H$1784))/G651,2)," per plant + $",AB651/G651,(" per planting      ~ includes tax &amp; discounts ~"))))))</f>
        <v/>
      </c>
      <c r="AM651" s="312"/>
      <c r="AN651" s="101"/>
      <c r="AO651" s="101"/>
      <c r="AP651" s="101"/>
      <c r="AQ651" s="101"/>
      <c r="AR651" s="101"/>
      <c r="AS651" s="101"/>
      <c r="AT651" s="101"/>
    </row>
    <row r="652" spans="1:46" ht="12.95" customHeight="1">
      <c r="A652" s="383">
        <v>15</v>
      </c>
      <c r="B652" s="158" t="s">
        <v>50</v>
      </c>
      <c r="C652" s="168" t="s">
        <v>1498</v>
      </c>
      <c r="D652" s="161" t="s">
        <v>94</v>
      </c>
      <c r="E652" s="162">
        <v>179.95</v>
      </c>
      <c r="F652" s="713" t="s">
        <v>1306</v>
      </c>
      <c r="G652" s="357">
        <v>0</v>
      </c>
      <c r="H652" s="748" t="str">
        <f t="shared" ref="H652" si="1715">IF(G652=0,"",IF(F652="Qty=",IF(G652=1,"plant","plants"),IF(F652&gt;0.0001,"warranty","Error")))</f>
        <v/>
      </c>
      <c r="I652" s="592">
        <f t="shared" ref="I652" si="1716">IF(F652="Qty=",(E652*G652),((E652*(1-F652))*G652))</f>
        <v>0</v>
      </c>
      <c r="J652" s="592">
        <f>IF(H652="warranty",0,(I652*($J$1782)))</f>
        <v>0</v>
      </c>
      <c r="K652" s="834">
        <f t="shared" ref="K652" si="1717">I652+J652</f>
        <v>0</v>
      </c>
      <c r="L652" s="834"/>
      <c r="M652" s="832" t="str">
        <f>IF($H$1784=0,"",IF(G652=0,"",IF(F652="Qty=",CONCATENATE("$",ROUND(K652*(1-$H$1784),2)," with ",($H$1784*100),"% discount"),CONCATENATE("$",ROUND(K652*(1-$H$1784),2)," with ",(($H$1784*100+F652*100)-($H$1784*100*F652)),IF(F652&gt;0,"% discounts",IF($H$1781&gt;0,"% discounts","% discount"))))))</f>
        <v/>
      </c>
      <c r="N652" s="832"/>
      <c r="O652" s="832"/>
      <c r="P652" s="832"/>
      <c r="Q652" s="832"/>
      <c r="R652" s="832"/>
      <c r="S652" s="303">
        <f t="shared" ref="S652" si="1718">E652*G652</f>
        <v>0</v>
      </c>
      <c r="T652" s="541">
        <f>VLOOKUP(A652,'Discount Lookup'!D:E,2,FALSE)*G652</f>
        <v>0</v>
      </c>
      <c r="U652" s="83">
        <f>VLOOKUP(A652,'Discount Lookup'!G:H,2,FALSE)*G652</f>
        <v>0</v>
      </c>
      <c r="V652" s="100">
        <f>E652*($J$1782)*G652</f>
        <v>0</v>
      </c>
      <c r="W652" s="100">
        <f t="shared" ref="W652" si="1719">I652</f>
        <v>0</v>
      </c>
      <c r="X652" s="100" t="b">
        <f>IF(G652&gt;0,IF(AD652="me","",G652))</f>
        <v>0</v>
      </c>
      <c r="Y652" s="201"/>
      <c r="Z652" s="829" t="str">
        <f t="shared" ref="Z652" si="1720">IF(G652=0,"",IF(AD652="me","",IF($AD$8="me","",IF(AD652="free","warranty",IF($AD$8="yes","NVP planting:","to NVP install:")))))</f>
        <v/>
      </c>
      <c r="AA652" s="829"/>
      <c r="AB652" s="830" t="str">
        <f>IF(G652=0,"",IF(AD652="free","re-planting",IF(AD652="me","not NVP, by",IF($AD$8="yes",(VLOOKUP(A652,'Discount Lookup'!J:K,2)*G652*(1-$AC$1786)*(1+$AC$1788)),IF(AD652="NVP",(VLOOKUP(A652,'Discount Lookup'!J:K,2)*G652*(1-$AC$1786)*(1+$AC$1788)),IF(AD652="free","re-planting",IF(G652=0,"",IF($AD$8="",IF(AD652="me","not NVP, by",IF(AD652="",IF(G652&gt;0,(VLOOKUP(A652,'Discount Lookup'!J:K,2)*G652*(1-$AC$1786)*(1+$AC$1788)),""),"")),"not NVP, by"))))))))</f>
        <v/>
      </c>
      <c r="AC652" s="830"/>
      <c r="AD652" s="375" t="str">
        <f t="shared" si="1635"/>
        <v/>
      </c>
      <c r="AE652" s="833" t="str">
        <f t="shared" ref="AE652" si="1721">IF(G652&gt;0,(CONCATENATE((G652)," quantity, ",(A652)," ",B652)),"")</f>
        <v/>
      </c>
      <c r="AF652" s="833"/>
      <c r="AG652" s="833"/>
      <c r="AH652" s="91">
        <f>IF(AD652="free",0,IF(AD652="me",0,IF(G652&gt;0,(VLOOKUP(A652,'Discount Lookup'!J:K,2)*G652),0)))</f>
        <v>0</v>
      </c>
      <c r="AI652" s="92" t="str">
        <f t="shared" si="1695"/>
        <v/>
      </c>
      <c r="AJ652" s="828" t="str">
        <f t="shared" ref="AJ652" si="1722">IF(G652=0,"",IF(AD652="me","  delivery-only",IF($AD$8="me","  delivery-only",CONCATENATE(" $",ROUND(AI652/G652,2)," each"))))</f>
        <v/>
      </c>
      <c r="AK652" s="828"/>
      <c r="AL652" s="313" t="str">
        <f t="shared" si="1714"/>
        <v/>
      </c>
      <c r="AM652" s="312"/>
      <c r="AN652" s="101"/>
      <c r="AO652" s="101"/>
      <c r="AP652" s="101"/>
      <c r="AQ652" s="101"/>
      <c r="AR652" s="101"/>
      <c r="AS652" s="101"/>
      <c r="AT652" s="101"/>
    </row>
    <row r="653" spans="1:46" ht="12.95" customHeight="1">
      <c r="A653" s="472"/>
      <c r="B653" s="173" t="s">
        <v>422</v>
      </c>
      <c r="C653" s="118"/>
      <c r="D653" s="118"/>
      <c r="E653" s="119"/>
      <c r="F653" s="711"/>
      <c r="G653" s="358"/>
      <c r="H653" s="745"/>
      <c r="I653" s="119"/>
      <c r="J653" s="840"/>
      <c r="K653" s="840"/>
      <c r="L653" s="840"/>
      <c r="M653" s="48"/>
      <c r="N653" s="48"/>
      <c r="O653" s="123"/>
      <c r="P653" s="124"/>
      <c r="Q653" s="48"/>
      <c r="R653" s="48"/>
      <c r="S653" s="48"/>
      <c r="T653" s="48"/>
      <c r="Y653" s="132"/>
      <c r="Z653" s="829" t="str">
        <f>IF(G653=0,"",IF(AD653="me","",IF($AD$8="me","",IF(AD653="free","warranty",IF($AD$8="yes","NVP planting:","to NVP install:")))))</f>
        <v/>
      </c>
      <c r="AA653" s="829"/>
      <c r="AB653" s="830" t="str">
        <f>IF(G653=0,"",IF(AD653="free","re-planting",IF(AD653="me","not NVP, by",IF($AD$8="yes",(VLOOKUP(A653,'Discount Lookup'!J:K,2)*G653*(1-$AC$1786)*(1+$AC$1788)),IF(AD653="NVP",(VLOOKUP(A653,'Discount Lookup'!J:K,2)*G653*(1-$AC$1786)*(1+$AC$1788)),IF(AD653="free","re-planting",IF(G653=0,"",IF($AD$8="",IF(AD653="me","not NVP, by",IF(AD653="",IF(G653&gt;0,(VLOOKUP(A653,'Discount Lookup'!J:K,2)*G653*(1-$AC$1786)*(1+$AC$1788)),""),"")),"not NVP, by"))))))))</f>
        <v/>
      </c>
      <c r="AC653" s="830"/>
      <c r="AD653" s="375" t="str">
        <f t="shared" si="1635"/>
        <v/>
      </c>
      <c r="AE653" s="833" t="str">
        <f>IF(G653&gt;0,(CONCATENATE((G653)," quantity, ",(A653)," ",B653)),"")</f>
        <v/>
      </c>
      <c r="AF653" s="833"/>
      <c r="AG653" s="833"/>
      <c r="AH653" s="91" t="str">
        <f>IF(AD653="free",0,IF(AD653="me","",IF(G653&gt;0,(VLOOKUP(A653,'Discount Lookup'!J:K,2)*G653),"")))</f>
        <v/>
      </c>
      <c r="AI653" s="92" t="str">
        <f t="shared" si="1695"/>
        <v/>
      </c>
      <c r="AJ653" s="828" t="str">
        <f>IF(G653=0,"",IF(AD653="me","  delivery-only",CONCATENATE(" $",ROUND(AI653/G653,2)," each")))</f>
        <v/>
      </c>
      <c r="AK653" s="828"/>
      <c r="AL653" s="313" t="str">
        <f t="shared" si="1714"/>
        <v/>
      </c>
      <c r="AM653" s="312"/>
      <c r="AN653" s="101"/>
      <c r="AO653" s="101"/>
      <c r="AP653" s="101"/>
      <c r="AQ653" s="101"/>
      <c r="AR653" s="101"/>
      <c r="AS653" s="101"/>
      <c r="AT653" s="101"/>
    </row>
    <row r="654" spans="1:46" ht="12.95" customHeight="1">
      <c r="A654" s="836" t="s">
        <v>1581</v>
      </c>
      <c r="B654" s="837"/>
      <c r="C654" s="837"/>
      <c r="D654" s="837"/>
      <c r="E654" s="837"/>
      <c r="F654" s="837"/>
      <c r="G654" s="837"/>
      <c r="H654" s="775" t="s">
        <v>1012</v>
      </c>
      <c r="I654" s="349" t="s">
        <v>280</v>
      </c>
      <c r="J654" s="157"/>
      <c r="K654" s="611" t="s">
        <v>45</v>
      </c>
      <c r="L654" s="630" t="s">
        <v>46</v>
      </c>
      <c r="M654" s="157"/>
      <c r="N654" s="158" t="s">
        <v>1613</v>
      </c>
      <c r="O654" s="165"/>
      <c r="P654" s="165"/>
      <c r="Q654" s="804" t="s">
        <v>1626</v>
      </c>
      <c r="R654" s="835" t="s">
        <v>49</v>
      </c>
      <c r="S654" s="835"/>
      <c r="T654" s="835"/>
      <c r="U654" s="835"/>
      <c r="V654" s="100" t="b">
        <f>IF(G654&gt;0,IF(AD654="me","",G654))</f>
        <v>0</v>
      </c>
      <c r="W654" s="100"/>
      <c r="X654" s="100"/>
      <c r="Y654" s="201"/>
      <c r="Z654" s="829" t="str">
        <f>IF(G654=0,"",IF(AD654="me","",IF($AD$8="me","",IF(AD654="free","warranty",IF($AD$8="yes","NVP planting:","to NVP install:")))))</f>
        <v/>
      </c>
      <c r="AA654" s="829"/>
      <c r="AB654" s="830" t="str">
        <f>IF(G654=0,"",IF(AD654="free","re-planting",IF(AD654="me","not NVP, by",IF($AD$8="yes",(VLOOKUP(A654,'Discount Lookup'!J:K,2)*G654*(1-$AC$1786)*(1+$AC$1788)),IF(AD654="NVP",(VLOOKUP(A654,'Discount Lookup'!J:K,2)*G654*(1-$AC$1786)*(1+$AC$1788)),IF(AD654="free","re-planting",IF(G654=0,"",IF($AD$8="",IF(AD654="me","not NVP, by",IF(AD654="",IF(G654&gt;0,(VLOOKUP(A654,'Discount Lookup'!J:K,2)*G654*(1-$AC$1786)*(1+$AC$1788)),""),"")),"not NVP, by"))))))))</f>
        <v/>
      </c>
      <c r="AC654" s="830"/>
      <c r="AD654" s="375" t="str">
        <f t="shared" si="1635"/>
        <v/>
      </c>
      <c r="AE654" s="833" t="str">
        <f>IF(G654&gt;0,(CONCATENATE((G654)," quantity, ",(A654)," ",B654)),"")</f>
        <v/>
      </c>
      <c r="AF654" s="833"/>
      <c r="AG654" s="833"/>
      <c r="AH654" s="91">
        <f>IF(AD654="free",0,IF(AD654="me",0,IF(G654&gt;0,(VLOOKUP(A654,'Discount Lookup'!J:K,2)*G654),0)))</f>
        <v>0</v>
      </c>
      <c r="AI654" s="92" t="str">
        <f t="shared" si="1695"/>
        <v/>
      </c>
      <c r="AJ654" s="828" t="str">
        <f>IF(G654=0,"",IF(AD654="me","  delivery-only",IF($AD$8="me","  delivery-only",CONCATENATE(" $",ROUND(AI654/G654,2)," each"))))</f>
        <v/>
      </c>
      <c r="AK654" s="828"/>
      <c r="AL654" s="313" t="str">
        <f t="shared" si="1714"/>
        <v/>
      </c>
      <c r="AM654" s="312"/>
      <c r="AN654" s="101"/>
      <c r="AO654" s="101"/>
      <c r="AP654" s="101"/>
      <c r="AQ654" s="101"/>
      <c r="AR654" s="101"/>
      <c r="AS654" s="101"/>
      <c r="AT654" s="101"/>
    </row>
    <row r="655" spans="1:46" ht="12.95" customHeight="1">
      <c r="A655" s="383">
        <v>15</v>
      </c>
      <c r="B655" s="158" t="s">
        <v>50</v>
      </c>
      <c r="C655" s="160" t="s">
        <v>1497</v>
      </c>
      <c r="D655" s="161" t="s">
        <v>54</v>
      </c>
      <c r="E655" s="162">
        <v>219.95</v>
      </c>
      <c r="F655" s="713" t="s">
        <v>1306</v>
      </c>
      <c r="G655" s="357">
        <v>0</v>
      </c>
      <c r="H655" s="748" t="str">
        <f>IF(G655=0,"",IF(F655="Qty=",IF(G655=1,"plant","plants"),IF(F655&gt;0.0001,"warranty","Error")))</f>
        <v/>
      </c>
      <c r="I655" s="592">
        <f>IF(F655="Qty=",(E655*G655),((E655*(1-F655))*G655))</f>
        <v>0</v>
      </c>
      <c r="J655" s="592">
        <f>IF(H655="warranty",0,(I655*($J$1782)))</f>
        <v>0</v>
      </c>
      <c r="K655" s="834">
        <f t="shared" ref="K655" si="1723">I655+J655</f>
        <v>0</v>
      </c>
      <c r="L655" s="834"/>
      <c r="M655" s="832" t="str">
        <f>IF($H$1784=0,"",IF(G655=0,"",IF(F655="Qty=",CONCATENATE("$",ROUND(K655*(1-$H$1784),2)," with ",($H$1784*100),"% discount"),CONCATENATE("$",ROUND(K655*(1-$H$1784),2)," with ",(($H$1784*100+F655*100)-($H$1784*100*F655)),IF(F655&gt;0,"% discounts",IF($H$1781&gt;0,"% discounts","% discount"))))))</f>
        <v/>
      </c>
      <c r="N655" s="832"/>
      <c r="O655" s="832"/>
      <c r="P655" s="832"/>
      <c r="Q655" s="832"/>
      <c r="R655" s="832"/>
      <c r="S655" s="303">
        <f>E655*G655</f>
        <v>0</v>
      </c>
      <c r="T655" s="541">
        <f>VLOOKUP(A655,'Discount Lookup'!D:E,2,FALSE)*G655</f>
        <v>0</v>
      </c>
      <c r="U655" s="83">
        <f>VLOOKUP(A655,'Discount Lookup'!G:H,2,FALSE)*G655</f>
        <v>0</v>
      </c>
      <c r="V655" s="100">
        <f>E655*($J$1782)*G655</f>
        <v>0</v>
      </c>
      <c r="W655" s="100">
        <f>I655</f>
        <v>0</v>
      </c>
      <c r="X655" s="100" t="b">
        <f>IF(G655&gt;0,IF(AD655="me","",G655))</f>
        <v>0</v>
      </c>
      <c r="Y655" s="201"/>
      <c r="Z655" s="829" t="str">
        <f>IF(G655=0,"",IF(AD655="me","",IF($AD$8="me","",IF(AD655="free","warranty",IF($AD$8="yes","NVP planting:","to NVP install:")))))</f>
        <v/>
      </c>
      <c r="AA655" s="829"/>
      <c r="AB655" s="830" t="str">
        <f>IF(G655=0,"",IF(AD655="free","re-planting",IF(AD655="me","not NVP, by",IF($AD$8="yes",(VLOOKUP(A655,'Discount Lookup'!J:K,2)*G655*(1-$AC$1786)*(1+$AC$1788)),IF(AD655="NVP",(VLOOKUP(A655,'Discount Lookup'!J:K,2)*G655*(1-$AC$1786)*(1+$AC$1788)),IF(AD655="free","re-planting",IF(G655=0,"",IF($AD$8="",IF(AD655="me","not NVP, by",IF(AD655="",IF(G655&gt;0,(VLOOKUP(A655,'Discount Lookup'!J:K,2)*G655*(1-$AC$1786)*(1+$AC$1788)),""),"")),"not NVP, by"))))))))</f>
        <v/>
      </c>
      <c r="AC655" s="830"/>
      <c r="AD655" s="375" t="str">
        <f t="shared" si="1635"/>
        <v/>
      </c>
      <c r="AE655" s="833" t="str">
        <f>IF(G655&gt;0,(CONCATENATE((G655)," quantity, ",(A655)," ",B655)),"")</f>
        <v/>
      </c>
      <c r="AF655" s="833"/>
      <c r="AG655" s="833"/>
      <c r="AH655" s="91">
        <f>IF(AD655="free",0,IF(AD655="me",0,IF(G655&gt;0,(VLOOKUP(A655,'Discount Lookup'!J:K,2)*G655),0)))</f>
        <v>0</v>
      </c>
      <c r="AI655" s="92" t="str">
        <f t="shared" si="1695"/>
        <v/>
      </c>
      <c r="AJ655" s="828" t="str">
        <f>IF(G655=0,"",IF(AD655="me","  delivery-only",IF($AD$8="me","  delivery-only",CONCATENATE(" $",ROUND(AI655/G655,2)," each"))))</f>
        <v/>
      </c>
      <c r="AK655" s="828"/>
      <c r="AL655" s="313" t="str">
        <f t="shared" si="1714"/>
        <v/>
      </c>
      <c r="AM655" s="312"/>
      <c r="AN655" s="101"/>
      <c r="AO655" s="101"/>
      <c r="AP655" s="101"/>
      <c r="AQ655" s="101"/>
      <c r="AR655" s="101"/>
      <c r="AS655" s="101"/>
      <c r="AT655" s="101"/>
    </row>
    <row r="656" spans="1:46" ht="12.95" customHeight="1">
      <c r="A656" s="472"/>
      <c r="B656" s="173" t="s">
        <v>1496</v>
      </c>
      <c r="C656" s="118"/>
      <c r="D656" s="118"/>
      <c r="E656" s="119"/>
      <c r="F656" s="711"/>
      <c r="G656" s="358"/>
      <c r="H656" s="745"/>
      <c r="I656" s="119"/>
      <c r="J656" s="119"/>
      <c r="K656" s="609"/>
      <c r="L656" s="609"/>
      <c r="M656" s="121"/>
      <c r="N656" s="121"/>
      <c r="O656" s="123"/>
      <c r="P656" s="124"/>
      <c r="Q656" s="124"/>
      <c r="R656" s="83"/>
      <c r="S656" s="82">
        <f>E656*G656</f>
        <v>0</v>
      </c>
      <c r="T656" s="540"/>
      <c r="U656" s="83"/>
      <c r="V656" s="100" t="b">
        <f>IF(G656&gt;0,IF(AD656="me","",G656))</f>
        <v>0</v>
      </c>
      <c r="W656" s="100"/>
      <c r="X656" s="100"/>
      <c r="Y656" s="201"/>
      <c r="Z656" s="829" t="str">
        <f>IF(G656=0,"",IF(AD656="me","",IF($AD$8="me","",IF(AD656="free","warranty",IF($AD$8="yes","NVP planting:","to NVP install:")))))</f>
        <v/>
      </c>
      <c r="AA656" s="829"/>
      <c r="AB656" s="830" t="str">
        <f>IF(G656=0,"",IF(AD656="free","re-planting",IF(AD656="me","not NVP, by",IF($AD$8="yes",(VLOOKUP(A656,'Discount Lookup'!J:K,2)*G656*(1-$AC$1786)*(1+$AC$1788)),IF(AD656="NVP",(VLOOKUP(A656,'Discount Lookup'!J:K,2)*G656*(1-$AC$1786)*(1+$AC$1788)),IF(AD656="free","re-planting",IF(G656=0,"",IF($AD$8="",IF(AD656="me","not NVP, by",IF(AD656="",IF(G656&gt;0,(VLOOKUP(A656,'Discount Lookup'!J:K,2)*G656*(1-$AC$1786)*(1+$AC$1788)),""),"")),"not NVP, by"))))))))</f>
        <v/>
      </c>
      <c r="AC656" s="830"/>
      <c r="AD656" s="375" t="str">
        <f t="shared" si="1635"/>
        <v/>
      </c>
      <c r="AE656" s="833" t="str">
        <f>IF(G656&gt;0,(CONCATENATE((G656)," quantity, ",(A656)," ",B656)),"")</f>
        <v/>
      </c>
      <c r="AF656" s="833"/>
      <c r="AG656" s="833"/>
      <c r="AH656" s="91">
        <f>IF(AD656="free",0,IF(AD656="me",0,IF(G656&gt;0,(VLOOKUP(A656,'Discount Lookup'!J:K,2)*G656),0)))</f>
        <v>0</v>
      </c>
      <c r="AI656" s="92" t="str">
        <f t="shared" si="1695"/>
        <v/>
      </c>
      <c r="AJ656" s="828" t="str">
        <f>IF(G656=0,"",IF(AD656="me","  delivery-only",IF($AD$8="me","  delivery-only",CONCATENATE(" $",ROUND(AI656/G656,2)," each"))))</f>
        <v/>
      </c>
      <c r="AK656" s="828"/>
      <c r="AL656" s="313" t="str">
        <f t="shared" si="1714"/>
        <v/>
      </c>
      <c r="AM656" s="312"/>
      <c r="AN656" s="101"/>
      <c r="AO656" s="101"/>
      <c r="AP656" s="101"/>
      <c r="AQ656" s="101"/>
      <c r="AR656" s="101"/>
      <c r="AS656" s="101"/>
      <c r="AT656" s="101"/>
    </row>
    <row r="657" spans="1:46" ht="12.95" customHeight="1">
      <c r="A657" s="889" t="s">
        <v>423</v>
      </c>
      <c r="B657" s="890"/>
      <c r="C657" s="890"/>
      <c r="D657" s="890"/>
      <c r="E657" s="890"/>
      <c r="F657" s="890"/>
      <c r="G657" s="890"/>
      <c r="H657" s="775" t="s">
        <v>424</v>
      </c>
      <c r="I657" s="349" t="s">
        <v>280</v>
      </c>
      <c r="J657" s="157"/>
      <c r="K657" s="611" t="s">
        <v>45</v>
      </c>
      <c r="L657" s="630" t="s">
        <v>46</v>
      </c>
      <c r="M657" s="157"/>
      <c r="N657" s="158" t="s">
        <v>69</v>
      </c>
      <c r="O657" s="158"/>
      <c r="P657" s="164"/>
      <c r="Q657" s="164"/>
      <c r="R657" s="157"/>
      <c r="S657" s="170"/>
      <c r="T657" s="547"/>
      <c r="U657" s="171"/>
      <c r="V657" s="100" t="b">
        <f>IF(G657&gt;0,IF(AD657="me","",G657))</f>
        <v>0</v>
      </c>
      <c r="W657" s="100"/>
      <c r="X657" s="100"/>
      <c r="Y657" s="201"/>
      <c r="Z657" s="829" t="str">
        <f t="shared" si="1682"/>
        <v/>
      </c>
      <c r="AA657" s="829"/>
      <c r="AB657" s="830" t="str">
        <f>IF(G657=0,"",IF(AD657="free","re-planting",IF(AD657="me","not NVP, by",IF($AD$8="yes",(VLOOKUP(A657,'Discount Lookup'!J:K,2)*G657*(1-$AC$1786)*(1+$AC$1788)),IF(AD657="NVP",(VLOOKUP(A657,'Discount Lookup'!J:K,2)*G657*(1-$AC$1786)*(1+$AC$1788)),IF(AD657="free","re-planting",IF(G657=0,"",IF($AD$8="",IF(AD657="me","not NVP, by",IF(AD657="",IF(G657&gt;0,(VLOOKUP(A657,'Discount Lookup'!J:K,2)*G657*(1-$AC$1786)*(1+$AC$1788)),""),"")),"not NVP, by"))))))))</f>
        <v/>
      </c>
      <c r="AC657" s="830"/>
      <c r="AD657" s="375" t="str">
        <f t="shared" ref="AD657:AD715" si="1724">IF(G657=0,"",IF($AD$8="me","me",IF(H657="warranty","free",IF($AD$8="yes","NVP",""))))</f>
        <v/>
      </c>
      <c r="AE657" s="833" t="str">
        <f t="shared" si="1605"/>
        <v/>
      </c>
      <c r="AF657" s="833"/>
      <c r="AG657" s="833"/>
      <c r="AH657" s="91">
        <f>IF(AD657="free",0,IF(AD657="me",0,IF(G657&gt;0,(VLOOKUP(A657,'Discount Lookup'!J:K,2)*G657),0)))</f>
        <v>0</v>
      </c>
      <c r="AI657" s="92" t="str">
        <f t="shared" si="1695"/>
        <v/>
      </c>
      <c r="AJ657" s="828" t="str">
        <f t="shared" si="1683"/>
        <v/>
      </c>
      <c r="AK657" s="828"/>
      <c r="AL657" s="313" t="str">
        <f t="shared" si="1714"/>
        <v/>
      </c>
      <c r="AM657" s="312"/>
      <c r="AN657" s="101"/>
      <c r="AO657" s="101"/>
      <c r="AP657" s="101"/>
      <c r="AQ657" s="101"/>
      <c r="AR657" s="101"/>
      <c r="AS657" s="101"/>
      <c r="AT657" s="101"/>
    </row>
    <row r="658" spans="1:46" ht="12.95" customHeight="1">
      <c r="A658" s="383">
        <v>15</v>
      </c>
      <c r="B658" s="158" t="s">
        <v>50</v>
      </c>
      <c r="C658" s="160" t="s">
        <v>1273</v>
      </c>
      <c r="D658" s="161" t="s">
        <v>54</v>
      </c>
      <c r="E658" s="162">
        <v>160.94999999999999</v>
      </c>
      <c r="F658" s="713" t="s">
        <v>1306</v>
      </c>
      <c r="G658" s="357">
        <v>0</v>
      </c>
      <c r="H658" s="748" t="str">
        <f t="shared" ref="H658:H659" si="1725">IF(G658=0,"",IF(F658="Qty=",IF(G658=1,"plant","plants"),IF(F658&gt;0.0001,"warranty","Error")))</f>
        <v/>
      </c>
      <c r="I658" s="592">
        <f t="shared" ref="I658:I659" si="1726">IF(F658="Qty=",(E658*G658),((E658*(1-F658))*G658))</f>
        <v>0</v>
      </c>
      <c r="J658" s="592">
        <f>IF(H658="warranty",0,(I658*($J$1782)))</f>
        <v>0</v>
      </c>
      <c r="K658" s="834">
        <f t="shared" ref="K658:K659" si="1727">I658+J658</f>
        <v>0</v>
      </c>
      <c r="L658" s="834"/>
      <c r="M658" s="832" t="str">
        <f>IF($H$1784=0,"",IF(G658=0,"",IF(F658="Qty=",CONCATENATE("$",ROUND(K658*(1-$H$1784),2)," with ",($H$1784*100),"% discount"),CONCATENATE("$",ROUND(K658*(1-$H$1784),2)," with ",(($H$1784*100+F658*100)-($H$1784*100*F658)),IF(F658&gt;0,"% discounts",IF($H$1781&gt;0,"% discounts","% discount"))))))</f>
        <v/>
      </c>
      <c r="N658" s="832"/>
      <c r="O658" s="832"/>
      <c r="P658" s="832"/>
      <c r="Q658" s="832"/>
      <c r="R658" s="832"/>
      <c r="S658" s="303">
        <f t="shared" ref="S658" si="1728">E658*G658</f>
        <v>0</v>
      </c>
      <c r="T658" s="541">
        <f>VLOOKUP(A658,'Discount Lookup'!D:E,2,FALSE)*G658</f>
        <v>0</v>
      </c>
      <c r="U658" s="83">
        <f>VLOOKUP(A658,'Discount Lookup'!G:H,2,FALSE)*G658</f>
        <v>0</v>
      </c>
      <c r="V658" s="100">
        <f>E658*($J$1782)*G658</f>
        <v>0</v>
      </c>
      <c r="W658" s="100">
        <f t="shared" ref="W658" si="1729">I658</f>
        <v>0</v>
      </c>
      <c r="X658" s="100" t="b">
        <f>IF(G658&gt;0,IF(AD658="me","",G658))</f>
        <v>0</v>
      </c>
      <c r="Y658" s="201"/>
      <c r="Z658" s="829" t="str">
        <f t="shared" si="1682"/>
        <v/>
      </c>
      <c r="AA658" s="829"/>
      <c r="AB658" s="830" t="str">
        <f>IF(G658=0,"",IF(AD658="free","re-planting",IF(AD658="me","not NVP, by",IF($AD$8="yes",(VLOOKUP(A658,'Discount Lookup'!J:K,2)*G658*(1-$AC$1786)*(1+$AC$1788)),IF(AD658="NVP",(VLOOKUP(A658,'Discount Lookup'!J:K,2)*G658*(1-$AC$1786)*(1+$AC$1788)),IF(AD658="free","re-planting",IF(G658=0,"",IF($AD$8="",IF(AD658="me","not NVP, by",IF(AD658="",IF(G658&gt;0,(VLOOKUP(A658,'Discount Lookup'!J:K,2)*G658*(1-$AC$1786)*(1+$AC$1788)),""),"")),"not NVP, by"))))))))</f>
        <v/>
      </c>
      <c r="AC658" s="830"/>
      <c r="AD658" s="375" t="str">
        <f t="shared" si="1724"/>
        <v/>
      </c>
      <c r="AE658" s="833" t="str">
        <f t="shared" ref="AE658" si="1730">IF(G658&gt;0,(CONCATENATE((G658)," quantity, ",(A658)," ",B658)),"")</f>
        <v/>
      </c>
      <c r="AF658" s="833"/>
      <c r="AG658" s="833"/>
      <c r="AH658" s="91">
        <f>IF(AD658="free",0,IF(AD658="me",0,IF(G658&gt;0,(VLOOKUP(A658,'Discount Lookup'!J:K,2)*G658),0)))</f>
        <v>0</v>
      </c>
      <c r="AI658" s="92" t="str">
        <f t="shared" si="1695"/>
        <v/>
      </c>
      <c r="AJ658" s="828" t="str">
        <f t="shared" si="1683"/>
        <v/>
      </c>
      <c r="AK658" s="828"/>
      <c r="AL658" s="313" t="str">
        <f t="shared" si="1714"/>
        <v/>
      </c>
      <c r="AM658" s="312"/>
      <c r="AN658" s="101"/>
      <c r="AO658" s="101"/>
      <c r="AP658" s="101"/>
      <c r="AQ658" s="101"/>
      <c r="AR658" s="101"/>
      <c r="AS658" s="101"/>
      <c r="AT658" s="101"/>
    </row>
    <row r="659" spans="1:46" ht="12.95" customHeight="1">
      <c r="A659" s="383">
        <v>25</v>
      </c>
      <c r="B659" s="158" t="s">
        <v>50</v>
      </c>
      <c r="C659" s="160" t="s">
        <v>1351</v>
      </c>
      <c r="D659" s="161" t="s">
        <v>54</v>
      </c>
      <c r="E659" s="162">
        <v>299.95</v>
      </c>
      <c r="F659" s="713" t="s">
        <v>1306</v>
      </c>
      <c r="G659" s="357">
        <v>0</v>
      </c>
      <c r="H659" s="748" t="str">
        <f t="shared" si="1725"/>
        <v/>
      </c>
      <c r="I659" s="592">
        <f t="shared" si="1726"/>
        <v>0</v>
      </c>
      <c r="J659" s="592">
        <f>IF(H659="warranty",0,(I659*($J$1782)))</f>
        <v>0</v>
      </c>
      <c r="K659" s="834">
        <f t="shared" si="1727"/>
        <v>0</v>
      </c>
      <c r="L659" s="834"/>
      <c r="M659" s="832" t="str">
        <f>IF($H$1784=0,"",IF(G659=0,"",IF(F659="Qty=",CONCATENATE("$",ROUND(K659*(1-$H$1784),2)," with ",($H$1784*100),"% discount"),CONCATENATE("$",ROUND(K659*(1-$H$1784),2)," with ",(($H$1784*100+F659*100)-($H$1784*100*F659)),IF(F659&gt;0,"% discounts",IF($H$1781&gt;0,"% discounts","% discount"))))))</f>
        <v/>
      </c>
      <c r="N659" s="832"/>
      <c r="O659" s="832"/>
      <c r="P659" s="832"/>
      <c r="Q659" s="832"/>
      <c r="R659" s="832"/>
      <c r="S659" s="303">
        <f t="shared" ref="S659" si="1731">E659*G659</f>
        <v>0</v>
      </c>
      <c r="T659" s="541">
        <f>VLOOKUP(A659,'Discount Lookup'!D:E,2,FALSE)*G659</f>
        <v>0</v>
      </c>
      <c r="U659" s="83">
        <f>VLOOKUP(A659,'Discount Lookup'!G:H,2,FALSE)*G659</f>
        <v>0</v>
      </c>
      <c r="V659" s="100">
        <f>E659*($J$1782)*G659</f>
        <v>0</v>
      </c>
      <c r="W659" s="100">
        <f t="shared" ref="W659" si="1732">I659</f>
        <v>0</v>
      </c>
      <c r="X659" s="100" t="b">
        <f>IF(G659&gt;0,IF(AD659="me","",G659))</f>
        <v>0</v>
      </c>
      <c r="Y659" s="201"/>
      <c r="Z659" s="829" t="str">
        <f t="shared" si="1682"/>
        <v/>
      </c>
      <c r="AA659" s="829"/>
      <c r="AB659" s="830" t="str">
        <f>IF(G659=0,"",IF(AD659="free","re-planting",IF(AD659="me","not NVP, by",IF($AD$8="yes",(VLOOKUP(A659,'Discount Lookup'!J:K,2)*G659*(1-$AC$1786)*(1+$AC$1788)),IF(AD659="NVP",(VLOOKUP(A659,'Discount Lookup'!J:K,2)*G659*(1-$AC$1786)*(1+$AC$1788)),IF(AD659="free","re-planting",IF(G659=0,"",IF($AD$8="",IF(AD659="me","not NVP, by",IF(AD659="",IF(G659&gt;0,(VLOOKUP(A659,'Discount Lookup'!J:K,2)*G659*(1-$AC$1786)*(1+$AC$1788)),""),"")),"not NVP, by"))))))))</f>
        <v/>
      </c>
      <c r="AC659" s="830"/>
      <c r="AD659" s="375" t="str">
        <f t="shared" si="1724"/>
        <v/>
      </c>
      <c r="AE659" s="833" t="str">
        <f t="shared" si="1605"/>
        <v/>
      </c>
      <c r="AF659" s="833"/>
      <c r="AG659" s="833"/>
      <c r="AH659" s="91">
        <f>IF(AD659="free",0,IF(AD659="me",0,IF(G659&gt;0,(VLOOKUP(A659,'Discount Lookup'!J:K,2)*G659),0)))</f>
        <v>0</v>
      </c>
      <c r="AI659" s="92" t="str">
        <f t="shared" si="1695"/>
        <v/>
      </c>
      <c r="AJ659" s="828" t="str">
        <f t="shared" si="1683"/>
        <v/>
      </c>
      <c r="AK659" s="828"/>
      <c r="AL659" s="313" t="str">
        <f t="shared" si="1714"/>
        <v/>
      </c>
      <c r="AM659" s="312"/>
      <c r="AN659" s="101"/>
      <c r="AO659" s="101"/>
      <c r="AP659" s="101"/>
      <c r="AQ659" s="101"/>
      <c r="AR659" s="101"/>
      <c r="AS659" s="101"/>
      <c r="AT659" s="101"/>
    </row>
    <row r="660" spans="1:46" ht="12.95" customHeight="1">
      <c r="A660" s="481"/>
      <c r="B660" s="173" t="s">
        <v>425</v>
      </c>
      <c r="G660" s="361"/>
      <c r="H660" s="746"/>
      <c r="M660" s="48"/>
      <c r="N660" s="48"/>
      <c r="O660" s="48"/>
      <c r="P660" s="48"/>
      <c r="Q660" s="48"/>
      <c r="R660" s="48"/>
      <c r="S660" s="82">
        <f>E660*G660</f>
        <v>0</v>
      </c>
      <c r="T660" s="540"/>
      <c r="U660" s="83"/>
      <c r="V660" s="100" t="b">
        <f>IF(G660&gt;0,IF(AD660="me","",G660))</f>
        <v>0</v>
      </c>
      <c r="W660" s="100"/>
      <c r="X660" s="100"/>
      <c r="Y660" s="201"/>
      <c r="Z660" s="829" t="str">
        <f t="shared" si="1682"/>
        <v/>
      </c>
      <c r="AA660" s="829"/>
      <c r="AB660" s="830" t="str">
        <f>IF(G660=0,"",IF(AD660="free","re-planting",IF(AD660="me","not NVP, by",IF($AD$8="yes",(VLOOKUP(A660,'Discount Lookup'!J:K,2)*G660*(1-$AC$1786)*(1+$AC$1788)),IF(AD660="NVP",(VLOOKUP(A660,'Discount Lookup'!J:K,2)*G660*(1-$AC$1786)*(1+$AC$1788)),IF(AD660="free","re-planting",IF(G660=0,"",IF($AD$8="",IF(AD660="me","not NVP, by",IF(AD660="",IF(G660&gt;0,(VLOOKUP(A660,'Discount Lookup'!J:K,2)*G660*(1-$AC$1786)*(1+$AC$1788)),""),"")),"not NVP, by"))))))))</f>
        <v/>
      </c>
      <c r="AC660" s="830"/>
      <c r="AD660" s="375" t="str">
        <f t="shared" si="1724"/>
        <v/>
      </c>
      <c r="AE660" s="833" t="str">
        <f t="shared" si="1605"/>
        <v/>
      </c>
      <c r="AF660" s="833"/>
      <c r="AG660" s="833"/>
      <c r="AH660" s="91">
        <f>IF(AD660="free",0,IF(AD660="me",0,IF(G660&gt;0,(VLOOKUP(A660,'Discount Lookup'!J:K,2)*G660),0)))</f>
        <v>0</v>
      </c>
      <c r="AI660" s="92" t="str">
        <f t="shared" si="1695"/>
        <v/>
      </c>
      <c r="AJ660" s="828" t="str">
        <f t="shared" si="1683"/>
        <v/>
      </c>
      <c r="AK660" s="828"/>
      <c r="AL660" s="313" t="str">
        <f t="shared" si="1714"/>
        <v/>
      </c>
      <c r="AM660" s="312"/>
      <c r="AN660" s="101"/>
      <c r="AO660" s="101"/>
      <c r="AP660" s="101"/>
      <c r="AQ660" s="101"/>
      <c r="AR660" s="101"/>
      <c r="AS660" s="101"/>
      <c r="AT660" s="101"/>
    </row>
    <row r="661" spans="1:46" ht="12.95" customHeight="1">
      <c r="A661" s="889" t="s">
        <v>426</v>
      </c>
      <c r="B661" s="890"/>
      <c r="C661" s="890"/>
      <c r="D661" s="890"/>
      <c r="E661" s="890"/>
      <c r="F661" s="890"/>
      <c r="G661" s="890"/>
      <c r="H661" s="775" t="s">
        <v>424</v>
      </c>
      <c r="I661" s="164" t="s">
        <v>127</v>
      </c>
      <c r="J661" s="157"/>
      <c r="K661" s="611" t="s">
        <v>45</v>
      </c>
      <c r="L661" s="630" t="s">
        <v>46</v>
      </c>
      <c r="M661" s="157"/>
      <c r="N661" s="352" t="s">
        <v>75</v>
      </c>
      <c r="O661" s="158"/>
      <c r="P661" s="158"/>
      <c r="Q661" s="158"/>
      <c r="R661" s="157"/>
      <c r="S661" s="170"/>
      <c r="T661" s="547"/>
      <c r="U661" s="171"/>
      <c r="V661" s="100" t="b">
        <f>IF(G661&gt;0,IF(AD661="me","",G661))</f>
        <v>0</v>
      </c>
      <c r="W661" s="100"/>
      <c r="X661" s="100"/>
      <c r="Y661" s="201"/>
      <c r="Z661" s="829" t="str">
        <f t="shared" si="1682"/>
        <v/>
      </c>
      <c r="AA661" s="829"/>
      <c r="AB661" s="830" t="str">
        <f>IF(G661=0,"",IF(AD661="free","re-planting",IF(AD661="me","not NVP, by",IF($AD$8="yes",(VLOOKUP(A661,'Discount Lookup'!J:K,2)*G661*(1-$AC$1786)*(1+$AC$1788)),IF(AD661="NVP",(VLOOKUP(A661,'Discount Lookup'!J:K,2)*G661*(1-$AC$1786)*(1+$AC$1788)),IF(AD661="free","re-planting",IF(G661=0,"",IF($AD$8="",IF(AD661="me","not NVP, by",IF(AD661="",IF(G661&gt;0,(VLOOKUP(A661,'Discount Lookup'!J:K,2)*G661*(1-$AC$1786)*(1+$AC$1788)),""),"")),"not NVP, by"))))))))</f>
        <v/>
      </c>
      <c r="AC661" s="830"/>
      <c r="AD661" s="375" t="str">
        <f t="shared" si="1724"/>
        <v/>
      </c>
      <c r="AE661" s="833" t="str">
        <f t="shared" si="1605"/>
        <v/>
      </c>
      <c r="AF661" s="833"/>
      <c r="AG661" s="833"/>
      <c r="AH661" s="91">
        <f>IF(AD661="free",0,IF(AD661="me",0,IF(G661&gt;0,(VLOOKUP(A661,'Discount Lookup'!J:K,2)*G661),0)))</f>
        <v>0</v>
      </c>
      <c r="AI661" s="92" t="str">
        <f t="shared" si="1695"/>
        <v/>
      </c>
      <c r="AJ661" s="828" t="str">
        <f t="shared" si="1683"/>
        <v/>
      </c>
      <c r="AK661" s="828"/>
      <c r="AL661" s="313" t="str">
        <f t="shared" si="1714"/>
        <v/>
      </c>
      <c r="AM661" s="312"/>
      <c r="AN661" s="101"/>
      <c r="AO661" s="101"/>
      <c r="AP661" s="101"/>
      <c r="AQ661" s="101"/>
      <c r="AR661" s="101"/>
      <c r="AS661" s="101"/>
      <c r="AT661" s="101"/>
    </row>
    <row r="662" spans="1:46" ht="12.95" customHeight="1">
      <c r="A662" s="383">
        <v>3</v>
      </c>
      <c r="B662" s="158" t="s">
        <v>50</v>
      </c>
      <c r="C662" s="160" t="s">
        <v>427</v>
      </c>
      <c r="D662" s="161" t="s">
        <v>63</v>
      </c>
      <c r="E662" s="162">
        <v>32.950000000000003</v>
      </c>
      <c r="F662" s="713" t="s">
        <v>1306</v>
      </c>
      <c r="G662" s="357">
        <v>0</v>
      </c>
      <c r="H662" s="748" t="str">
        <f t="shared" ref="H662" si="1733">IF(G662=0,"",IF(F662="Qty=",IF(G662=1,"plant","plants"),IF(F662&gt;0.0001,"warranty","Error")))</f>
        <v/>
      </c>
      <c r="I662" s="592">
        <f t="shared" ref="I662" si="1734">IF(F662="Qty=",(E662*G662),((E662*(1-F662))*G662))</f>
        <v>0</v>
      </c>
      <c r="J662" s="592">
        <f>IF(H662="warranty",0,(I662*($J$1782)))</f>
        <v>0</v>
      </c>
      <c r="K662" s="834">
        <f t="shared" ref="K662" si="1735">I662+J662</f>
        <v>0</v>
      </c>
      <c r="L662" s="834"/>
      <c r="M662" s="832" t="str">
        <f>IF($H$1784=0,"",IF(G662=0,"",IF(F662="Qty=",CONCATENATE("$",ROUND(K662*(1-$H$1784),2)," with ",($H$1784*100),"% discount"),CONCATENATE("$",ROUND(K662*(1-$H$1784),2)," with ",(($H$1784*100+F662*100)-($H$1784*100*F662)),IF(F662&gt;0,"% discounts",IF($H$1781&gt;0,"% discounts","% discount"))))))</f>
        <v/>
      </c>
      <c r="N662" s="832"/>
      <c r="O662" s="832"/>
      <c r="P662" s="832"/>
      <c r="Q662" s="832"/>
      <c r="R662" s="832"/>
      <c r="S662" s="303">
        <f t="shared" ref="S662" si="1736">E662*G662</f>
        <v>0</v>
      </c>
      <c r="T662" s="541">
        <f>VLOOKUP(A662,'Discount Lookup'!D:E,2,FALSE)*G662</f>
        <v>0</v>
      </c>
      <c r="U662" s="83">
        <f>VLOOKUP(A662,'Discount Lookup'!G:H,2,FALSE)*G662</f>
        <v>0</v>
      </c>
      <c r="V662" s="100">
        <f>E662*($J$1782)*G662</f>
        <v>0</v>
      </c>
      <c r="W662" s="100">
        <f t="shared" ref="W662" si="1737">I662</f>
        <v>0</v>
      </c>
      <c r="X662" s="100" t="b">
        <f>IF(G662&gt;0,IF(AD662="me","",G662))</f>
        <v>0</v>
      </c>
      <c r="Y662" s="201"/>
      <c r="Z662" s="829" t="str">
        <f t="shared" ref="Z662" si="1738">IF(G662=0,"",IF(AD662="me","",IF($AD$8="me","",IF(AD662="free","warranty",IF($AD$8="yes","NVP planting:","to NVP install:")))))</f>
        <v/>
      </c>
      <c r="AA662" s="829"/>
      <c r="AB662" s="830" t="str">
        <f>IF(G662=0,"",IF(AD662="free","re-planting",IF(AD662="me","not NVP, by",IF($AD$8="yes",(VLOOKUP(A662,'Discount Lookup'!J:K,2)*G662*(1-$AC$1786)*(1+$AC$1788)),IF(AD662="NVP",(VLOOKUP(A662,'Discount Lookup'!J:K,2)*G662*(1-$AC$1786)*(1+$AC$1788)),IF(AD662="free","re-planting",IF(G662=0,"",IF($AD$8="",IF(AD662="me","not NVP, by",IF(AD662="",IF(G662&gt;0,(VLOOKUP(A662,'Discount Lookup'!J:K,2)*G662*(1-$AC$1786)*(1+$AC$1788)),""),"")),"not NVP, by"))))))))</f>
        <v/>
      </c>
      <c r="AC662" s="830"/>
      <c r="AD662" s="375" t="str">
        <f t="shared" ref="AD662" si="1739">IF(G662=0,"",IF($AD$8="me","me",IF(H662="warranty","free",IF($AD$8="yes","NVP",""))))</f>
        <v/>
      </c>
      <c r="AE662" s="833" t="str">
        <f t="shared" ref="AE662" si="1740">IF(G662&gt;0,(CONCATENATE((G662)," quantity, ",(A662)," ",B662)),"")</f>
        <v/>
      </c>
      <c r="AF662" s="833"/>
      <c r="AG662" s="833"/>
      <c r="AH662" s="91">
        <f>IF(AD662="free",0,IF(AD662="me",0,IF(G662&gt;0,(VLOOKUP(A662,'Discount Lookup'!J:K,2)*G662),0)))</f>
        <v>0</v>
      </c>
      <c r="AI662" s="92" t="str">
        <f t="shared" si="1695"/>
        <v/>
      </c>
      <c r="AJ662" s="828" t="str">
        <f t="shared" ref="AJ662" si="1741">IF(G662=0,"",IF(AD662="me","  delivery-only",IF($AD$8="me","  delivery-only",CONCATENATE(" $",ROUND(AI662/G662,2)," each"))))</f>
        <v/>
      </c>
      <c r="AK662" s="828"/>
      <c r="AL662" s="313" t="str">
        <f t="shared" si="1714"/>
        <v/>
      </c>
      <c r="AM662" s="312"/>
      <c r="AN662" s="101"/>
      <c r="AO662" s="101"/>
      <c r="AP662" s="101"/>
      <c r="AQ662" s="101"/>
      <c r="AR662" s="101"/>
      <c r="AS662" s="101"/>
      <c r="AT662" s="101"/>
    </row>
    <row r="663" spans="1:46" ht="12.95" customHeight="1">
      <c r="A663" s="383">
        <v>3</v>
      </c>
      <c r="B663" s="158" t="s">
        <v>50</v>
      </c>
      <c r="C663" s="160" t="s">
        <v>1230</v>
      </c>
      <c r="D663" s="161" t="s">
        <v>94</v>
      </c>
      <c r="E663" s="162">
        <v>25.95</v>
      </c>
      <c r="F663" s="713" t="s">
        <v>1306</v>
      </c>
      <c r="G663" s="357">
        <v>0</v>
      </c>
      <c r="H663" s="748" t="str">
        <f t="shared" ref="H663" si="1742">IF(G663=0,"",IF(F663="Qty=",IF(G663=1,"plant","plants"),IF(F663&gt;0.0001,"warranty","Error")))</f>
        <v/>
      </c>
      <c r="I663" s="592">
        <f t="shared" ref="I663" si="1743">IF(F663="Qty=",(E663*G663),((E663*(1-F663))*G663))</f>
        <v>0</v>
      </c>
      <c r="J663" s="592">
        <f>IF(H663="warranty",0,(I663*($J$1782)))</f>
        <v>0</v>
      </c>
      <c r="K663" s="834">
        <f t="shared" ref="K663" si="1744">I663+J663</f>
        <v>0</v>
      </c>
      <c r="L663" s="834"/>
      <c r="M663" s="832" t="str">
        <f>IF($H$1784=0,"",IF(G663=0,"",IF(F663="Qty=",CONCATENATE("$",ROUND(K663*(1-$H$1784),2)," with ",($H$1784*100),"% discount"),CONCATENATE("$",ROUND(K663*(1-$H$1784),2)," with ",(($H$1784*100+F663*100)-($H$1784*100*F663)),IF(F663&gt;0,"% discounts",IF($H$1781&gt;0,"% discounts","% discount"))))))</f>
        <v/>
      </c>
      <c r="N663" s="832"/>
      <c r="O663" s="832"/>
      <c r="P663" s="832"/>
      <c r="Q663" s="832"/>
      <c r="R663" s="832"/>
      <c r="S663" s="303">
        <f t="shared" ref="S663" si="1745">E663*G663</f>
        <v>0</v>
      </c>
      <c r="T663" s="541">
        <f>VLOOKUP(A663,'Discount Lookup'!D:E,2,FALSE)*G663</f>
        <v>0</v>
      </c>
      <c r="U663" s="83">
        <f>VLOOKUP(A663,'Discount Lookup'!G:H,2,FALSE)*G663</f>
        <v>0</v>
      </c>
      <c r="V663" s="100">
        <f>E663*($J$1782)*G663</f>
        <v>0</v>
      </c>
      <c r="W663" s="100">
        <f t="shared" ref="W663" si="1746">I663</f>
        <v>0</v>
      </c>
      <c r="X663" s="100" t="b">
        <f>IF(G663&gt;0,IF(AD663="me","",G663))</f>
        <v>0</v>
      </c>
      <c r="Y663" s="201"/>
      <c r="Z663" s="829" t="str">
        <f t="shared" si="1682"/>
        <v/>
      </c>
      <c r="AA663" s="829"/>
      <c r="AB663" s="830" t="str">
        <f>IF(G663=0,"",IF(AD663="free","re-planting",IF(AD663="me","not NVP, by",IF($AD$8="yes",(VLOOKUP(A663,'Discount Lookup'!J:K,2)*G663*(1-$AC$1786)*(1+$AC$1788)),IF(AD663="NVP",(VLOOKUP(A663,'Discount Lookup'!J:K,2)*G663*(1-$AC$1786)*(1+$AC$1788)),IF(AD663="free","re-planting",IF(G663=0,"",IF($AD$8="",IF(AD663="me","not NVP, by",IF(AD663="",IF(G663&gt;0,(VLOOKUP(A663,'Discount Lookup'!J:K,2)*G663*(1-$AC$1786)*(1+$AC$1788)),""),"")),"not NVP, by"))))))))</f>
        <v/>
      </c>
      <c r="AC663" s="830"/>
      <c r="AD663" s="375" t="str">
        <f t="shared" si="1724"/>
        <v/>
      </c>
      <c r="AE663" s="833" t="str">
        <f t="shared" si="1605"/>
        <v/>
      </c>
      <c r="AF663" s="833"/>
      <c r="AG663" s="833"/>
      <c r="AH663" s="91">
        <f>IF(AD663="free",0,IF(AD663="me",0,IF(G663&gt;0,(VLOOKUP(A663,'Discount Lookup'!J:K,2)*G663),0)))</f>
        <v>0</v>
      </c>
      <c r="AI663" s="92" t="str">
        <f t="shared" si="1695"/>
        <v/>
      </c>
      <c r="AJ663" s="828" t="str">
        <f t="shared" si="1683"/>
        <v/>
      </c>
      <c r="AK663" s="828"/>
      <c r="AL663" s="313" t="str">
        <f t="shared" si="1714"/>
        <v/>
      </c>
      <c r="AM663" s="312"/>
      <c r="AN663" s="101"/>
      <c r="AO663" s="101"/>
      <c r="AP663" s="101"/>
      <c r="AQ663" s="101"/>
      <c r="AR663" s="101"/>
      <c r="AS663" s="101"/>
      <c r="AT663" s="101"/>
    </row>
    <row r="664" spans="1:46" ht="12.95" customHeight="1">
      <c r="A664" s="473"/>
      <c r="B664" s="173" t="s">
        <v>428</v>
      </c>
      <c r="C664" s="117"/>
      <c r="D664" s="118"/>
      <c r="E664" s="119"/>
      <c r="F664" s="711"/>
      <c r="G664" s="356"/>
      <c r="H664" s="745"/>
      <c r="I664" s="119"/>
      <c r="J664" s="119"/>
      <c r="K664" s="609"/>
      <c r="L664" s="609"/>
      <c r="M664" s="121"/>
      <c r="N664" s="122" t="s">
        <v>336</v>
      </c>
      <c r="O664" s="123"/>
      <c r="P664" s="124"/>
      <c r="Q664" s="124"/>
      <c r="R664" s="83"/>
      <c r="S664" s="82"/>
      <c r="T664" s="540"/>
      <c r="U664" s="83"/>
      <c r="V664" s="100" t="b">
        <f>IF(G664&gt;0,IF(AD664="me","",G664))</f>
        <v>0</v>
      </c>
      <c r="W664" s="100"/>
      <c r="X664" s="100"/>
      <c r="Y664" s="201"/>
      <c r="Z664" s="829" t="str">
        <f t="shared" si="1682"/>
        <v/>
      </c>
      <c r="AA664" s="829"/>
      <c r="AB664" s="830" t="str">
        <f>IF(G664=0,"",IF(AD664="free","re-planting",IF(AD664="me","not NVP, by",IF($AD$8="yes",(VLOOKUP(A664,'Discount Lookup'!J:K,2)*G664*(1-$AC$1786)*(1+$AC$1788)),IF(AD664="NVP",(VLOOKUP(A664,'Discount Lookup'!J:K,2)*G664*(1-$AC$1786)*(1+$AC$1788)),IF(AD664="free","re-planting",IF(G664=0,"",IF($AD$8="",IF(AD664="me","not NVP, by",IF(AD664="",IF(G664&gt;0,(VLOOKUP(A664,'Discount Lookup'!J:K,2)*G664*(1-$AC$1786)*(1+$AC$1788)),""),"")),"not NVP, by"))))))))</f>
        <v/>
      </c>
      <c r="AC664" s="830"/>
      <c r="AD664" s="375" t="str">
        <f t="shared" si="1724"/>
        <v/>
      </c>
      <c r="AE664" s="833" t="str">
        <f t="shared" si="1605"/>
        <v/>
      </c>
      <c r="AF664" s="833"/>
      <c r="AG664" s="833"/>
      <c r="AH664" s="91">
        <f>IF(AD664="free",0,IF(AD664="me",0,IF(G664&gt;0,(VLOOKUP(A664,'Discount Lookup'!J:K,2)*G664),0)))</f>
        <v>0</v>
      </c>
      <c r="AI664" s="92" t="str">
        <f t="shared" si="1695"/>
        <v/>
      </c>
      <c r="AJ664" s="828" t="str">
        <f t="shared" si="1683"/>
        <v/>
      </c>
      <c r="AK664" s="828"/>
      <c r="AL664" s="313" t="str">
        <f t="shared" si="1714"/>
        <v/>
      </c>
      <c r="AM664" s="312"/>
      <c r="AN664" s="101"/>
      <c r="AO664" s="101"/>
      <c r="AP664" s="101"/>
      <c r="AQ664" s="101"/>
      <c r="AR664" s="101"/>
      <c r="AS664" s="101"/>
      <c r="AT664" s="101"/>
    </row>
    <row r="665" spans="1:46" ht="12.95" customHeight="1">
      <c r="A665" s="836" t="s">
        <v>429</v>
      </c>
      <c r="B665" s="837"/>
      <c r="C665" s="837"/>
      <c r="D665" s="837"/>
      <c r="E665" s="837"/>
      <c r="F665" s="837"/>
      <c r="G665" s="837"/>
      <c r="H665" s="775" t="s">
        <v>242</v>
      </c>
      <c r="I665" s="164" t="s">
        <v>79</v>
      </c>
      <c r="J665" s="157"/>
      <c r="K665" s="611" t="s">
        <v>45</v>
      </c>
      <c r="L665" s="630" t="s">
        <v>46</v>
      </c>
      <c r="M665" s="157"/>
      <c r="N665" s="352" t="s">
        <v>75</v>
      </c>
      <c r="O665" s="158"/>
      <c r="P665" s="164"/>
      <c r="Q665" s="164"/>
      <c r="R665" s="157"/>
      <c r="S665" s="170"/>
      <c r="T665" s="547"/>
      <c r="U665" s="171"/>
      <c r="V665" s="100" t="b">
        <f>IF(G665&gt;0,IF(AD665="me","",G665))</f>
        <v>0</v>
      </c>
      <c r="W665" s="100"/>
      <c r="X665" s="100"/>
      <c r="Y665" s="201"/>
      <c r="Z665" s="838" t="str">
        <f>IF(G665=0,"",IF(AD665="me","",IF($AD$8="me","",IF(AD665="free","warranty",IF($AD$8="yes","NVP planting:","to NVP install:")))))</f>
        <v/>
      </c>
      <c r="AA665" s="838"/>
      <c r="AB665" s="830" t="str">
        <f>IF(G665=0,"",IF(AD665="free","re-planting",IF(AD665="me","not NVP, by",IF($AD$8="yes",(VLOOKUP(A665,'Discount Lookup'!J:K,2)*G665*(1-$AC$1786)*(1+$AC$1788)),IF(AD665="NVP",(VLOOKUP(A665,'Discount Lookup'!J:K,2)*G665*(1-$AC$1786)*(1+$AC$1788)),IF(AD665="free","re-planting",IF(G665=0,"",IF($AD$8="",IF(AD665="me","not NVP, by",IF(AD665="",IF(G665&gt;0,(VLOOKUP(A665,'Discount Lookup'!J:K,2)*G665*(1-$AC$1786)*(1+$AC$1788)),""),"")),"not NVP, by"))))))))</f>
        <v/>
      </c>
      <c r="AC665" s="830"/>
      <c r="AD665" s="375" t="str">
        <f t="shared" si="1724"/>
        <v/>
      </c>
      <c r="AE665" s="833" t="str">
        <f t="shared" ref="AE665:AE668" si="1747">IF(G665&gt;0,(CONCATENATE((G665)," quantity, ",(A665)," ",B665)),"")</f>
        <v/>
      </c>
      <c r="AF665" s="833"/>
      <c r="AG665" s="833"/>
      <c r="AH665" s="91">
        <f>IF(AD665="free",0,IF(AD665="me",0,IF(G665&gt;0,(VLOOKUP(A665,'Discount Lookup'!J:K,2)*G665),0)))</f>
        <v>0</v>
      </c>
      <c r="AI665" s="92" t="str">
        <f t="shared" si="1695"/>
        <v/>
      </c>
      <c r="AJ665" s="828" t="str">
        <f t="shared" ref="AJ665:AJ668" si="1748">IF(G665=0,"",IF(AD665="me","  delivery-only",CONCATENATE(" $",ROUND(AI665/G665,2)," each")))</f>
        <v/>
      </c>
      <c r="AK665" s="828"/>
      <c r="AL665" s="313" t="str">
        <f t="shared" si="1714"/>
        <v/>
      </c>
      <c r="AM665" s="312"/>
      <c r="AN665" s="101"/>
      <c r="AO665" s="101"/>
      <c r="AP665" s="101"/>
      <c r="AQ665" s="101"/>
      <c r="AR665" s="101"/>
      <c r="AS665" s="101"/>
      <c r="AT665" s="101"/>
    </row>
    <row r="666" spans="1:46" ht="12.95" customHeight="1">
      <c r="A666" s="383">
        <v>7</v>
      </c>
      <c r="B666" s="158" t="s">
        <v>50</v>
      </c>
      <c r="C666" s="160" t="s">
        <v>199</v>
      </c>
      <c r="D666" s="161" t="s">
        <v>54</v>
      </c>
      <c r="E666" s="162">
        <v>137.94999999999999</v>
      </c>
      <c r="F666" s="713" t="s">
        <v>1306</v>
      </c>
      <c r="G666" s="357">
        <v>0</v>
      </c>
      <c r="H666" s="748" t="str">
        <f t="shared" ref="H666" si="1749">IF(G666=0,"",IF(F666="Qty=",IF(G666=1,"plant","plants"),IF(F666&gt;0.0001,"warranty","Error")))</f>
        <v/>
      </c>
      <c r="I666" s="592">
        <f t="shared" ref="I666" si="1750">IF(F666="Qty=",(E666*G666),((E666*(1-F666))*G666))</f>
        <v>0</v>
      </c>
      <c r="J666" s="592">
        <f>IF(H666="warranty",0,(I666*($J$1782)))</f>
        <v>0</v>
      </c>
      <c r="K666" s="834">
        <f t="shared" ref="K666" si="1751">I666+J666</f>
        <v>0</v>
      </c>
      <c r="L666" s="834"/>
      <c r="M666" s="832" t="str">
        <f>IF($H$1784=0,"",IF(G666=0,"",IF(F666="Qty=",CONCATENATE("$",ROUND(K666*(1-$H$1784),2)," with ",($H$1784*100),"% discount"),CONCATENATE("$",ROUND(K666*(1-$H$1784),2)," with ",(($H$1784*100+F666*100)-($H$1784*100*F666)),IF(F666&gt;0,"% discounts",IF($H$1781&gt;0,"% discounts","% discount"))))))</f>
        <v/>
      </c>
      <c r="N666" s="832"/>
      <c r="O666" s="832"/>
      <c r="P666" s="832"/>
      <c r="Q666" s="832"/>
      <c r="R666" s="832"/>
      <c r="S666" s="303">
        <f t="shared" ref="S666" si="1752">E666*G666</f>
        <v>0</v>
      </c>
      <c r="T666" s="541">
        <f>VLOOKUP(A666,'Discount Lookup'!D:E,2,FALSE)*G666</f>
        <v>0</v>
      </c>
      <c r="U666" s="83">
        <f>VLOOKUP(A666,'Discount Lookup'!G:H,2,FALSE)*G666</f>
        <v>0</v>
      </c>
      <c r="V666" s="100">
        <f>E666*($J$1782)*G666</f>
        <v>0</v>
      </c>
      <c r="W666" s="100">
        <f t="shared" ref="W666" si="1753">I666</f>
        <v>0</v>
      </c>
      <c r="X666" s="100" t="b">
        <f>IF(G666&gt;0,IF(AD666="me","",G666))</f>
        <v>0</v>
      </c>
      <c r="Y666" s="201"/>
      <c r="Z666" s="838" t="str">
        <f>IF(G666=0,"",IF(AD666="me","",IF($AD$8="me","",IF(AD666="free","warranty",IF($AD$8="yes","NVP planting:","to NVP install:")))))</f>
        <v/>
      </c>
      <c r="AA666" s="838"/>
      <c r="AB666" s="830" t="str">
        <f>IF(G666=0,"",IF(AD666="free","re-planting",IF(AD666="me","not NVP, by",IF($AD$8="yes",(VLOOKUP(A666,'Discount Lookup'!J:K,2)*G666*(1-$AC$1786)*(1+$AC$1788)),IF(AD666="NVP",(VLOOKUP(A666,'Discount Lookup'!J:K,2)*G666*(1-$AC$1786)*(1+$AC$1788)),IF(AD666="free","re-planting",IF(G666=0,"",IF($AD$8="",IF(AD666="me","not NVP, by",IF(AD666="",IF(G666&gt;0,(VLOOKUP(A666,'Discount Lookup'!J:K,2)*G666*(1-$AC$1786)*(1+$AC$1788)),""),"")),"not NVP, by"))))))))</f>
        <v/>
      </c>
      <c r="AC666" s="830"/>
      <c r="AD666" s="375" t="str">
        <f t="shared" ref="AD666" si="1754">IF(G666=0,"",IF($AD$8="me","me",IF(H666="warranty","free",IF($AD$8="yes","NVP",""))))</f>
        <v/>
      </c>
      <c r="AE666" s="833" t="str">
        <f t="shared" ref="AE666" si="1755">IF(G666&gt;0,(CONCATENATE((G666)," quantity, ",(A666)," ",B666)),"")</f>
        <v/>
      </c>
      <c r="AF666" s="833"/>
      <c r="AG666" s="833"/>
      <c r="AH666" s="91">
        <f>IF(AD666="free",0,IF(AD666="me",0,IF(G666&gt;0,(VLOOKUP(A666,'Discount Lookup'!J:K,2)*G666),0)))</f>
        <v>0</v>
      </c>
      <c r="AI666" s="92" t="str">
        <f t="shared" si="1695"/>
        <v/>
      </c>
      <c r="AJ666" s="828" t="str">
        <f t="shared" ref="AJ666" si="1756">IF(G666=0,"",IF(AD666="me","  delivery-only",CONCATENATE(" $",ROUND(AI666/G666,2)," each")))</f>
        <v/>
      </c>
      <c r="AK666" s="828"/>
      <c r="AL666" s="313" t="str">
        <f t="shared" si="1714"/>
        <v/>
      </c>
      <c r="AM666" s="312"/>
      <c r="AN666" s="101"/>
      <c r="AO666" s="101"/>
      <c r="AP666" s="101"/>
      <c r="AQ666" s="101"/>
      <c r="AR666" s="101"/>
      <c r="AS666" s="101"/>
      <c r="AT666" s="101"/>
    </row>
    <row r="667" spans="1:46" ht="12.95" customHeight="1">
      <c r="A667" s="383">
        <v>15</v>
      </c>
      <c r="B667" s="158" t="s">
        <v>50</v>
      </c>
      <c r="C667" s="160" t="s">
        <v>1637</v>
      </c>
      <c r="D667" s="161" t="s">
        <v>54</v>
      </c>
      <c r="E667" s="162">
        <v>263.95</v>
      </c>
      <c r="F667" s="713" t="s">
        <v>1306</v>
      </c>
      <c r="G667" s="357">
        <v>0</v>
      </c>
      <c r="H667" s="748" t="str">
        <f t="shared" ref="H667" si="1757">IF(G667=0,"",IF(F667="Qty=",IF(G667=1,"plant","plants"),IF(F667&gt;0.0001,"warranty","Error")))</f>
        <v/>
      </c>
      <c r="I667" s="592">
        <f t="shared" ref="I667" si="1758">IF(F667="Qty=",(E667*G667),((E667*(1-F667))*G667))</f>
        <v>0</v>
      </c>
      <c r="J667" s="592">
        <f>IF(H667="warranty",0,(I667*($J$1782)))</f>
        <v>0</v>
      </c>
      <c r="K667" s="834">
        <f t="shared" ref="K667" si="1759">I667+J667</f>
        <v>0</v>
      </c>
      <c r="L667" s="834"/>
      <c r="M667" s="832" t="str">
        <f>IF($H$1784=0,"",IF(G667=0,"",IF(F667="Qty=",CONCATENATE("$",ROUND(K667*(1-$H$1784),2)," with ",($H$1784*100),"% discount"),CONCATENATE("$",ROUND(K667*(1-$H$1784),2)," with ",(($H$1784*100+F667*100)-($H$1784*100*F667)),IF(F667&gt;0,"% discounts",IF($H$1781&gt;0,"% discounts","% discount"))))))</f>
        <v/>
      </c>
      <c r="N667" s="832"/>
      <c r="O667" s="832"/>
      <c r="P667" s="832"/>
      <c r="Q667" s="832"/>
      <c r="R667" s="832"/>
      <c r="S667" s="303">
        <f t="shared" ref="S667" si="1760">E667*G667</f>
        <v>0</v>
      </c>
      <c r="T667" s="541">
        <f>VLOOKUP(A667,'Discount Lookup'!D:E,2,FALSE)*G667</f>
        <v>0</v>
      </c>
      <c r="U667" s="83">
        <f>VLOOKUP(A667,'Discount Lookup'!G:H,2,FALSE)*G667</f>
        <v>0</v>
      </c>
      <c r="V667" s="100">
        <f>E667*($J$1782)*G667</f>
        <v>0</v>
      </c>
      <c r="W667" s="100">
        <f t="shared" ref="W667" si="1761">I667</f>
        <v>0</v>
      </c>
      <c r="X667" s="100" t="b">
        <f>IF(G667&gt;0,IF(AD667="me","",G667))</f>
        <v>0</v>
      </c>
      <c r="Y667" s="201"/>
      <c r="Z667" s="838" t="str">
        <f>IF(G667=0,"",IF(AD667="me","",IF($AD$8="me","",IF(AD667="free","warranty",IF($AD$8="yes","NVP planting:","to NVP install:")))))</f>
        <v/>
      </c>
      <c r="AA667" s="838"/>
      <c r="AB667" s="830" t="str">
        <f>IF(G667=0,"",IF(AD667="free","re-planting",IF(AD667="me","not NVP, by",IF($AD$8="yes",(VLOOKUP(A667,'Discount Lookup'!J:K,2)*G667*(1-$AC$1786)*(1+$AC$1788)),IF(AD667="NVP",(VLOOKUP(A667,'Discount Lookup'!J:K,2)*G667*(1-$AC$1786)*(1+$AC$1788)),IF(AD667="free","re-planting",IF(G667=0,"",IF($AD$8="",IF(AD667="me","not NVP, by",IF(AD667="",IF(G667&gt;0,(VLOOKUP(A667,'Discount Lookup'!J:K,2)*G667*(1-$AC$1786)*(1+$AC$1788)),""),"")),"not NVP, by"))))))))</f>
        <v/>
      </c>
      <c r="AC667" s="830"/>
      <c r="AD667" s="375" t="str">
        <f t="shared" si="1724"/>
        <v/>
      </c>
      <c r="AE667" s="833" t="str">
        <f t="shared" si="1747"/>
        <v/>
      </c>
      <c r="AF667" s="833"/>
      <c r="AG667" s="833"/>
      <c r="AH667" s="91">
        <f>IF(AD667="free",0,IF(AD667="me",0,IF(G667&gt;0,(VLOOKUP(A667,'Discount Lookup'!J:K,2)*G667),0)))</f>
        <v>0</v>
      </c>
      <c r="AI667" s="92" t="str">
        <f t="shared" si="1695"/>
        <v/>
      </c>
      <c r="AJ667" s="828" t="str">
        <f t="shared" si="1748"/>
        <v/>
      </c>
      <c r="AK667" s="828"/>
      <c r="AL667" s="313" t="str">
        <f t="shared" si="1714"/>
        <v/>
      </c>
      <c r="AM667" s="312"/>
      <c r="AN667" s="101"/>
      <c r="AO667" s="101"/>
      <c r="AP667" s="101"/>
      <c r="AQ667" s="101"/>
      <c r="AR667" s="101"/>
      <c r="AS667" s="101"/>
      <c r="AT667" s="101"/>
    </row>
    <row r="668" spans="1:46" ht="12.95" customHeight="1">
      <c r="A668" s="481"/>
      <c r="B668" s="173" t="s">
        <v>430</v>
      </c>
      <c r="G668" s="361"/>
      <c r="H668" s="746"/>
      <c r="J668" s="840"/>
      <c r="K668" s="840"/>
      <c r="L668" s="840"/>
      <c r="M668" s="48"/>
      <c r="N668" s="48"/>
      <c r="O668" s="48"/>
      <c r="P668" s="111"/>
      <c r="Q668" s="111"/>
      <c r="R668" s="48"/>
      <c r="S668" s="82"/>
      <c r="T668" s="540"/>
      <c r="U668" s="83"/>
      <c r="V668" s="100"/>
      <c r="W668" s="100"/>
      <c r="X668" s="100"/>
      <c r="Y668" s="201"/>
      <c r="Z668" s="838" t="str">
        <f>IF(G668=0,"",IF(AD668="me","",IF($AD$8="me","",IF(AD668="free","warranty",IF($AD$8="yes","NVP planting:","to NVP install:")))))</f>
        <v/>
      </c>
      <c r="AA668" s="838"/>
      <c r="AB668" s="830" t="str">
        <f>IF(G668=0,"",IF(AD668="free","re-planting",IF(AD668="me","not NVP, by",IF($AD$8="yes",(VLOOKUP(A668,'Discount Lookup'!J:K,2)*G668*(1-$AC$1786)*(1+$AC$1788)),IF(AD668="NVP",(VLOOKUP(A668,'Discount Lookup'!J:K,2)*G668*(1-$AC$1786)*(1+$AC$1788)),IF(AD668="free","re-planting",IF(G668=0,"",IF($AD$8="",IF(AD668="me","not NVP, by",IF(AD668="",IF(G668&gt;0,(VLOOKUP(A668,'Discount Lookup'!J:K,2)*G668*(1-$AC$1786)*(1+$AC$1788)),""),"")),"not NVP, by"))))))))</f>
        <v/>
      </c>
      <c r="AC668" s="830"/>
      <c r="AD668" s="375" t="str">
        <f t="shared" si="1724"/>
        <v/>
      </c>
      <c r="AE668" s="833" t="str">
        <f t="shared" si="1747"/>
        <v/>
      </c>
      <c r="AF668" s="833"/>
      <c r="AG668" s="833"/>
      <c r="AH668" s="91">
        <f>IF(AD668="free",0,IF(AD668="me",0,IF(G668&gt;0,(VLOOKUP(A668,'Discount Lookup'!J:K,2)*G668),0)))</f>
        <v>0</v>
      </c>
      <c r="AI668" s="92" t="str">
        <f t="shared" si="1695"/>
        <v/>
      </c>
      <c r="AJ668" s="828" t="str">
        <f t="shared" si="1748"/>
        <v/>
      </c>
      <c r="AK668" s="828"/>
      <c r="AL668" s="313" t="str">
        <f t="shared" si="1714"/>
        <v/>
      </c>
      <c r="AM668" s="312"/>
      <c r="AN668" s="101"/>
      <c r="AO668" s="101"/>
      <c r="AP668" s="101"/>
      <c r="AQ668" s="101"/>
      <c r="AR668" s="101"/>
      <c r="AS668" s="101"/>
      <c r="AT668" s="101"/>
    </row>
    <row r="669" spans="1:46" ht="12.95" customHeight="1">
      <c r="A669" s="889" t="s">
        <v>431</v>
      </c>
      <c r="B669" s="890"/>
      <c r="C669" s="890"/>
      <c r="D669" s="890"/>
      <c r="E669" s="890"/>
      <c r="F669" s="890"/>
      <c r="G669" s="890"/>
      <c r="H669" s="775" t="s">
        <v>242</v>
      </c>
      <c r="I669" s="349" t="s">
        <v>280</v>
      </c>
      <c r="J669" s="157"/>
      <c r="K669" s="611" t="s">
        <v>45</v>
      </c>
      <c r="L669" s="630" t="s">
        <v>46</v>
      </c>
      <c r="M669" s="157"/>
      <c r="N669" s="158" t="s">
        <v>69</v>
      </c>
      <c r="O669" s="165"/>
      <c r="P669" s="166"/>
      <c r="Q669" s="166"/>
      <c r="R669" s="157"/>
      <c r="S669" s="170"/>
      <c r="T669" s="547"/>
      <c r="U669" s="171"/>
      <c r="V669" s="100" t="b">
        <f>IF(G669&gt;0,IF(AD669="me","",G669))</f>
        <v>0</v>
      </c>
      <c r="W669" s="100"/>
      <c r="X669" s="100"/>
      <c r="Y669" s="201"/>
      <c r="Z669" s="829" t="str">
        <f t="shared" si="1682"/>
        <v/>
      </c>
      <c r="AA669" s="829"/>
      <c r="AB669" s="830" t="str">
        <f>IF(G669=0,"",IF(AD669="free","re-planting",IF(AD669="me","not NVP, by",IF($AD$8="yes",(VLOOKUP(A669,'Discount Lookup'!J:K,2)*G669*(1-$AC$1786)*(1+$AC$1788)),IF(AD669="NVP",(VLOOKUP(A669,'Discount Lookup'!J:K,2)*G669*(1-$AC$1786)*(1+$AC$1788)),IF(AD669="free","re-planting",IF(G669=0,"",IF($AD$8="",IF(AD669="me","not NVP, by",IF(AD669="",IF(G669&gt;0,(VLOOKUP(A669,'Discount Lookup'!J:K,2)*G669*(1-$AC$1786)*(1+$AC$1788)),""),"")),"not NVP, by"))))))))</f>
        <v/>
      </c>
      <c r="AC669" s="830"/>
      <c r="AD669" s="375" t="str">
        <f t="shared" si="1724"/>
        <v/>
      </c>
      <c r="AE669" s="833" t="str">
        <f t="shared" si="1605"/>
        <v/>
      </c>
      <c r="AF669" s="833"/>
      <c r="AG669" s="833"/>
      <c r="AH669" s="91">
        <f>IF(AD669="free",0,IF(AD669="me",0,IF(G669&gt;0,(VLOOKUP(A669,'Discount Lookup'!J:K,2)*G669),0)))</f>
        <v>0</v>
      </c>
      <c r="AI669" s="92" t="str">
        <f t="shared" si="1695"/>
        <v/>
      </c>
      <c r="AJ669" s="828" t="str">
        <f t="shared" si="1683"/>
        <v/>
      </c>
      <c r="AK669" s="828"/>
      <c r="AL669" s="313" t="str">
        <f t="shared" si="1714"/>
        <v/>
      </c>
      <c r="AM669" s="312"/>
      <c r="AN669" s="101"/>
      <c r="AO669" s="101"/>
      <c r="AP669" s="101"/>
      <c r="AQ669" s="101"/>
      <c r="AR669" s="101"/>
      <c r="AS669" s="101"/>
      <c r="AT669" s="101"/>
    </row>
    <row r="670" spans="1:46" ht="12.95" customHeight="1">
      <c r="A670" s="383">
        <v>7</v>
      </c>
      <c r="B670" s="158" t="s">
        <v>50</v>
      </c>
      <c r="C670" s="160" t="s">
        <v>1230</v>
      </c>
      <c r="D670" s="161" t="s">
        <v>63</v>
      </c>
      <c r="E670" s="162">
        <v>73.95</v>
      </c>
      <c r="F670" s="713" t="s">
        <v>1306</v>
      </c>
      <c r="G670" s="357">
        <v>0</v>
      </c>
      <c r="H670" s="748" t="str">
        <f t="shared" ref="H670" si="1762">IF(G670=0,"",IF(F670="Qty=",IF(G670=1,"plant","plants"),IF(F670&gt;0.0001,"warranty","Error")))</f>
        <v/>
      </c>
      <c r="I670" s="592">
        <f t="shared" ref="I670" si="1763">IF(F670="Qty=",(E670*G670),((E670*(1-F670))*G670))</f>
        <v>0</v>
      </c>
      <c r="J670" s="592">
        <f>IF(H670="warranty",0,(I670*($J$1782)))</f>
        <v>0</v>
      </c>
      <c r="K670" s="834">
        <f t="shared" ref="K670" si="1764">I670+J670</f>
        <v>0</v>
      </c>
      <c r="L670" s="834"/>
      <c r="M670" s="832" t="str">
        <f>IF($H$1784=0,"",IF(G670=0,"",IF(F670="Qty=",CONCATENATE("$",ROUND(K670*(1-$H$1784),2)," with ",($H$1784*100),"% discount"),CONCATENATE("$",ROUND(K670*(1-$H$1784),2)," with ",(($H$1784*100+F670*100)-($H$1784*100*F670)),IF(F670&gt;0,"% discounts",IF($H$1781&gt;0,"% discounts","% discount"))))))</f>
        <v/>
      </c>
      <c r="N670" s="832"/>
      <c r="O670" s="832"/>
      <c r="P670" s="832"/>
      <c r="Q670" s="832"/>
      <c r="R670" s="832"/>
      <c r="S670" s="303">
        <f t="shared" ref="S670" si="1765">E670*G670</f>
        <v>0</v>
      </c>
      <c r="T670" s="541">
        <f>VLOOKUP(A670,'Discount Lookup'!D:E,2,FALSE)*G670</f>
        <v>0</v>
      </c>
      <c r="U670" s="83">
        <f>VLOOKUP(A670,'Discount Lookup'!G:H,2,FALSE)*G670</f>
        <v>0</v>
      </c>
      <c r="V670" s="100">
        <f>E670*($J$1782)*G670</f>
        <v>0</v>
      </c>
      <c r="W670" s="100">
        <f t="shared" ref="W670" si="1766">I670</f>
        <v>0</v>
      </c>
      <c r="X670" s="100" t="b">
        <f>IF(G670&gt;0,IF(AD670="me","",G670))</f>
        <v>0</v>
      </c>
      <c r="Y670" s="201"/>
      <c r="Z670" s="829" t="str">
        <f t="shared" si="1682"/>
        <v/>
      </c>
      <c r="AA670" s="829"/>
      <c r="AB670" s="830" t="str">
        <f>IF(G670=0,"",IF(AD670="free","re-planting",IF(AD670="me","not NVP, by",IF($AD$8="yes",(VLOOKUP(A670,'Discount Lookup'!J:K,2)*G670*(1-$AC$1786)*(1+$AC$1788)),IF(AD670="NVP",(VLOOKUP(A670,'Discount Lookup'!J:K,2)*G670*(1-$AC$1786)*(1+$AC$1788)),IF(AD670="free","re-planting",IF(G670=0,"",IF($AD$8="",IF(AD670="me","not NVP, by",IF(AD670="",IF(G670&gt;0,(VLOOKUP(A670,'Discount Lookup'!J:K,2)*G670*(1-$AC$1786)*(1+$AC$1788)),""),"")),"not NVP, by"))))))))</f>
        <v/>
      </c>
      <c r="AC670" s="830"/>
      <c r="AD670" s="375" t="str">
        <f t="shared" si="1724"/>
        <v/>
      </c>
      <c r="AE670" s="833" t="str">
        <f t="shared" si="1605"/>
        <v/>
      </c>
      <c r="AF670" s="833"/>
      <c r="AG670" s="833"/>
      <c r="AH670" s="91">
        <f>IF(AD670="free",0,IF(AD670="me",0,IF(G670&gt;0,(VLOOKUP(A670,'Discount Lookup'!J:K,2)*G670),0)))</f>
        <v>0</v>
      </c>
      <c r="AI670" s="92" t="str">
        <f t="shared" si="1695"/>
        <v/>
      </c>
      <c r="AJ670" s="828" t="str">
        <f t="shared" si="1683"/>
        <v/>
      </c>
      <c r="AK670" s="828"/>
      <c r="AL670" s="313" t="str">
        <f t="shared" si="1714"/>
        <v/>
      </c>
      <c r="AM670" s="312"/>
      <c r="AN670" s="101"/>
      <c r="AO670" s="101"/>
      <c r="AP670" s="101"/>
      <c r="AQ670" s="101"/>
      <c r="AR670" s="101"/>
      <c r="AS670" s="101"/>
      <c r="AT670" s="101"/>
    </row>
    <row r="671" spans="1:46" ht="12.95" customHeight="1">
      <c r="A671" s="481"/>
      <c r="B671" s="173" t="s">
        <v>432</v>
      </c>
      <c r="G671" s="361"/>
      <c r="H671" s="746"/>
      <c r="M671" s="121"/>
      <c r="N671" s="121"/>
      <c r="O671" s="123">
        <f>VLOOKUP(A671,'Discount Lookup'!D:E,2,FALSE)*G671</f>
        <v>0</v>
      </c>
      <c r="P671" s="124">
        <f>VLOOKUP(A671,'Discount Lookup'!G:H,2,FALSE)*G671</f>
        <v>0</v>
      </c>
      <c r="Q671" s="841" t="s">
        <v>125</v>
      </c>
      <c r="R671" s="841"/>
      <c r="S671" s="841"/>
      <c r="T671" s="841"/>
      <c r="U671" s="841"/>
      <c r="V671" s="841"/>
      <c r="Y671" s="132"/>
      <c r="Z671" s="829" t="str">
        <f t="shared" si="1682"/>
        <v/>
      </c>
      <c r="AA671" s="829"/>
      <c r="AB671" s="830" t="str">
        <f>IF(G671=0,"",IF(AD671="free","re-planting",IF(AD671="me","not NVP, by",IF($AD$8="yes",(VLOOKUP(A671,'Discount Lookup'!J:K,2)*G671*(1-$AC$1786)*(1+$AC$1788)),IF(AD671="NVP",(VLOOKUP(A671,'Discount Lookup'!J:K,2)*G671*(1-$AC$1786)*(1+$AC$1788)),IF(AD671="free","re-planting",IF(G671=0,"",IF($AD$8="",IF(AD671="me","not NVP, by",IF(AD671="",IF(G671&gt;0,(VLOOKUP(A671,'Discount Lookup'!J:K,2)*G671*(1-$AC$1786)*(1+$AC$1788)),""),"")),"not NVP, by"))))))))</f>
        <v/>
      </c>
      <c r="AC671" s="830"/>
      <c r="AD671" s="375" t="str">
        <f t="shared" si="1724"/>
        <v/>
      </c>
      <c r="AE671" s="833" t="str">
        <f t="shared" si="1605"/>
        <v/>
      </c>
      <c r="AF671" s="833"/>
      <c r="AG671" s="833"/>
      <c r="AH671" s="91">
        <f>IF(AD671="free",0,IF(AD671="me",0,IF(G671&gt;0,(VLOOKUP(A671,'Discount Lookup'!J:K,2)*G671),0)))</f>
        <v>0</v>
      </c>
      <c r="AI671" s="92" t="str">
        <f t="shared" si="1695"/>
        <v/>
      </c>
      <c r="AJ671" s="828" t="str">
        <f t="shared" si="1683"/>
        <v/>
      </c>
      <c r="AK671" s="828"/>
      <c r="AL671" s="313" t="str">
        <f t="shared" si="1714"/>
        <v/>
      </c>
      <c r="AM671" s="312"/>
      <c r="AN671" s="101"/>
      <c r="AO671" s="101"/>
      <c r="AP671" s="101"/>
      <c r="AQ671" s="101"/>
      <c r="AR671" s="101"/>
      <c r="AS671" s="101"/>
      <c r="AT671" s="101"/>
    </row>
    <row r="672" spans="1:46" ht="12.95" customHeight="1">
      <c r="A672" s="894" t="s">
        <v>433</v>
      </c>
      <c r="B672" s="895"/>
      <c r="C672" s="895"/>
      <c r="D672" s="895"/>
      <c r="E672" s="895"/>
      <c r="F672" s="895"/>
      <c r="G672" s="895"/>
      <c r="H672" s="775" t="s">
        <v>434</v>
      </c>
      <c r="I672" s="349" t="s">
        <v>280</v>
      </c>
      <c r="J672" s="157"/>
      <c r="K672" s="611" t="s">
        <v>45</v>
      </c>
      <c r="L672" s="630" t="s">
        <v>46</v>
      </c>
      <c r="M672" s="157"/>
      <c r="N672" s="158" t="s">
        <v>98</v>
      </c>
      <c r="O672" s="158"/>
      <c r="P672" s="164"/>
      <c r="Q672" s="164"/>
      <c r="R672" s="157"/>
      <c r="S672" s="170"/>
      <c r="T672" s="547"/>
      <c r="U672" s="171"/>
      <c r="V672" s="100" t="b">
        <f>IF(G672&gt;0,IF(AD672="me","",G672))</f>
        <v>0</v>
      </c>
      <c r="W672" s="100"/>
      <c r="X672" s="100"/>
      <c r="Y672" s="201"/>
      <c r="Z672" s="829" t="str">
        <f t="shared" si="1682"/>
        <v/>
      </c>
      <c r="AA672" s="829"/>
      <c r="AB672" s="830" t="str">
        <f>IF(G672=0,"",IF(AD672="free","re-planting",IF(AD672="me","not NVP, by",IF($AD$8="yes",(VLOOKUP(A672,'Discount Lookup'!J:K,2)*G672*(1-$AC$1786)*(1+$AC$1788)),IF(AD672="NVP",(VLOOKUP(A672,'Discount Lookup'!J:K,2)*G672*(1-$AC$1786)*(1+$AC$1788)),IF(AD672="free","re-planting",IF(G672=0,"",IF($AD$8="",IF(AD672="me","not NVP, by",IF(AD672="",IF(G672&gt;0,(VLOOKUP(A672,'Discount Lookup'!J:K,2)*G672*(1-$AC$1786)*(1+$AC$1788)),""),"")),"not NVP, by"))))))))</f>
        <v/>
      </c>
      <c r="AC672" s="830"/>
      <c r="AD672" s="375" t="str">
        <f t="shared" si="1724"/>
        <v/>
      </c>
      <c r="AE672" s="833" t="str">
        <f t="shared" si="1605"/>
        <v/>
      </c>
      <c r="AF672" s="833"/>
      <c r="AG672" s="833"/>
      <c r="AH672" s="91">
        <f>IF(AD672="free",0,IF(AD672="me",0,IF(G672&gt;0,(VLOOKUP(A672,'Discount Lookup'!J:K,2)*G672),0)))</f>
        <v>0</v>
      </c>
      <c r="AI672" s="92" t="str">
        <f t="shared" ref="AI672:AI703" si="1767">IF(G672=0,"",IF(AD672="free",(K672*(1-$H$1784)),IF($AD$8="me",(K672*(1-$H$1784)),IF(AD672="me",(K672*(1-$H$1784)),(K672*(1-$H$1784))+AB672))))</f>
        <v/>
      </c>
      <c r="AJ672" s="828" t="str">
        <f t="shared" si="1683"/>
        <v/>
      </c>
      <c r="AK672" s="828"/>
      <c r="AL672" s="313" t="str">
        <f t="shared" si="1714"/>
        <v/>
      </c>
      <c r="AM672" s="312"/>
      <c r="AN672" s="101"/>
      <c r="AO672" s="101"/>
      <c r="AP672" s="101"/>
      <c r="AQ672" s="101"/>
      <c r="AR672" s="101"/>
      <c r="AS672" s="101"/>
      <c r="AT672" s="101"/>
    </row>
    <row r="673" spans="1:46" ht="12.95" customHeight="1">
      <c r="A673" s="383">
        <v>3</v>
      </c>
      <c r="B673" s="158" t="s">
        <v>50</v>
      </c>
      <c r="C673" s="168" t="s">
        <v>135</v>
      </c>
      <c r="D673" s="161" t="s">
        <v>87</v>
      </c>
      <c r="E673" s="162">
        <v>35.950000000000003</v>
      </c>
      <c r="F673" s="713" t="s">
        <v>1306</v>
      </c>
      <c r="G673" s="357">
        <v>0</v>
      </c>
      <c r="H673" s="748" t="str">
        <f t="shared" ref="H673:H677" si="1768">IF(G673=0,"",IF(F673="Qty=",IF(G673=1,"plant","plants"),IF(F673&gt;0.0001,"warranty","Error")))</f>
        <v/>
      </c>
      <c r="I673" s="592">
        <f t="shared" ref="I673:I677" si="1769">IF(F673="Qty=",(E673*G673),((E673*(1-F673))*G673))</f>
        <v>0</v>
      </c>
      <c r="J673" s="592">
        <f>IF(H673="warranty",0,(I673*($J$1782)))</f>
        <v>0</v>
      </c>
      <c r="K673" s="834">
        <f t="shared" ref="K673:K677" si="1770">I673+J673</f>
        <v>0</v>
      </c>
      <c r="L673" s="834"/>
      <c r="M673" s="832" t="str">
        <f>IF($H$1784=0,"",IF(G673=0,"",IF(F673="Qty=",CONCATENATE("$",ROUND(K673*(1-$H$1784),2)," with ",($H$1784*100),"% discount"),CONCATENATE("$",ROUND(K673*(1-$H$1784),2)," with ",(($H$1784*100+F673*100)-($H$1784*100*F673)),IF(F673&gt;0,"% discounts",IF($H$1781&gt;0,"% discounts","% discount"))))))</f>
        <v/>
      </c>
      <c r="N673" s="832"/>
      <c r="O673" s="832"/>
      <c r="P673" s="832"/>
      <c r="Q673" s="832"/>
      <c r="R673" s="832"/>
      <c r="S673" s="303">
        <f t="shared" ref="S673:S677" si="1771">E673*G673</f>
        <v>0</v>
      </c>
      <c r="T673" s="541">
        <f>VLOOKUP(A673,'Discount Lookup'!D:E,2,FALSE)*G673</f>
        <v>0</v>
      </c>
      <c r="U673" s="83">
        <f>VLOOKUP(A673,'Discount Lookup'!G:H,2,FALSE)*G673</f>
        <v>0</v>
      </c>
      <c r="V673" s="100">
        <f>E673*($J$1782)*G673</f>
        <v>0</v>
      </c>
      <c r="W673" s="100">
        <f t="shared" ref="W673:W677" si="1772">I673</f>
        <v>0</v>
      </c>
      <c r="X673" s="100" t="b">
        <f>IF(G673&gt;0,IF(AD673="me","",G673))</f>
        <v>0</v>
      </c>
      <c r="Y673" s="201"/>
      <c r="Z673" s="829" t="str">
        <f t="shared" si="1682"/>
        <v/>
      </c>
      <c r="AA673" s="829"/>
      <c r="AB673" s="830" t="str">
        <f>IF(G673=0,"",IF(AD673="free","re-planting",IF(AD673="me","not NVP, by",IF($AD$8="yes",(VLOOKUP(A673,'Discount Lookup'!J:K,2)*G673*(1-$AC$1786)*(1+$AC$1788)),IF(AD673="NVP",(VLOOKUP(A673,'Discount Lookup'!J:K,2)*G673*(1-$AC$1786)*(1+$AC$1788)),IF(AD673="free","re-planting",IF(G673=0,"",IF($AD$8="",IF(AD673="me","not NVP, by",IF(AD673="",IF(G673&gt;0,(VLOOKUP(A673,'Discount Lookup'!J:K,2)*G673*(1-$AC$1786)*(1+$AC$1788)),""),"")),"not NVP, by"))))))))</f>
        <v/>
      </c>
      <c r="AC673" s="830"/>
      <c r="AD673" s="375" t="str">
        <f t="shared" si="1724"/>
        <v/>
      </c>
      <c r="AE673" s="833" t="str">
        <f t="shared" si="1605"/>
        <v/>
      </c>
      <c r="AF673" s="833"/>
      <c r="AG673" s="833"/>
      <c r="AH673" s="91">
        <f>IF(AD673="free",0,IF(AD673="me",0,IF(G673&gt;0,(VLOOKUP(A673,'Discount Lookup'!J:K,2)*G673),0)))</f>
        <v>0</v>
      </c>
      <c r="AI673" s="92" t="str">
        <f t="shared" si="1767"/>
        <v/>
      </c>
      <c r="AJ673" s="828" t="str">
        <f t="shared" si="1683"/>
        <v/>
      </c>
      <c r="AK673" s="828"/>
      <c r="AL673" s="313" t="str">
        <f t="shared" si="1714"/>
        <v/>
      </c>
      <c r="AM673" s="312"/>
      <c r="AN673" s="101"/>
      <c r="AO673" s="101"/>
      <c r="AP673" s="101"/>
      <c r="AQ673" s="101"/>
      <c r="AR673" s="101"/>
      <c r="AS673" s="101"/>
      <c r="AT673" s="101"/>
    </row>
    <row r="674" spans="1:46" ht="12.95" customHeight="1">
      <c r="A674" s="383">
        <v>7</v>
      </c>
      <c r="B674" s="158" t="s">
        <v>50</v>
      </c>
      <c r="C674" s="168" t="s">
        <v>1447</v>
      </c>
      <c r="D674" s="161" t="s">
        <v>87</v>
      </c>
      <c r="E674" s="162">
        <v>71.95</v>
      </c>
      <c r="F674" s="713" t="s">
        <v>1306</v>
      </c>
      <c r="G674" s="357">
        <v>0</v>
      </c>
      <c r="H674" s="748" t="str">
        <f t="shared" si="1768"/>
        <v/>
      </c>
      <c r="I674" s="592">
        <f t="shared" si="1769"/>
        <v>0</v>
      </c>
      <c r="J674" s="592">
        <f>IF(H674="warranty",0,(I674*($J$1782)))</f>
        <v>0</v>
      </c>
      <c r="K674" s="834">
        <f t="shared" si="1770"/>
        <v>0</v>
      </c>
      <c r="L674" s="834"/>
      <c r="M674" s="832" t="str">
        <f>IF($H$1784=0,"",IF(G674=0,"",IF(F674="Qty=",CONCATENATE("$",ROUND(K674*(1-$H$1784),2)," with ",($H$1784*100),"% discount"),CONCATENATE("$",ROUND(K674*(1-$H$1784),2)," with ",(($H$1784*100+F674*100)-($H$1784*100*F674)),IF(F674&gt;0,"% discounts",IF($H$1781&gt;0,"% discounts","% discount"))))))</f>
        <v/>
      </c>
      <c r="N674" s="832"/>
      <c r="O674" s="832"/>
      <c r="P674" s="832"/>
      <c r="Q674" s="832"/>
      <c r="R674" s="832"/>
      <c r="S674" s="303">
        <f t="shared" si="1771"/>
        <v>0</v>
      </c>
      <c r="T674" s="541">
        <f>VLOOKUP(A674,'Discount Lookup'!D:E,2,FALSE)*G674</f>
        <v>0</v>
      </c>
      <c r="U674" s="83">
        <f>VLOOKUP(A674,'Discount Lookup'!G:H,2,FALSE)*G674</f>
        <v>0</v>
      </c>
      <c r="V674" s="100">
        <f>E674*($J$1782)*G674</f>
        <v>0</v>
      </c>
      <c r="W674" s="100">
        <f t="shared" si="1772"/>
        <v>0</v>
      </c>
      <c r="X674" s="100" t="b">
        <f>IF(G674&gt;0,IF(AD674="me","",G674))</f>
        <v>0</v>
      </c>
      <c r="Y674" s="201"/>
      <c r="Z674" s="829" t="str">
        <f t="shared" si="1682"/>
        <v/>
      </c>
      <c r="AA674" s="829"/>
      <c r="AB674" s="830" t="str">
        <f>IF(G674=0,"",IF(AD674="free","re-planting",IF(AD674="me","not NVP, by",IF($AD$8="yes",(VLOOKUP(A674,'Discount Lookup'!J:K,2)*G674*(1-$AC$1786)*(1+$AC$1788)),IF(AD674="NVP",(VLOOKUP(A674,'Discount Lookup'!J:K,2)*G674*(1-$AC$1786)*(1+$AC$1788)),IF(AD674="free","re-planting",IF(G674=0,"",IF($AD$8="",IF(AD674="me","not NVP, by",IF(AD674="",IF(G674&gt;0,(VLOOKUP(A674,'Discount Lookup'!J:K,2)*G674*(1-$AC$1786)*(1+$AC$1788)),""),"")),"not NVP, by"))))))))</f>
        <v/>
      </c>
      <c r="AC674" s="830"/>
      <c r="AD674" s="375" t="str">
        <f t="shared" si="1724"/>
        <v/>
      </c>
      <c r="AE674" s="833" t="str">
        <f t="shared" si="1605"/>
        <v/>
      </c>
      <c r="AF674" s="833"/>
      <c r="AG674" s="833"/>
      <c r="AH674" s="91">
        <f>IF(AD674="free",0,IF(AD674="me",0,IF(G674&gt;0,(VLOOKUP(A674,'Discount Lookup'!J:K,2)*G674),0)))</f>
        <v>0</v>
      </c>
      <c r="AI674" s="92" t="str">
        <f t="shared" si="1767"/>
        <v/>
      </c>
      <c r="AJ674" s="828" t="str">
        <f t="shared" si="1683"/>
        <v/>
      </c>
      <c r="AK674" s="828"/>
      <c r="AL674" s="313" t="str">
        <f t="shared" si="1714"/>
        <v/>
      </c>
      <c r="AM674" s="312"/>
      <c r="AN674" s="101"/>
      <c r="AO674" s="101"/>
      <c r="AP674" s="101"/>
      <c r="AQ674" s="101"/>
      <c r="AR674" s="101"/>
      <c r="AS674" s="101"/>
      <c r="AT674" s="101"/>
    </row>
    <row r="675" spans="1:46" ht="12.95" customHeight="1">
      <c r="A675" s="383">
        <v>7</v>
      </c>
      <c r="B675" s="158" t="s">
        <v>50</v>
      </c>
      <c r="C675" s="160" t="s">
        <v>85</v>
      </c>
      <c r="D675" s="161" t="s">
        <v>54</v>
      </c>
      <c r="E675" s="162">
        <v>79.95</v>
      </c>
      <c r="F675" s="713" t="s">
        <v>1306</v>
      </c>
      <c r="G675" s="357">
        <v>0</v>
      </c>
      <c r="H675" s="748" t="str">
        <f t="shared" si="1768"/>
        <v/>
      </c>
      <c r="I675" s="592">
        <f t="shared" si="1769"/>
        <v>0</v>
      </c>
      <c r="J675" s="592">
        <f>IF(H675="warranty",0,(I675*($J$1782)))</f>
        <v>0</v>
      </c>
      <c r="K675" s="834">
        <f t="shared" si="1770"/>
        <v>0</v>
      </c>
      <c r="L675" s="834"/>
      <c r="M675" s="832" t="str">
        <f>IF($H$1784=0,"",IF(G675=0,"",IF(F675="Qty=",CONCATENATE("$",ROUND(K675*(1-$H$1784),2)," with ",($H$1784*100),"% discount"),CONCATENATE("$",ROUND(K675*(1-$H$1784),2)," with ",(($H$1784*100+F675*100)-($H$1784*100*F675)),IF(F675&gt;0,"% discounts",IF($H$1781&gt;0,"% discounts","% discount"))))))</f>
        <v/>
      </c>
      <c r="N675" s="832"/>
      <c r="O675" s="832"/>
      <c r="P675" s="832"/>
      <c r="Q675" s="832"/>
      <c r="R675" s="832"/>
      <c r="S675" s="303">
        <f t="shared" si="1771"/>
        <v>0</v>
      </c>
      <c r="T675" s="541">
        <f>VLOOKUP(A675,'Discount Lookup'!D:E,2,FALSE)*G675</f>
        <v>0</v>
      </c>
      <c r="U675" s="83">
        <f>VLOOKUP(A675,'Discount Lookup'!G:H,2,FALSE)*G675</f>
        <v>0</v>
      </c>
      <c r="V675" s="100">
        <f>E675*($J$1782)*G675</f>
        <v>0</v>
      </c>
      <c r="W675" s="100">
        <f t="shared" si="1772"/>
        <v>0</v>
      </c>
      <c r="X675" s="100" t="b">
        <f>IF(G675&gt;0,IF(AD675="me","",G675))</f>
        <v>0</v>
      </c>
      <c r="Y675" s="201"/>
      <c r="Z675" s="829" t="str">
        <f t="shared" si="1682"/>
        <v/>
      </c>
      <c r="AA675" s="829"/>
      <c r="AB675" s="830" t="str">
        <f>IF(G675=0,"",IF(AD675="free","re-planting",IF(AD675="me","not NVP, by",IF($AD$8="yes",(VLOOKUP(A675,'Discount Lookup'!J:K,2)*G675*(1-$AC$1786)*(1+$AC$1788)),IF(AD675="NVP",(VLOOKUP(A675,'Discount Lookup'!J:K,2)*G675*(1-$AC$1786)*(1+$AC$1788)),IF(AD675="free","re-planting",IF(G675=0,"",IF($AD$8="",IF(AD675="me","not NVP, by",IF(AD675="",IF(G675&gt;0,(VLOOKUP(A675,'Discount Lookup'!J:K,2)*G675*(1-$AC$1786)*(1+$AC$1788)),""),"")),"not NVP, by"))))))))</f>
        <v/>
      </c>
      <c r="AC675" s="830"/>
      <c r="AD675" s="375" t="str">
        <f t="shared" si="1724"/>
        <v/>
      </c>
      <c r="AE675" s="833" t="str">
        <f t="shared" si="1605"/>
        <v/>
      </c>
      <c r="AF675" s="833"/>
      <c r="AG675" s="833"/>
      <c r="AH675" s="91">
        <f>IF(AD675="free",0,IF(AD675="me",0,IF(G675&gt;0,(VLOOKUP(A675,'Discount Lookup'!J:K,2)*G675),0)))</f>
        <v>0</v>
      </c>
      <c r="AI675" s="92" t="str">
        <f t="shared" si="1767"/>
        <v/>
      </c>
      <c r="AJ675" s="828" t="str">
        <f t="shared" si="1683"/>
        <v/>
      </c>
      <c r="AK675" s="828"/>
      <c r="AL675" s="313" t="str">
        <f t="shared" si="1714"/>
        <v/>
      </c>
      <c r="AM675" s="312"/>
      <c r="AN675" s="101"/>
      <c r="AO675" s="101"/>
      <c r="AP675" s="101"/>
      <c r="AQ675" s="101"/>
      <c r="AR675" s="101"/>
      <c r="AS675" s="101"/>
      <c r="AT675" s="101"/>
    </row>
    <row r="676" spans="1:46" ht="12.95" customHeight="1">
      <c r="A676" s="383">
        <v>10</v>
      </c>
      <c r="B676" s="158" t="s">
        <v>50</v>
      </c>
      <c r="C676" s="160" t="s">
        <v>215</v>
      </c>
      <c r="D676" s="161" t="s">
        <v>54</v>
      </c>
      <c r="E676" s="162">
        <v>104.95</v>
      </c>
      <c r="F676" s="713" t="s">
        <v>1306</v>
      </c>
      <c r="G676" s="357">
        <v>0</v>
      </c>
      <c r="H676" s="748" t="str">
        <f t="shared" si="1768"/>
        <v/>
      </c>
      <c r="I676" s="592">
        <f t="shared" si="1769"/>
        <v>0</v>
      </c>
      <c r="J676" s="592">
        <f>IF(H676="warranty",0,(I676*($J$1782)))</f>
        <v>0</v>
      </c>
      <c r="K676" s="834">
        <f t="shared" si="1770"/>
        <v>0</v>
      </c>
      <c r="L676" s="834"/>
      <c r="M676" s="832" t="str">
        <f>IF($H$1784=0,"",IF(G676=0,"",IF(F676="Qty=",CONCATENATE("$",ROUND(K676*(1-$H$1784),2)," with ",($H$1784*100),"% discount"),CONCATENATE("$",ROUND(K676*(1-$H$1784),2)," with ",(($H$1784*100+F676*100)-($H$1784*100*F676)),IF(F676&gt;0,"% discounts",IF($H$1781&gt;0,"% discounts","% discount"))))))</f>
        <v/>
      </c>
      <c r="N676" s="832"/>
      <c r="O676" s="832"/>
      <c r="P676" s="832"/>
      <c r="Q676" s="832"/>
      <c r="R676" s="832"/>
      <c r="S676" s="303">
        <f t="shared" si="1771"/>
        <v>0</v>
      </c>
      <c r="T676" s="541">
        <f>VLOOKUP(A676,'Discount Lookup'!D:E,2,FALSE)*G676</f>
        <v>0</v>
      </c>
      <c r="U676" s="83">
        <f>VLOOKUP(A676,'Discount Lookup'!G:H,2,FALSE)*G676</f>
        <v>0</v>
      </c>
      <c r="V676" s="100">
        <f>E676*($J$1782)*G676</f>
        <v>0</v>
      </c>
      <c r="W676" s="100">
        <f t="shared" si="1772"/>
        <v>0</v>
      </c>
      <c r="X676" s="100" t="b">
        <f>IF(G676&gt;0,IF(AD676="me","",G676))</f>
        <v>0</v>
      </c>
      <c r="Y676" s="201"/>
      <c r="Z676" s="829" t="str">
        <f t="shared" si="1682"/>
        <v/>
      </c>
      <c r="AA676" s="829"/>
      <c r="AB676" s="830" t="str">
        <f>IF(G676=0,"",IF(AD676="free","re-planting",IF(AD676="me","not NVP, by",IF($AD$8="yes",(VLOOKUP(A676,'Discount Lookup'!J:K,2)*G676*(1-$AC$1786)*(1+$AC$1788)),IF(AD676="NVP",(VLOOKUP(A676,'Discount Lookup'!J:K,2)*G676*(1-$AC$1786)*(1+$AC$1788)),IF(AD676="free","re-planting",IF(G676=0,"",IF($AD$8="",IF(AD676="me","not NVP, by",IF(AD676="",IF(G676&gt;0,(VLOOKUP(A676,'Discount Lookup'!J:K,2)*G676*(1-$AC$1786)*(1+$AC$1788)),""),"")),"not NVP, by"))))))))</f>
        <v/>
      </c>
      <c r="AC676" s="830"/>
      <c r="AD676" s="375" t="str">
        <f t="shared" si="1724"/>
        <v/>
      </c>
      <c r="AE676" s="833" t="str">
        <f t="shared" si="1605"/>
        <v/>
      </c>
      <c r="AF676" s="833"/>
      <c r="AG676" s="833"/>
      <c r="AH676" s="91">
        <f>IF(AD676="free",0,IF(AD676="me",0,IF(G676&gt;0,(VLOOKUP(A676,'Discount Lookup'!J:K,2)*G676),0)))</f>
        <v>0</v>
      </c>
      <c r="AI676" s="92" t="str">
        <f t="shared" si="1767"/>
        <v/>
      </c>
      <c r="AJ676" s="828" t="str">
        <f t="shared" si="1683"/>
        <v/>
      </c>
      <c r="AK676" s="828"/>
      <c r="AL676" s="313" t="str">
        <f t="shared" si="1714"/>
        <v/>
      </c>
      <c r="AM676" s="312"/>
      <c r="AN676" s="101"/>
      <c r="AO676" s="101"/>
      <c r="AP676" s="101"/>
      <c r="AQ676" s="101"/>
      <c r="AR676" s="101"/>
      <c r="AS676" s="101"/>
      <c r="AT676" s="101"/>
    </row>
    <row r="677" spans="1:46" ht="12.95" customHeight="1">
      <c r="A677" s="383">
        <v>25</v>
      </c>
      <c r="B677" s="158" t="s">
        <v>50</v>
      </c>
      <c r="C677" s="160" t="s">
        <v>70</v>
      </c>
      <c r="D677" s="161" t="s">
        <v>54</v>
      </c>
      <c r="E677" s="162">
        <v>293.95</v>
      </c>
      <c r="F677" s="713" t="s">
        <v>1306</v>
      </c>
      <c r="G677" s="357">
        <v>0</v>
      </c>
      <c r="H677" s="748" t="str">
        <f t="shared" si="1768"/>
        <v/>
      </c>
      <c r="I677" s="592">
        <f t="shared" si="1769"/>
        <v>0</v>
      </c>
      <c r="J677" s="592">
        <f>IF(H677="warranty",0,(I677*($J$1782)))</f>
        <v>0</v>
      </c>
      <c r="K677" s="834">
        <f t="shared" si="1770"/>
        <v>0</v>
      </c>
      <c r="L677" s="834"/>
      <c r="M677" s="832" t="str">
        <f>IF($H$1784=0,"",IF(G677=0,"",IF(F677="Qty=",CONCATENATE("$",ROUND(K677*(1-$H$1784),2)," with ",($H$1784*100),"% discount"),CONCATENATE("$",ROUND(K677*(1-$H$1784),2)," with ",(($H$1784*100+F677*100)-($H$1784*100*F677)),IF(F677&gt;0,"% discounts",IF($H$1781&gt;0,"% discounts","% discount"))))))</f>
        <v/>
      </c>
      <c r="N677" s="832"/>
      <c r="O677" s="832"/>
      <c r="P677" s="832"/>
      <c r="Q677" s="832"/>
      <c r="R677" s="832"/>
      <c r="S677" s="303">
        <f t="shared" si="1771"/>
        <v>0</v>
      </c>
      <c r="T677" s="541">
        <f>VLOOKUP(A677,'Discount Lookup'!D:E,2,FALSE)*G677</f>
        <v>0</v>
      </c>
      <c r="U677" s="83">
        <f>VLOOKUP(A677,'Discount Lookup'!G:H,2,FALSE)*G677</f>
        <v>0</v>
      </c>
      <c r="V677" s="100">
        <f>E677*($J$1782)*G677</f>
        <v>0</v>
      </c>
      <c r="W677" s="100">
        <f t="shared" si="1772"/>
        <v>0</v>
      </c>
      <c r="X677" s="100" t="b">
        <f>IF(G677&gt;0,IF(AD677="me","",G677))</f>
        <v>0</v>
      </c>
      <c r="Y677" s="201"/>
      <c r="Z677" s="829" t="str">
        <f t="shared" si="1682"/>
        <v/>
      </c>
      <c r="AA677" s="829"/>
      <c r="AB677" s="830" t="str">
        <f>IF(G677=0,"",IF(AD677="free","re-planting",IF(AD677="me","not NVP, by",IF($AD$8="yes",(VLOOKUP(A677,'Discount Lookup'!J:K,2)*G677*(1-$AC$1786)*(1+$AC$1788)),IF(AD677="NVP",(VLOOKUP(A677,'Discount Lookup'!J:K,2)*G677*(1-$AC$1786)*(1+$AC$1788)),IF(AD677="free","re-planting",IF(G677=0,"",IF($AD$8="",IF(AD677="me","not NVP, by",IF(AD677="",IF(G677&gt;0,(VLOOKUP(A677,'Discount Lookup'!J:K,2)*G677*(1-$AC$1786)*(1+$AC$1788)),""),"")),"not NVP, by"))))))))</f>
        <v/>
      </c>
      <c r="AC677" s="830"/>
      <c r="AD677" s="375" t="str">
        <f t="shared" si="1724"/>
        <v/>
      </c>
      <c r="AE677" s="833" t="str">
        <f t="shared" si="1605"/>
        <v/>
      </c>
      <c r="AF677" s="833"/>
      <c r="AG677" s="833"/>
      <c r="AH677" s="91">
        <f>IF(AD677="free",0,IF(AD677="me",0,IF(G677&gt;0,(VLOOKUP(A677,'Discount Lookup'!J:K,2)*G677),0)))</f>
        <v>0</v>
      </c>
      <c r="AI677" s="92" t="str">
        <f t="shared" si="1767"/>
        <v/>
      </c>
      <c r="AJ677" s="828" t="str">
        <f t="shared" si="1683"/>
        <v/>
      </c>
      <c r="AK677" s="828"/>
      <c r="AL677" s="313" t="str">
        <f t="shared" si="1714"/>
        <v/>
      </c>
      <c r="AM677" s="312"/>
      <c r="AN677" s="101"/>
      <c r="AO677" s="101"/>
      <c r="AP677" s="101"/>
      <c r="AQ677" s="101"/>
      <c r="AR677" s="101"/>
      <c r="AS677" s="101"/>
      <c r="AT677" s="101"/>
    </row>
    <row r="678" spans="1:46" ht="12.95" customHeight="1">
      <c r="A678" s="481"/>
      <c r="B678" s="173" t="s">
        <v>435</v>
      </c>
      <c r="C678" s="146"/>
      <c r="G678" s="361"/>
      <c r="H678" s="746"/>
      <c r="M678" s="48"/>
      <c r="N678" s="122" t="s">
        <v>331</v>
      </c>
      <c r="O678" s="123"/>
      <c r="P678" s="124"/>
      <c r="Y678" s="132"/>
      <c r="Z678" s="829" t="str">
        <f t="shared" si="1682"/>
        <v/>
      </c>
      <c r="AA678" s="829"/>
      <c r="AB678" s="830" t="str">
        <f>IF(G678=0,"",IF(AD678="free","re-planting",IF(AD678="me","not NVP, by",IF($AD$8="yes",(VLOOKUP(A678,'Discount Lookup'!J:K,2)*G678*(1-$AC$1786)*(1+$AC$1788)),IF(AD678="NVP",(VLOOKUP(A678,'Discount Lookup'!J:K,2)*G678*(1-$AC$1786)*(1+$AC$1788)),IF(AD678="free","re-planting",IF(G678=0,"",IF($AD$8="",IF(AD678="me","not NVP, by",IF(AD678="",IF(G678&gt;0,(VLOOKUP(A678,'Discount Lookup'!J:K,2)*G678*(1-$AC$1786)*(1+$AC$1788)),""),"")),"not NVP, by"))))))))</f>
        <v/>
      </c>
      <c r="AC678" s="830"/>
      <c r="AD678" s="375" t="str">
        <f t="shared" si="1724"/>
        <v/>
      </c>
      <c r="AE678" s="833" t="str">
        <f t="shared" si="1605"/>
        <v/>
      </c>
      <c r="AF678" s="833"/>
      <c r="AG678" s="833"/>
      <c r="AH678" s="91">
        <f>IF(AD678="free",0,IF(AD678="me",0,IF(G678&gt;0,(VLOOKUP(A678,'Discount Lookup'!J:K,2)*G678),0)))</f>
        <v>0</v>
      </c>
      <c r="AI678" s="92" t="str">
        <f t="shared" si="1767"/>
        <v/>
      </c>
      <c r="AJ678" s="828" t="str">
        <f t="shared" si="1683"/>
        <v/>
      </c>
      <c r="AK678" s="828"/>
      <c r="AL678" s="313" t="str">
        <f t="shared" si="1714"/>
        <v/>
      </c>
      <c r="AM678" s="312"/>
      <c r="AN678" s="101"/>
      <c r="AO678" s="101"/>
      <c r="AP678" s="101"/>
      <c r="AQ678" s="101"/>
      <c r="AR678" s="101"/>
      <c r="AS678" s="101"/>
      <c r="AT678" s="101"/>
    </row>
    <row r="679" spans="1:46" ht="12.95" customHeight="1">
      <c r="A679" s="894" t="s">
        <v>1376</v>
      </c>
      <c r="B679" s="895"/>
      <c r="C679" s="895"/>
      <c r="D679" s="895"/>
      <c r="E679" s="895"/>
      <c r="F679" s="895"/>
      <c r="G679" s="895"/>
      <c r="H679" s="775" t="s">
        <v>436</v>
      </c>
      <c r="I679" s="349" t="s">
        <v>280</v>
      </c>
      <c r="J679" s="157"/>
      <c r="K679" s="611" t="s">
        <v>45</v>
      </c>
      <c r="L679" s="630" t="s">
        <v>46</v>
      </c>
      <c r="M679" s="157"/>
      <c r="N679" s="158" t="s">
        <v>69</v>
      </c>
      <c r="O679" s="158"/>
      <c r="P679" s="158"/>
      <c r="Q679" s="158"/>
      <c r="R679" s="157"/>
      <c r="S679" s="170"/>
      <c r="T679" s="547"/>
      <c r="U679" s="171"/>
      <c r="V679" s="100" t="b">
        <f>IF(G679&gt;0,IF(AD679="me","",G679))</f>
        <v>0</v>
      </c>
      <c r="W679" s="100"/>
      <c r="X679" s="100"/>
      <c r="Y679" s="201"/>
      <c r="Z679" s="829" t="str">
        <f t="shared" si="1682"/>
        <v/>
      </c>
      <c r="AA679" s="829"/>
      <c r="AB679" s="830" t="str">
        <f>IF(G679=0,"",IF(AD679="free","re-planting",IF(AD679="me","not NVP, by",IF($AD$8="yes",(VLOOKUP(A679,'Discount Lookup'!J:K,2)*G679*(1-$AC$1786)*(1+$AC$1788)),IF(AD679="NVP",(VLOOKUP(A679,'Discount Lookup'!J:K,2)*G679*(1-$AC$1786)*(1+$AC$1788)),IF(AD679="free","re-planting",IF(G679=0,"",IF($AD$8="",IF(AD679="me","not NVP, by",IF(AD679="",IF(G679&gt;0,(VLOOKUP(A679,'Discount Lookup'!J:K,2)*G679*(1-$AC$1786)*(1+$AC$1788)),""),"")),"not NVP, by"))))))))</f>
        <v/>
      </c>
      <c r="AC679" s="830"/>
      <c r="AD679" s="375" t="str">
        <f t="shared" si="1724"/>
        <v/>
      </c>
      <c r="AE679" s="833" t="str">
        <f t="shared" si="1605"/>
        <v/>
      </c>
      <c r="AF679" s="833"/>
      <c r="AG679" s="833"/>
      <c r="AH679" s="91">
        <f>IF(AD679="free",0,IF(AD679="me",0,IF(G679&gt;0,(VLOOKUP(A679,'Discount Lookup'!J:K,2)*G679),0)))</f>
        <v>0</v>
      </c>
      <c r="AI679" s="92" t="str">
        <f t="shared" si="1767"/>
        <v/>
      </c>
      <c r="AJ679" s="828" t="str">
        <f t="shared" si="1683"/>
        <v/>
      </c>
      <c r="AK679" s="828"/>
      <c r="AL679" s="313" t="str">
        <f t="shared" si="1714"/>
        <v/>
      </c>
      <c r="AM679" s="312"/>
      <c r="AN679" s="101"/>
      <c r="AO679" s="101"/>
      <c r="AP679" s="101"/>
      <c r="AQ679" s="101"/>
      <c r="AR679" s="101"/>
      <c r="AS679" s="101"/>
      <c r="AT679" s="101"/>
    </row>
    <row r="680" spans="1:46" ht="12.95" customHeight="1">
      <c r="A680" s="383">
        <v>7</v>
      </c>
      <c r="B680" s="158" t="s">
        <v>50</v>
      </c>
      <c r="C680" s="160" t="s">
        <v>1291</v>
      </c>
      <c r="D680" s="411" t="s">
        <v>63</v>
      </c>
      <c r="E680" s="162">
        <v>73.95</v>
      </c>
      <c r="F680" s="713" t="s">
        <v>1306</v>
      </c>
      <c r="G680" s="357">
        <v>0</v>
      </c>
      <c r="H680" s="748" t="str">
        <f t="shared" ref="H680" si="1773">IF(G680=0,"",IF(F680="Qty=",IF(G680=1,"plant","plants"),IF(F680&gt;0.0001,"warranty","Error")))</f>
        <v/>
      </c>
      <c r="I680" s="592">
        <f t="shared" ref="I680" si="1774">IF(F680="Qty=",(E680*G680),((E680*(1-F680))*G680))</f>
        <v>0</v>
      </c>
      <c r="J680" s="592">
        <f>IF(H680="warranty",0,(I680*($J$1782)))</f>
        <v>0</v>
      </c>
      <c r="K680" s="834">
        <f t="shared" ref="K680" si="1775">I680+J680</f>
        <v>0</v>
      </c>
      <c r="L680" s="834"/>
      <c r="M680" s="832" t="str">
        <f>IF($H$1784=0,"",IF(G680=0,"",IF(F680="Qty=",CONCATENATE("$",ROUND(K680*(1-$H$1784),2)," with ",($H$1784*100),"% discount"),CONCATENATE("$",ROUND(K680*(1-$H$1784),2)," with ",(($H$1784*100+F680*100)-($H$1784*100*F680)),IF(F680&gt;0,"% discounts",IF($H$1781&gt;0,"% discounts","% discount"))))))</f>
        <v/>
      </c>
      <c r="N680" s="832"/>
      <c r="O680" s="832"/>
      <c r="P680" s="832"/>
      <c r="Q680" s="832"/>
      <c r="R680" s="832"/>
      <c r="S680" s="303">
        <f t="shared" ref="S680" si="1776">E680*G680</f>
        <v>0</v>
      </c>
      <c r="T680" s="541">
        <f>VLOOKUP(A680,'Discount Lookup'!D:E,2,FALSE)*G680</f>
        <v>0</v>
      </c>
      <c r="U680" s="83">
        <f>VLOOKUP(A680,'Discount Lookup'!G:H,2,FALSE)*G680</f>
        <v>0</v>
      </c>
      <c r="V680" s="100">
        <f>E680*($J$1782)*G680</f>
        <v>0</v>
      </c>
      <c r="W680" s="100">
        <f t="shared" ref="W680" si="1777">I680</f>
        <v>0</v>
      </c>
      <c r="X680" s="100" t="b">
        <f>IF(G680&gt;0,IF(AD680="me","",G680))</f>
        <v>0</v>
      </c>
      <c r="Y680" s="201"/>
      <c r="Z680" s="829" t="str">
        <f t="shared" si="1682"/>
        <v/>
      </c>
      <c r="AA680" s="829"/>
      <c r="AB680" s="830" t="str">
        <f>IF(G680=0,"",IF(AD680="free","re-planting",IF(AD680="me","not NVP, by",IF($AD$8="yes",(VLOOKUP(A680,'Discount Lookup'!J:K,2)*G680*(1-$AC$1786)*(1+$AC$1788)),IF(AD680="NVP",(VLOOKUP(A680,'Discount Lookup'!J:K,2)*G680*(1-$AC$1786)*(1+$AC$1788)),IF(AD680="free","re-planting",IF(G680=0,"",IF($AD$8="",IF(AD680="me","not NVP, by",IF(AD680="",IF(G680&gt;0,(VLOOKUP(A680,'Discount Lookup'!J:K,2)*G680*(1-$AC$1786)*(1+$AC$1788)),""),"")),"not NVP, by"))))))))</f>
        <v/>
      </c>
      <c r="AC680" s="830"/>
      <c r="AD680" s="375" t="str">
        <f t="shared" si="1724"/>
        <v/>
      </c>
      <c r="AE680" s="833" t="str">
        <f t="shared" si="1605"/>
        <v/>
      </c>
      <c r="AF680" s="833"/>
      <c r="AG680" s="833"/>
      <c r="AH680" s="91">
        <f>IF(AD680="free",0,IF(AD680="me",0,IF(G680&gt;0,(VLOOKUP(A680,'Discount Lookup'!J:K,2)*G680),0)))</f>
        <v>0</v>
      </c>
      <c r="AI680" s="92" t="str">
        <f t="shared" si="1767"/>
        <v/>
      </c>
      <c r="AJ680" s="828" t="str">
        <f t="shared" si="1683"/>
        <v/>
      </c>
      <c r="AK680" s="828"/>
      <c r="AL680" s="313" t="str">
        <f t="shared" si="1714"/>
        <v/>
      </c>
      <c r="AM680" s="312"/>
      <c r="AN680" s="101"/>
      <c r="AO680" s="101"/>
      <c r="AP680" s="101"/>
      <c r="AQ680" s="101"/>
      <c r="AR680" s="101"/>
      <c r="AS680" s="101"/>
      <c r="AT680" s="101"/>
    </row>
    <row r="681" spans="1:46" ht="12.95" customHeight="1">
      <c r="A681" s="472"/>
      <c r="B681" s="173" t="s">
        <v>437</v>
      </c>
      <c r="C681" s="117"/>
      <c r="D681" s="118"/>
      <c r="E681" s="119"/>
      <c r="F681" s="711"/>
      <c r="G681" s="356"/>
      <c r="H681" s="745"/>
      <c r="I681" s="119"/>
      <c r="J681" s="119"/>
      <c r="K681" s="609"/>
      <c r="L681" s="609"/>
      <c r="M681" s="121"/>
      <c r="N681" s="121"/>
      <c r="O681" s="123"/>
      <c r="P681" s="124"/>
      <c r="Q681" s="124"/>
      <c r="R681" s="83"/>
      <c r="S681" s="82">
        <f>E681*G681</f>
        <v>0</v>
      </c>
      <c r="T681" s="540"/>
      <c r="U681" s="83"/>
      <c r="V681" s="100" t="b">
        <f>IF(G681&gt;0,IF(AD681="me","",G681))</f>
        <v>0</v>
      </c>
      <c r="W681" s="100"/>
      <c r="X681" s="100"/>
      <c r="Y681" s="201"/>
      <c r="Z681" s="829" t="str">
        <f t="shared" si="1682"/>
        <v/>
      </c>
      <c r="AA681" s="829"/>
      <c r="AB681" s="830" t="str">
        <f>IF(G681=0,"",IF(AD681="free","re-planting",IF(AD681="me","not NVP, by",IF($AD$8="yes",(VLOOKUP(A681,'Discount Lookup'!J:K,2)*G681*(1-$AC$1786)*(1+$AC$1788)),IF(AD681="NVP",(VLOOKUP(A681,'Discount Lookup'!J:K,2)*G681*(1-$AC$1786)*(1+$AC$1788)),IF(AD681="free","re-planting",IF(G681=0,"",IF($AD$8="",IF(AD681="me","not NVP, by",IF(AD681="",IF(G681&gt;0,(VLOOKUP(A681,'Discount Lookup'!J:K,2)*G681*(1-$AC$1786)*(1+$AC$1788)),""),"")),"not NVP, by"))))))))</f>
        <v/>
      </c>
      <c r="AC681" s="830"/>
      <c r="AD681" s="375" t="str">
        <f t="shared" si="1724"/>
        <v/>
      </c>
      <c r="AE681" s="833" t="str">
        <f t="shared" ref="AE681:AE750" si="1778">IF(G681&gt;0,(CONCATENATE((G681)," quantity, ",(A681)," ",B681)),"")</f>
        <v/>
      </c>
      <c r="AF681" s="833"/>
      <c r="AG681" s="833"/>
      <c r="AH681" s="91">
        <f>IF(AD681="free",0,IF(AD681="me",0,IF(G681&gt;0,(VLOOKUP(A681,'Discount Lookup'!J:K,2)*G681),0)))</f>
        <v>0</v>
      </c>
      <c r="AI681" s="92" t="str">
        <f t="shared" si="1767"/>
        <v/>
      </c>
      <c r="AJ681" s="828" t="str">
        <f t="shared" si="1683"/>
        <v/>
      </c>
      <c r="AK681" s="828"/>
      <c r="AL681" s="313" t="str">
        <f t="shared" si="1714"/>
        <v/>
      </c>
      <c r="AM681" s="312"/>
      <c r="AN681" s="101"/>
      <c r="AO681" s="101"/>
      <c r="AP681" s="101"/>
      <c r="AQ681" s="101"/>
      <c r="AR681" s="101"/>
      <c r="AS681" s="101"/>
      <c r="AT681" s="101"/>
    </row>
    <row r="682" spans="1:46" ht="12.95" customHeight="1">
      <c r="A682" s="894" t="s">
        <v>438</v>
      </c>
      <c r="B682" s="895"/>
      <c r="C682" s="895"/>
      <c r="D682" s="895"/>
      <c r="E682" s="895"/>
      <c r="F682" s="895"/>
      <c r="G682" s="895"/>
      <c r="H682" s="775" t="s">
        <v>439</v>
      </c>
      <c r="I682" s="349" t="s">
        <v>280</v>
      </c>
      <c r="J682" s="157"/>
      <c r="K682" s="611" t="s">
        <v>45</v>
      </c>
      <c r="L682" s="630" t="s">
        <v>46</v>
      </c>
      <c r="M682" s="157"/>
      <c r="N682" s="158" t="s">
        <v>98</v>
      </c>
      <c r="O682" s="158"/>
      <c r="P682" s="164"/>
      <c r="Q682" s="164"/>
      <c r="R682" s="157"/>
      <c r="S682" s="170"/>
      <c r="T682" s="547"/>
      <c r="U682" s="171"/>
      <c r="V682" s="100" t="b">
        <f>IF(G682&gt;0,IF(AD682="me","",G682))</f>
        <v>0</v>
      </c>
      <c r="W682" s="100"/>
      <c r="X682" s="100"/>
      <c r="Y682" s="201"/>
      <c r="Z682" s="829" t="str">
        <f t="shared" si="1682"/>
        <v/>
      </c>
      <c r="AA682" s="829"/>
      <c r="AB682" s="830" t="str">
        <f>IF(G682=0,"",IF(AD682="free","re-planting",IF(AD682="me","not NVP, by",IF($AD$8="yes",(VLOOKUP(A682,'Discount Lookup'!J:K,2)*G682*(1-$AC$1786)*(1+$AC$1788)),IF(AD682="NVP",(VLOOKUP(A682,'Discount Lookup'!J:K,2)*G682*(1-$AC$1786)*(1+$AC$1788)),IF(AD682="free","re-planting",IF(G682=0,"",IF($AD$8="",IF(AD682="me","not NVP, by",IF(AD682="",IF(G682&gt;0,(VLOOKUP(A682,'Discount Lookup'!J:K,2)*G682*(1-$AC$1786)*(1+$AC$1788)),""),"")),"not NVP, by"))))))))</f>
        <v/>
      </c>
      <c r="AC682" s="830"/>
      <c r="AD682" s="375" t="str">
        <f t="shared" si="1724"/>
        <v/>
      </c>
      <c r="AE682" s="833" t="str">
        <f t="shared" ref="AE682:AE687" si="1779">IF(G682&gt;0,(CONCATENATE((G682)," quantity, ",(A682)," ",B682)),"")</f>
        <v/>
      </c>
      <c r="AF682" s="833"/>
      <c r="AG682" s="833"/>
      <c r="AH682" s="91" t="str">
        <f>IF(AD682="free",0,IF(AD682="me","",IF(G682&gt;0,(VLOOKUP(A682,'Discount Lookup'!J:K,2)*G682),"")))</f>
        <v/>
      </c>
      <c r="AI682" s="92" t="str">
        <f t="shared" si="1767"/>
        <v/>
      </c>
      <c r="AJ682" s="828" t="str">
        <f t="shared" si="1683"/>
        <v/>
      </c>
      <c r="AK682" s="828"/>
      <c r="AL682" s="313" t="str">
        <f t="shared" si="1714"/>
        <v/>
      </c>
      <c r="AM682" s="312"/>
      <c r="AN682" s="101"/>
      <c r="AO682" s="101"/>
      <c r="AP682" s="101"/>
      <c r="AQ682" s="101"/>
      <c r="AR682" s="101"/>
      <c r="AS682" s="101"/>
      <c r="AT682" s="101"/>
    </row>
    <row r="683" spans="1:46" ht="12.75" customHeight="1">
      <c r="A683" s="383">
        <v>15</v>
      </c>
      <c r="B683" s="158" t="s">
        <v>50</v>
      </c>
      <c r="C683" s="160" t="s">
        <v>137</v>
      </c>
      <c r="D683" s="161" t="s">
        <v>54</v>
      </c>
      <c r="E683" s="162">
        <v>201.95</v>
      </c>
      <c r="F683" s="713" t="s">
        <v>1306</v>
      </c>
      <c r="G683" s="357">
        <v>0</v>
      </c>
      <c r="H683" s="748" t="str">
        <f t="shared" ref="H683" si="1780">IF(G683=0,"",IF(F683="Qty=",IF(G683=1,"plant","plants"),IF(F683&gt;0.0001,"warranty","Error")))</f>
        <v/>
      </c>
      <c r="I683" s="592">
        <f t="shared" ref="I683" si="1781">IF(F683="Qty=",(E683*G683),((E683*(1-F683))*G683))</f>
        <v>0</v>
      </c>
      <c r="J683" s="592">
        <f>IF(H683="warranty",0,(I683*($J$1782)))</f>
        <v>0</v>
      </c>
      <c r="K683" s="834">
        <f t="shared" ref="K683" si="1782">I683+J683</f>
        <v>0</v>
      </c>
      <c r="L683" s="834"/>
      <c r="M683" s="832" t="str">
        <f>IF($H$1784=0,"",IF(G683=0,"",IF(F683="Qty=",CONCATENATE("$",ROUND(K683*(1-$H$1784),2)," with ",($H$1784*100),"% discount"),CONCATENATE("$",ROUND(K683*(1-$H$1784),2)," with ",(($H$1784*100+F683*100)-($H$1784*100*F683)),IF(F683&gt;0,"% discounts",IF($H$1781&gt;0,"% discounts","% discount"))))))</f>
        <v/>
      </c>
      <c r="N683" s="832"/>
      <c r="O683" s="832"/>
      <c r="P683" s="832"/>
      <c r="Q683" s="832"/>
      <c r="R683" s="832"/>
      <c r="S683" s="303">
        <f t="shared" ref="S683" si="1783">E683*G683</f>
        <v>0</v>
      </c>
      <c r="T683" s="541">
        <f>VLOOKUP(A683,'Discount Lookup'!D:E,2,FALSE)*G683</f>
        <v>0</v>
      </c>
      <c r="U683" s="83">
        <f>VLOOKUP(A683,'Discount Lookup'!G:H,2,FALSE)*G683</f>
        <v>0</v>
      </c>
      <c r="V683" s="100">
        <f>E683*($J$1782)*G683</f>
        <v>0</v>
      </c>
      <c r="W683" s="100">
        <f t="shared" ref="W683" si="1784">I683</f>
        <v>0</v>
      </c>
      <c r="X683" s="100" t="b">
        <f>IF(G683&gt;0,IF(AD683="me","",G683))</f>
        <v>0</v>
      </c>
      <c r="Y683" s="201"/>
      <c r="Z683" s="829" t="str">
        <f t="shared" si="1682"/>
        <v/>
      </c>
      <c r="AA683" s="829"/>
      <c r="AB683" s="830" t="str">
        <f>IF(G683=0,"",IF(AD683="free","re-planting",IF(AD683="me","not NVP, by",IF($AD$8="yes",(VLOOKUP(A683,'Discount Lookup'!J:K,2)*G683*(1-$AC$1786)*(1+$AC$1788)),IF(AD683="NVP",(VLOOKUP(A683,'Discount Lookup'!J:K,2)*G683*(1-$AC$1786)*(1+$AC$1788)),IF(AD683="free","re-planting",IF(G683=0,"",IF($AD$8="",IF(AD683="me","not NVP, by",IF(AD683="",IF(G683&gt;0,(VLOOKUP(A683,'Discount Lookup'!J:K,2)*G683*(1-$AC$1786)*(1+$AC$1788)),""),"")),"not NVP, by"))))))))</f>
        <v/>
      </c>
      <c r="AC683" s="830"/>
      <c r="AD683" s="375" t="str">
        <f t="shared" si="1724"/>
        <v/>
      </c>
      <c r="AE683" s="833" t="str">
        <f t="shared" si="1779"/>
        <v/>
      </c>
      <c r="AF683" s="833"/>
      <c r="AG683" s="833"/>
      <c r="AH683" s="91" t="str">
        <f>IF(AD683="free",0,IF(AD683="me","",IF(G683&gt;0,(VLOOKUP(A683,'Discount Lookup'!J:K,2)*G683),"")))</f>
        <v/>
      </c>
      <c r="AI683" s="92" t="str">
        <f t="shared" si="1767"/>
        <v/>
      </c>
      <c r="AJ683" s="828" t="str">
        <f t="shared" si="1683"/>
        <v/>
      </c>
      <c r="AK683" s="828"/>
      <c r="AL683" s="313" t="str">
        <f t="shared" si="1714"/>
        <v/>
      </c>
      <c r="AM683" s="312"/>
      <c r="AN683" s="101"/>
      <c r="AO683" s="101"/>
      <c r="AP683" s="101"/>
      <c r="AQ683" s="101"/>
      <c r="AR683" s="101"/>
      <c r="AS683" s="101"/>
      <c r="AT683" s="101"/>
    </row>
    <row r="684" spans="1:46" ht="12.75" customHeight="1">
      <c r="A684" s="481"/>
      <c r="B684" s="173" t="s">
        <v>440</v>
      </c>
      <c r="C684" s="146"/>
      <c r="G684" s="361"/>
      <c r="H684" s="746"/>
      <c r="M684" s="48"/>
      <c r="N684" s="122" t="s">
        <v>331</v>
      </c>
      <c r="O684" s="123"/>
      <c r="P684" s="124"/>
      <c r="Y684" s="132"/>
      <c r="Z684" s="829" t="str">
        <f t="shared" si="1682"/>
        <v/>
      </c>
      <c r="AA684" s="829"/>
      <c r="AB684" s="830" t="str">
        <f>IF(G684=0,"",IF(AD684="free","re-planting",IF(AD684="me","not NVP, by",IF($AD$8="yes",(VLOOKUP(A684,'Discount Lookup'!J:K,2)*G684*(1-$AC$1786)*(1+$AC$1788)),IF(AD684="NVP",(VLOOKUP(A684,'Discount Lookup'!J:K,2)*G684*(1-$AC$1786)*(1+$AC$1788)),IF(AD684="free","re-planting",IF(G684=0,"",IF($AD$8="",IF(AD684="me","not NVP, by",IF(AD684="",IF(G684&gt;0,(VLOOKUP(A684,'Discount Lookup'!J:K,2)*G684*(1-$AC$1786)*(1+$AC$1788)),""),"")),"not NVP, by"))))))))</f>
        <v/>
      </c>
      <c r="AC684" s="830"/>
      <c r="AD684" s="375" t="str">
        <f t="shared" si="1724"/>
        <v/>
      </c>
      <c r="AE684" s="833" t="str">
        <f t="shared" si="1779"/>
        <v/>
      </c>
      <c r="AF684" s="833"/>
      <c r="AG684" s="833"/>
      <c r="AH684" s="91" t="str">
        <f>IF(AD684="free",0,IF(AD684="me","",IF(G684&gt;0,(VLOOKUP(A684,'Discount Lookup'!J:K,2)*G684),"")))</f>
        <v/>
      </c>
      <c r="AI684" s="92" t="str">
        <f t="shared" si="1767"/>
        <v/>
      </c>
      <c r="AJ684" s="828" t="str">
        <f t="shared" si="1683"/>
        <v/>
      </c>
      <c r="AK684" s="828"/>
      <c r="AL684" s="313" t="str">
        <f t="shared" si="1714"/>
        <v/>
      </c>
      <c r="AM684" s="312"/>
      <c r="AN684" s="101"/>
      <c r="AO684" s="101"/>
      <c r="AP684" s="101"/>
      <c r="AQ684" s="101"/>
      <c r="AR684" s="101"/>
      <c r="AS684" s="101"/>
      <c r="AT684" s="101"/>
    </row>
    <row r="685" spans="1:46" ht="12.95" customHeight="1">
      <c r="A685" s="903" t="s">
        <v>957</v>
      </c>
      <c r="B685" s="890"/>
      <c r="C685" s="890"/>
      <c r="D685" s="890"/>
      <c r="E685" s="890"/>
      <c r="F685" s="890"/>
      <c r="G685" s="890"/>
      <c r="H685" s="775" t="s">
        <v>521</v>
      </c>
      <c r="I685" s="164" t="s">
        <v>79</v>
      </c>
      <c r="J685" s="157"/>
      <c r="K685" s="611" t="s">
        <v>45</v>
      </c>
      <c r="L685" s="631" t="s">
        <v>46</v>
      </c>
      <c r="M685" s="48"/>
      <c r="N685" s="158" t="s">
        <v>1615</v>
      </c>
      <c r="O685" s="158"/>
      <c r="P685" s="158"/>
      <c r="Q685" s="804"/>
      <c r="R685" s="157"/>
      <c r="S685" s="170"/>
      <c r="T685" s="547"/>
      <c r="U685" s="159"/>
      <c r="V685" s="100" t="b">
        <f>IF(G685&gt;0,IF(AD685="me","",G685))</f>
        <v>0</v>
      </c>
      <c r="W685" s="100"/>
      <c r="X685" s="100"/>
      <c r="Y685" s="201"/>
      <c r="Z685" s="829" t="str">
        <f>IF(G685=0,"",IF(AD685="me","",IF($AD$8="me","",IF(AD685="free","warranty",IF($AD$8="yes","NVP planting:","to NVP install:")))))</f>
        <v/>
      </c>
      <c r="AA685" s="829"/>
      <c r="AB685" s="830" t="str">
        <f>IF(G685=0,"",IF(AD685="free","re-planting",IF(AD685="me","not NVP, by",IF($AD$8="yes",(VLOOKUP(A685,'Discount Lookup'!J:K,2)*G685*(1-$AC$1786)*(1+$AC$1788)),IF(AD685="NVP",(VLOOKUP(A685,'Discount Lookup'!J:K,2)*G685*(1-$AC$1786)*(1+$AC$1788)),IF(AD685="free","re-planting",IF(G685=0,"",IF($AD$8="",IF(AD685="me","not NVP, by",IF(AD685="",IF(G685&gt;0,(VLOOKUP(A685,'Discount Lookup'!J:K,2)*G685*(1-$AC$1786)*(1+$AC$1788)),""),"")),"not NVP, by"))))))))</f>
        <v/>
      </c>
      <c r="AC685" s="830"/>
      <c r="AD685" s="375" t="str">
        <f>IF(G685=0,"",IF($AD$8="me","me",IF(H685="warranty","free",IF($AD$8="yes","NVP",""))))</f>
        <v/>
      </c>
      <c r="AE685" s="833" t="str">
        <f t="shared" si="1779"/>
        <v/>
      </c>
      <c r="AF685" s="833"/>
      <c r="AG685" s="833"/>
      <c r="AH685" s="91" t="s">
        <v>109</v>
      </c>
      <c r="AI685" s="92" t="str">
        <f t="shared" si="1767"/>
        <v/>
      </c>
      <c r="AJ685" s="828" t="str">
        <f>IF(G685=0,"",IF(AD685="me","  delivery-only",CONCATENATE(" $",ROUND(AI685/G685,2)," each")))</f>
        <v/>
      </c>
      <c r="AK685" s="828"/>
      <c r="AL685" s="313" t="str">
        <f t="shared" si="1714"/>
        <v/>
      </c>
      <c r="AM685" s="312"/>
      <c r="AN685" s="101"/>
      <c r="AO685" s="101"/>
      <c r="AP685" s="101"/>
      <c r="AQ685" s="101"/>
      <c r="AR685" s="101"/>
      <c r="AS685" s="101"/>
      <c r="AT685" s="101"/>
    </row>
    <row r="686" spans="1:46" ht="12.95" customHeight="1">
      <c r="A686" s="448">
        <v>15</v>
      </c>
      <c r="B686" s="158" t="s">
        <v>50</v>
      </c>
      <c r="C686" s="160" t="s">
        <v>80</v>
      </c>
      <c r="D686" s="161" t="s">
        <v>54</v>
      </c>
      <c r="E686" s="162">
        <v>401.95</v>
      </c>
      <c r="F686" s="713" t="s">
        <v>1306</v>
      </c>
      <c r="G686" s="357">
        <v>0</v>
      </c>
      <c r="H686" s="748" t="str">
        <f t="shared" ref="H686" si="1785">IF(G686=0,"",IF(F686="Qty=",IF(G686=1,"plant","plants"),IF(F686&gt;0.0001,"warranty","Error")))</f>
        <v/>
      </c>
      <c r="I686" s="592">
        <f t="shared" ref="I686" si="1786">IF(F686="Qty=",(E686*G686),((E686*(1-F686))*G686))</f>
        <v>0</v>
      </c>
      <c r="J686" s="592">
        <f>IF(H686="warranty",0,(I686*($J$1782)))</f>
        <v>0</v>
      </c>
      <c r="K686" s="834">
        <f t="shared" ref="K686" si="1787">I686+J686</f>
        <v>0</v>
      </c>
      <c r="L686" s="834"/>
      <c r="M686" s="832" t="str">
        <f>IF($H$1784=0,"",IF(G686=0,"",IF(F686="Qty=",CONCATENATE("$",ROUND(K686*(1-$H$1784),2)," with ",($H$1784*100),"% discount"),CONCATENATE("$",ROUND(K686*(1-$H$1784),2)," with ",(($H$1784*100+F686*100)-($H$1784*100*F686)),IF(F686&gt;0,"% discounts",IF($H$1781&gt;0,"% discounts","% discount"))))))</f>
        <v/>
      </c>
      <c r="N686" s="832"/>
      <c r="O686" s="832"/>
      <c r="P686" s="832"/>
      <c r="Q686" s="832"/>
      <c r="R686" s="832"/>
      <c r="S686" s="303">
        <f t="shared" ref="S686" si="1788">E686*G686</f>
        <v>0</v>
      </c>
      <c r="T686" s="541">
        <f>VLOOKUP(A686,'Discount Lookup'!D:E,2,FALSE)*G686</f>
        <v>0</v>
      </c>
      <c r="U686" s="83">
        <f>VLOOKUP(A686,'Discount Lookup'!G:H,2,FALSE)*G686</f>
        <v>0</v>
      </c>
      <c r="V686" s="100">
        <f>E686*($J$1782)*G686</f>
        <v>0</v>
      </c>
      <c r="W686" s="100">
        <f t="shared" ref="W686" si="1789">I686</f>
        <v>0</v>
      </c>
      <c r="X686" s="100" t="b">
        <f>IF(G686&gt;0,IF(AD686="me","",G686))</f>
        <v>0</v>
      </c>
      <c r="Y686" s="790"/>
      <c r="Z686" s="838" t="str">
        <f>IF(G686=0,"",IF(AD686="me","",IF($AD$8="me","",IF(AD686="free","warranty",IF($AD$8="yes","NVP planting:","to NVP install:")))))</f>
        <v/>
      </c>
      <c r="AA686" s="838"/>
      <c r="AB686" s="830" t="str">
        <f>IF(G686=0,"",IF(AD686="free","re-planting",IF(AD686="me","not NVP, by",IF($AD$8="yes",(VLOOKUP(A686,'Discount Lookup'!J:K,2)*G686*(1-$AC$1786)*(1+$AC$1788)),IF(AD686="NVP",(VLOOKUP(A686,'Discount Lookup'!J:K,2)*G686*(1-$AC$1786)*(1+$AC$1788)),IF(AD686="free","re-planting",IF(G686=0,"",IF($AD$8="",IF(AD686="me","not NVP, by",IF(AD686="",IF(G686&gt;0,(VLOOKUP(A686,'Discount Lookup'!J:K,2)*G686*(1-$AC$1786)*(1+$AC$1788)),""),"")),"not NVP, by"))))))))</f>
        <v/>
      </c>
      <c r="AC686" s="830"/>
      <c r="AD686" s="375" t="str">
        <f>IF(G686=0,"",IF($AD$8="me","me",IF(H686="warranty","free",IF($AD$8="yes","NVP",""))))</f>
        <v/>
      </c>
      <c r="AE686" s="833" t="str">
        <f t="shared" si="1779"/>
        <v/>
      </c>
      <c r="AF686" s="833"/>
      <c r="AG686" s="833"/>
      <c r="AH686" s="91" t="str">
        <f>IF(AD686="free",0,IF(AD686="me","",IF(G686&gt;0,(VLOOKUP(A686,'Discount Lookup'!J:K,2)*G686),"")))</f>
        <v/>
      </c>
      <c r="AI686" s="92" t="str">
        <f t="shared" si="1767"/>
        <v/>
      </c>
      <c r="AJ686" s="828" t="str">
        <f>IF(G686=0,"",IF(AD686="me","  delivery-only",CONCATENATE(" $",ROUND(AI686/G686,2)," each")))</f>
        <v/>
      </c>
      <c r="AK686" s="828"/>
      <c r="AL686" s="313" t="str">
        <f t="shared" si="1714"/>
        <v/>
      </c>
      <c r="AM686" s="312"/>
      <c r="AN686" s="101"/>
      <c r="AO686" s="101"/>
      <c r="AP686" s="101"/>
      <c r="AQ686" s="101"/>
      <c r="AR686" s="101"/>
      <c r="AS686" s="101"/>
      <c r="AT686" s="101"/>
    </row>
    <row r="687" spans="1:46" ht="12.95" customHeight="1">
      <c r="A687" s="503"/>
      <c r="B687" s="173" t="s">
        <v>1645</v>
      </c>
      <c r="C687" s="104"/>
      <c r="D687" s="104"/>
      <c r="E687" s="105"/>
      <c r="F687" s="709"/>
      <c r="G687" s="358"/>
      <c r="H687" s="743"/>
      <c r="I687" s="102"/>
      <c r="J687" s="102"/>
      <c r="K687" s="607"/>
      <c r="L687" s="607"/>
      <c r="M687" s="121"/>
      <c r="N687" s="121"/>
      <c r="O687" s="123"/>
      <c r="P687" s="124"/>
      <c r="Q687" s="124"/>
      <c r="R687" s="83"/>
      <c r="S687" s="82"/>
      <c r="T687" s="540"/>
      <c r="U687" s="83"/>
      <c r="V687" s="100" t="b">
        <f>IF(G687&gt;0,IF(AD687="me","",G687))</f>
        <v>0</v>
      </c>
      <c r="W687" s="100"/>
      <c r="X687" s="100"/>
      <c r="Y687" s="790"/>
      <c r="Z687" s="838" t="str">
        <f>IF(G687=0,"",IF(AD687="me","",IF($AD$8="me","",IF(AD687="free","warranty",IF($AD$8="yes","NVP planting:","to NVP install:")))))</f>
        <v/>
      </c>
      <c r="AA687" s="838"/>
      <c r="AB687" s="830" t="str">
        <f>IF(G687=0,"",IF(AD687="free","re-planting",IF(AD687="me","not NVP, by",IF($AD$8="yes",(VLOOKUP(A687,'Discount Lookup'!J:K,2)*G687*(1-$AC$1786)*(1+$AC$1788)),IF(AD687="NVP",(VLOOKUP(A687,'Discount Lookup'!J:K,2)*G687*(1-$AC$1786)*(1+$AC$1788)),IF(AD687="free","re-planting",IF(G687=0,"",IF($AD$8="",IF(AD687="me","not NVP, by",IF(AD687="",IF(G687&gt;0,(VLOOKUP(A687,'Discount Lookup'!J:K,2)*G687*(1-$AC$1786)*(1+$AC$1788)),""),"")),"not NVP, by"))))))))</f>
        <v/>
      </c>
      <c r="AC687" s="830"/>
      <c r="AD687" s="375" t="str">
        <f>IF(G687=0,"",IF($AD$8="me","me",IF(H687="warranty","free",IF($AD$8="yes","NVP",""))))</f>
        <v/>
      </c>
      <c r="AE687" s="833" t="str">
        <f t="shared" si="1779"/>
        <v/>
      </c>
      <c r="AF687" s="833"/>
      <c r="AG687" s="833"/>
      <c r="AH687" s="91" t="s">
        <v>109</v>
      </c>
      <c r="AI687" s="92" t="str">
        <f t="shared" si="1767"/>
        <v/>
      </c>
      <c r="AJ687" s="828" t="str">
        <f>IF(G687=0,"",IF(AD687="me","  delivery-only",CONCATENATE(" $",ROUND(AI687/G687,2)," each")))</f>
        <v/>
      </c>
      <c r="AK687" s="828"/>
      <c r="AL687" s="313" t="str">
        <f t="shared" si="1714"/>
        <v/>
      </c>
      <c r="AM687" s="312"/>
      <c r="AN687" s="101"/>
      <c r="AO687" s="101"/>
      <c r="AP687" s="101"/>
      <c r="AQ687" s="101"/>
      <c r="AR687" s="101"/>
      <c r="AS687" s="101"/>
      <c r="AT687" s="101"/>
    </row>
    <row r="688" spans="1:46" ht="12.75" customHeight="1">
      <c r="A688" s="889" t="s">
        <v>441</v>
      </c>
      <c r="B688" s="890"/>
      <c r="C688" s="890"/>
      <c r="D688" s="890"/>
      <c r="E688" s="890"/>
      <c r="F688" s="890"/>
      <c r="G688" s="890"/>
      <c r="H688" s="775" t="s">
        <v>442</v>
      </c>
      <c r="I688" s="349" t="s">
        <v>280</v>
      </c>
      <c r="J688" s="157"/>
      <c r="K688" s="611" t="s">
        <v>45</v>
      </c>
      <c r="L688" s="630" t="s">
        <v>46</v>
      </c>
      <c r="M688" s="157"/>
      <c r="N688" s="158" t="s">
        <v>69</v>
      </c>
      <c r="O688" s="158"/>
      <c r="P688" s="164"/>
      <c r="Q688" s="164"/>
      <c r="R688" s="157"/>
      <c r="S688" s="170"/>
      <c r="T688" s="547"/>
      <c r="U688" s="171"/>
      <c r="V688" s="100" t="b">
        <f>IF(G688&gt;0,IF(AD688="me","",G688))</f>
        <v>0</v>
      </c>
      <c r="W688" s="100"/>
      <c r="X688" s="100"/>
      <c r="Y688" s="201"/>
      <c r="Z688" s="829" t="str">
        <f t="shared" si="1682"/>
        <v/>
      </c>
      <c r="AA688" s="829"/>
      <c r="AB688" s="830" t="str">
        <f>IF(G688=0,"",IF(AD688="free","re-planting",IF(AD688="me","not NVP, by",IF($AD$8="yes",(VLOOKUP(A688,'Discount Lookup'!J:K,2)*G688*(1-$AC$1786)*(1+$AC$1788)),IF(AD688="NVP",(VLOOKUP(A688,'Discount Lookup'!J:K,2)*G688*(1-$AC$1786)*(1+$AC$1788)),IF(AD688="free","re-planting",IF(G688=0,"",IF($AD$8="",IF(AD688="me","not NVP, by",IF(AD688="",IF(G688&gt;0,(VLOOKUP(A688,'Discount Lookup'!J:K,2)*G688*(1-$AC$1786)*(1+$AC$1788)),""),"")),"not NVP, by"))))))))</f>
        <v/>
      </c>
      <c r="AC688" s="830"/>
      <c r="AD688" s="375" t="str">
        <f t="shared" si="1724"/>
        <v/>
      </c>
      <c r="AE688" s="833" t="str">
        <f t="shared" si="1778"/>
        <v/>
      </c>
      <c r="AF688" s="833"/>
      <c r="AG688" s="833"/>
      <c r="AH688" s="91">
        <f>IF(AD688="free",0,IF(AD688="me",0,IF(G688&gt;0,(VLOOKUP(A688,'Discount Lookup'!J:K,2)*G688),0)))</f>
        <v>0</v>
      </c>
      <c r="AI688" s="92" t="str">
        <f t="shared" si="1767"/>
        <v/>
      </c>
      <c r="AJ688" s="828" t="str">
        <f t="shared" si="1683"/>
        <v/>
      </c>
      <c r="AK688" s="828"/>
      <c r="AL688" s="313" t="str">
        <f t="shared" si="1714"/>
        <v/>
      </c>
      <c r="AM688" s="312"/>
      <c r="AN688" s="101"/>
      <c r="AO688" s="101"/>
      <c r="AP688" s="101"/>
      <c r="AQ688" s="101"/>
      <c r="AR688" s="101"/>
      <c r="AS688" s="101"/>
      <c r="AT688" s="101"/>
    </row>
    <row r="689" spans="1:46" ht="12.75" customHeight="1">
      <c r="A689" s="383">
        <v>15</v>
      </c>
      <c r="B689" s="158" t="s">
        <v>50</v>
      </c>
      <c r="C689" s="160" t="s">
        <v>1612</v>
      </c>
      <c r="D689" s="161" t="s">
        <v>54</v>
      </c>
      <c r="E689" s="162">
        <v>194.95</v>
      </c>
      <c r="F689" s="713" t="s">
        <v>1306</v>
      </c>
      <c r="G689" s="357">
        <v>0</v>
      </c>
      <c r="H689" s="748" t="str">
        <f t="shared" ref="H689" si="1790">IF(G689=0,"",IF(F689="Qty=",IF(G689=1,"plant","plants"),IF(F689&gt;0.0001,"warranty","Error")))</f>
        <v/>
      </c>
      <c r="I689" s="592">
        <f t="shared" ref="I689" si="1791">IF(F689="Qty=",(E689*G689),((E689*(1-F689))*G689))</f>
        <v>0</v>
      </c>
      <c r="J689" s="592">
        <f>IF(H689="warranty",0,(I689*($J$1782)))</f>
        <v>0</v>
      </c>
      <c r="K689" s="834">
        <f t="shared" ref="K689" si="1792">I689+J689</f>
        <v>0</v>
      </c>
      <c r="L689" s="834"/>
      <c r="M689" s="832" t="str">
        <f>IF($H$1784=0,"",IF(G689=0,"",IF(F689="Qty=",CONCATENATE("$",ROUND(K689*(1-$H$1784),2)," with ",($H$1784*100),"% discount"),CONCATENATE("$",ROUND(K689*(1-$H$1784),2)," with ",(($H$1784*100+F689*100)-($H$1784*100*F689)),IF(F689&gt;0,"% discounts",IF($H$1781&gt;0,"% discounts","% discount"))))))</f>
        <v/>
      </c>
      <c r="N689" s="832"/>
      <c r="O689" s="832"/>
      <c r="P689" s="832"/>
      <c r="Q689" s="832"/>
      <c r="R689" s="832"/>
      <c r="S689" s="303">
        <f t="shared" ref="S689" si="1793">E689*G689</f>
        <v>0</v>
      </c>
      <c r="T689" s="541">
        <f>VLOOKUP(A689,'Discount Lookup'!D:E,2,FALSE)*G689</f>
        <v>0</v>
      </c>
      <c r="U689" s="83">
        <f>VLOOKUP(A689,'Discount Lookup'!G:H,2,FALSE)*G689</f>
        <v>0</v>
      </c>
      <c r="V689" s="100">
        <f>E689*($J$1782)*G689</f>
        <v>0</v>
      </c>
      <c r="W689" s="100">
        <f t="shared" ref="W689" si="1794">I689</f>
        <v>0</v>
      </c>
      <c r="X689" s="100" t="b">
        <f>IF(G689&gt;0,IF(AD689="me","",G689))</f>
        <v>0</v>
      </c>
      <c r="Y689" s="201"/>
      <c r="Z689" s="829" t="str">
        <f t="shared" si="1682"/>
        <v/>
      </c>
      <c r="AA689" s="829"/>
      <c r="AB689" s="830" t="str">
        <f>IF(G689=0,"",IF(AD689="free","re-planting",IF(AD689="me","not NVP, by",IF($AD$8="yes",(VLOOKUP(A689,'Discount Lookup'!J:K,2)*G689*(1-$AC$1786)*(1+$AC$1788)),IF(AD689="NVP",(VLOOKUP(A689,'Discount Lookup'!J:K,2)*G689*(1-$AC$1786)*(1+$AC$1788)),IF(AD689="free","re-planting",IF(G689=0,"",IF($AD$8="",IF(AD689="me","not NVP, by",IF(AD689="",IF(G689&gt;0,(VLOOKUP(A689,'Discount Lookup'!J:K,2)*G689*(1-$AC$1786)*(1+$AC$1788)),""),"")),"not NVP, by"))))))))</f>
        <v/>
      </c>
      <c r="AC689" s="830"/>
      <c r="AD689" s="375" t="str">
        <f t="shared" si="1724"/>
        <v/>
      </c>
      <c r="AE689" s="833" t="str">
        <f t="shared" si="1778"/>
        <v/>
      </c>
      <c r="AF689" s="833"/>
      <c r="AG689" s="833"/>
      <c r="AH689" s="91">
        <f>IF(AD689="free",0,IF(AD689="me",0,IF(G689&gt;0,(VLOOKUP(A689,'Discount Lookup'!J:K,2)*G689),0)))</f>
        <v>0</v>
      </c>
      <c r="AI689" s="92" t="str">
        <f t="shared" si="1767"/>
        <v/>
      </c>
      <c r="AJ689" s="828" t="str">
        <f t="shared" si="1683"/>
        <v/>
      </c>
      <c r="AK689" s="828"/>
      <c r="AL689" s="313" t="str">
        <f t="shared" si="1714"/>
        <v/>
      </c>
      <c r="AM689" s="312"/>
      <c r="AN689" s="101"/>
      <c r="AO689" s="101"/>
      <c r="AP689" s="101"/>
      <c r="AQ689" s="101"/>
      <c r="AR689" s="101"/>
      <c r="AS689" s="101"/>
      <c r="AT689" s="101"/>
    </row>
    <row r="690" spans="1:46" ht="12.75" customHeight="1">
      <c r="A690" s="475"/>
      <c r="B690" s="173" t="s">
        <v>443</v>
      </c>
      <c r="C690" s="104"/>
      <c r="D690" s="104"/>
      <c r="E690" s="190"/>
      <c r="F690" s="714"/>
      <c r="G690" s="356"/>
      <c r="H690" s="363"/>
      <c r="I690" s="190"/>
      <c r="J690" s="190"/>
      <c r="K690" s="155"/>
      <c r="L690" s="155"/>
      <c r="M690" s="121"/>
      <c r="N690" s="121"/>
      <c r="O690" s="123"/>
      <c r="P690" s="124"/>
      <c r="Q690" s="124"/>
      <c r="R690" s="83"/>
      <c r="S690" s="82">
        <f>E690*G690</f>
        <v>0</v>
      </c>
      <c r="T690" s="540"/>
      <c r="U690" s="83"/>
      <c r="V690" s="100" t="b">
        <f>IF(G690&gt;0,IF(AD690="me","",G690))</f>
        <v>0</v>
      </c>
      <c r="W690" s="100"/>
      <c r="X690" s="100"/>
      <c r="Y690" s="201"/>
      <c r="Z690" s="829" t="str">
        <f t="shared" si="1682"/>
        <v/>
      </c>
      <c r="AA690" s="829"/>
      <c r="AB690" s="830" t="str">
        <f>IF(G690=0,"",IF(AD690="free","re-planting",IF(AD690="me","not NVP, by",IF($AD$8="yes",(VLOOKUP(A690,'Discount Lookup'!J:K,2)*G690*(1-$AC$1786)*(1+$AC$1788)),IF(AD690="NVP",(VLOOKUP(A690,'Discount Lookup'!J:K,2)*G690*(1-$AC$1786)*(1+$AC$1788)),IF(AD690="free","re-planting",IF(G690=0,"",IF($AD$8="",IF(AD690="me","not NVP, by",IF(AD690="",IF(G690&gt;0,(VLOOKUP(A690,'Discount Lookup'!J:K,2)*G690*(1-$AC$1786)*(1+$AC$1788)),""),"")),"not NVP, by"))))))))</f>
        <v/>
      </c>
      <c r="AC690" s="830"/>
      <c r="AD690" s="375" t="str">
        <f t="shared" si="1724"/>
        <v/>
      </c>
      <c r="AE690" s="833" t="str">
        <f t="shared" si="1778"/>
        <v/>
      </c>
      <c r="AF690" s="833"/>
      <c r="AG690" s="833"/>
      <c r="AH690" s="91">
        <f>IF(AD690="free",0,IF(AD690="me",0,IF(G690&gt;0,(VLOOKUP(A690,'Discount Lookup'!J:K,2)*G690),0)))</f>
        <v>0</v>
      </c>
      <c r="AI690" s="92" t="str">
        <f t="shared" si="1767"/>
        <v/>
      </c>
      <c r="AJ690" s="828" t="str">
        <f t="shared" si="1683"/>
        <v/>
      </c>
      <c r="AK690" s="828"/>
      <c r="AL690" s="313" t="str">
        <f t="shared" si="1714"/>
        <v/>
      </c>
      <c r="AM690" s="312"/>
      <c r="AN690" s="101"/>
      <c r="AO690" s="101"/>
      <c r="AP690" s="101"/>
      <c r="AQ690" s="101"/>
      <c r="AR690" s="101"/>
      <c r="AS690" s="101"/>
      <c r="AT690" s="101"/>
    </row>
    <row r="691" spans="1:46" ht="12.95" customHeight="1">
      <c r="A691" s="903" t="s">
        <v>960</v>
      </c>
      <c r="B691" s="890"/>
      <c r="C691" s="890"/>
      <c r="D691" s="890"/>
      <c r="E691" s="890"/>
      <c r="F691" s="890"/>
      <c r="G691" s="890"/>
      <c r="H691" s="775" t="s">
        <v>535</v>
      </c>
      <c r="I691" s="164" t="s">
        <v>127</v>
      </c>
      <c r="J691" s="157"/>
      <c r="K691" s="611" t="s">
        <v>45</v>
      </c>
      <c r="L691" s="630" t="s">
        <v>46</v>
      </c>
      <c r="M691" s="157"/>
      <c r="N691" s="352" t="s">
        <v>75</v>
      </c>
      <c r="O691" s="158"/>
      <c r="P691" s="164"/>
      <c r="Q691" s="164"/>
      <c r="R691" s="157"/>
      <c r="S691" s="170"/>
      <c r="T691" s="547"/>
      <c r="U691" s="171"/>
      <c r="V691" s="100" t="b">
        <f>IF(G691&gt;0,IF(AD691="me","",G691))</f>
        <v>0</v>
      </c>
      <c r="W691" s="100"/>
      <c r="X691" s="100"/>
      <c r="Y691" s="201"/>
      <c r="Z691" s="829" t="str">
        <f t="shared" ref="Z691:Z696" si="1795">IF(G691=0,"",IF(AD691="me","",IF($AD$8="me","",IF(AD691="free","warranty",IF($AD$8="yes","NVP planting:","to NVP install:")))))</f>
        <v/>
      </c>
      <c r="AA691" s="829"/>
      <c r="AB691" s="830" t="str">
        <f>IF(G691=0,"",IF(AD691="free","re-planting",IF(AD691="me","not NVP, by",IF($AD$8="yes",(VLOOKUP(A691,'Discount Lookup'!J:K,2)*G691*(1-$AC$1786)*(1+$AC$1788)),IF(AD691="NVP",(VLOOKUP(A691,'Discount Lookup'!J:K,2)*G691*(1-$AC$1786)*(1+$AC$1788)),IF(AD691="free","re-planting",IF(G691=0,"",IF($AD$8="",IF(AD691="me","not NVP, by",IF(AD691="",IF(G691&gt;0,(VLOOKUP(A691,'Discount Lookup'!J:K,2)*G691*(1-$AC$1786)*(1+$AC$1788)),""),"")),"not NVP, by"))))))))</f>
        <v/>
      </c>
      <c r="AC691" s="830"/>
      <c r="AD691" s="375" t="str">
        <f t="shared" ref="AD691:AD696" si="1796">IF(G691=0,"",IF($AD$8="me","me",IF(H691="warranty","free",IF($AD$8="yes","NVP",""))))</f>
        <v/>
      </c>
      <c r="AE691" s="833" t="str">
        <f t="shared" ref="AE691:AE696" si="1797">IF(G691&gt;0,(CONCATENATE((G691)," quantity, ",(A691)," ",B691)),"")</f>
        <v/>
      </c>
      <c r="AF691" s="833"/>
      <c r="AG691" s="833"/>
      <c r="AH691" s="91" t="s">
        <v>109</v>
      </c>
      <c r="AI691" s="92" t="str">
        <f t="shared" si="1767"/>
        <v/>
      </c>
      <c r="AJ691" s="828" t="str">
        <f>IF(G691=0,"",IF(AD691="me","  delivery-only",IF($AD$8="me","  delivery-only",CONCATENATE(" $",ROUND(AI691/G691,2)," each"))))</f>
        <v/>
      </c>
      <c r="AK691" s="828"/>
      <c r="AL691" s="313" t="str">
        <f t="shared" si="1714"/>
        <v/>
      </c>
      <c r="AM691" s="312"/>
      <c r="AN691" s="101"/>
      <c r="AO691" s="101"/>
      <c r="AP691" s="101"/>
      <c r="AQ691" s="101"/>
      <c r="AR691" s="101"/>
      <c r="AS691" s="101"/>
      <c r="AT691" s="101"/>
    </row>
    <row r="692" spans="1:46" ht="12.95" customHeight="1">
      <c r="A692" s="448">
        <v>3</v>
      </c>
      <c r="B692" s="158" t="s">
        <v>50</v>
      </c>
      <c r="C692" s="160" t="s">
        <v>51</v>
      </c>
      <c r="D692" s="161" t="s">
        <v>87</v>
      </c>
      <c r="E692" s="162">
        <v>37.950000000000003</v>
      </c>
      <c r="F692" s="713" t="s">
        <v>1306</v>
      </c>
      <c r="G692" s="357">
        <v>0</v>
      </c>
      <c r="H692" s="748" t="str">
        <f t="shared" ref="H692" si="1798">IF(G692=0,"",IF(F692="Qty=",IF(G692=1,"plant","plants"),IF(F692&gt;0.0001,"warranty","Error")))</f>
        <v/>
      </c>
      <c r="I692" s="592">
        <f t="shared" ref="I692" si="1799">IF(F692="Qty=",(E692*G692),((E692*(1-F692))*G692))</f>
        <v>0</v>
      </c>
      <c r="J692" s="592">
        <f>IF(H692="warranty",0,(I692*($J$1782)))</f>
        <v>0</v>
      </c>
      <c r="K692" s="834">
        <f t="shared" ref="K692" si="1800">I692+J692</f>
        <v>0</v>
      </c>
      <c r="L692" s="834"/>
      <c r="M692" s="832" t="str">
        <f>IF($H$1784=0,"",IF(G692=0,"",IF(F692="Qty=",CONCATENATE("$",ROUND(K692*(1-$H$1784),2)," with ",($H$1784*100),"% discount"),CONCATENATE("$",ROUND(K692*(1-$H$1784),2)," with ",(($H$1784*100+F692*100)-($H$1784*100*F692)),IF(F692&gt;0,"% discounts",IF($H$1781&gt;0,"% discounts","% discount"))))))</f>
        <v/>
      </c>
      <c r="N692" s="832"/>
      <c r="O692" s="832"/>
      <c r="P692" s="832"/>
      <c r="Q692" s="832"/>
      <c r="R692" s="832"/>
      <c r="S692" s="303">
        <f t="shared" ref="S692" si="1801">E692*G692</f>
        <v>0</v>
      </c>
      <c r="T692" s="541">
        <f>VLOOKUP(A692,'Discount Lookup'!D:E,2,FALSE)*G692</f>
        <v>0</v>
      </c>
      <c r="U692" s="83">
        <f>VLOOKUP(A692,'Discount Lookup'!G:H,2,FALSE)*G692</f>
        <v>0</v>
      </c>
      <c r="V692" s="100">
        <f>E692*($J$1782)*G692</f>
        <v>0</v>
      </c>
      <c r="W692" s="100">
        <f t="shared" ref="W692" si="1802">I692</f>
        <v>0</v>
      </c>
      <c r="X692" s="100" t="b">
        <f>IF(G692&gt;0,IF(AD692="me","",G692))</f>
        <v>0</v>
      </c>
      <c r="Y692" s="201"/>
      <c r="Z692" s="829" t="str">
        <f t="shared" si="1795"/>
        <v/>
      </c>
      <c r="AA692" s="829"/>
      <c r="AB692" s="830" t="str">
        <f>IF(G692=0,"",IF(AD692="free","re-planting",IF(AD692="me","not NVP, by",IF($AD$8="yes",(VLOOKUP(A692,'Discount Lookup'!J:K,2)*G692*(1-$AC$1786)*(1+$AC$1788)),IF(AD692="NVP",(VLOOKUP(A692,'Discount Lookup'!J:K,2)*G692*(1-$AC$1786)*(1+$AC$1788)),IF(AD692="free","re-planting",IF(G692=0,"",IF($AD$8="",IF(AD692="me","not NVP, by",IF(AD692="",IF(G692&gt;0,(VLOOKUP(A692,'Discount Lookup'!J:K,2)*G692*(1-$AC$1786)*(1+$AC$1788)),""),"")),"not NVP, by"))))))))</f>
        <v/>
      </c>
      <c r="AC692" s="830"/>
      <c r="AD692" s="375" t="str">
        <f t="shared" si="1796"/>
        <v/>
      </c>
      <c r="AE692" s="833" t="str">
        <f t="shared" si="1797"/>
        <v/>
      </c>
      <c r="AF692" s="833"/>
      <c r="AG692" s="833"/>
      <c r="AH692" s="91" t="str">
        <f>IF(AD692="free",0,IF(AD692="me","",IF(G692&gt;0,(VLOOKUP(A692,'Discount Lookup'!J:K,2)*G692),"")))</f>
        <v/>
      </c>
      <c r="AI692" s="92" t="str">
        <f t="shared" si="1767"/>
        <v/>
      </c>
      <c r="AJ692" s="828" t="str">
        <f>IF(G692=0,"",IF(AD692="me","  delivery-only",IF($AD$8="me","  delivery-only",CONCATENATE(" $",ROUND(AI692/G692,2)," each"))))</f>
        <v/>
      </c>
      <c r="AK692" s="828"/>
      <c r="AL692" s="313" t="str">
        <f t="shared" si="1714"/>
        <v/>
      </c>
      <c r="AM692" s="312"/>
      <c r="AN692" s="101"/>
      <c r="AO692" s="101"/>
      <c r="AP692" s="101"/>
      <c r="AQ692" s="101"/>
      <c r="AR692" s="101"/>
      <c r="AS692" s="101"/>
      <c r="AT692" s="101"/>
    </row>
    <row r="693" spans="1:46" ht="12.95" customHeight="1">
      <c r="A693" s="505"/>
      <c r="B693" s="173" t="s">
        <v>961</v>
      </c>
      <c r="C693" s="117"/>
      <c r="D693" s="118"/>
      <c r="E693" s="119"/>
      <c r="F693" s="711"/>
      <c r="G693" s="356"/>
      <c r="H693" s="745"/>
      <c r="I693" s="119"/>
      <c r="J693" s="119"/>
      <c r="K693" s="609"/>
      <c r="L693" s="609"/>
      <c r="M693" s="121"/>
      <c r="N693" s="122" t="s">
        <v>336</v>
      </c>
      <c r="O693" s="123"/>
      <c r="P693" s="124"/>
      <c r="Q693" s="124"/>
      <c r="R693" s="83"/>
      <c r="S693" s="82"/>
      <c r="T693" s="540"/>
      <c r="U693" s="83"/>
      <c r="V693" s="100"/>
      <c r="W693" s="100"/>
      <c r="X693" s="100"/>
      <c r="Y693" s="201"/>
      <c r="Z693" s="829" t="str">
        <f t="shared" si="1795"/>
        <v/>
      </c>
      <c r="AA693" s="829"/>
      <c r="AB693" s="830" t="str">
        <f>IF(G693=0,"",IF(AD693="free","re-planting",IF(AD693="me","not NVP, by",IF($AD$8="yes",(VLOOKUP(A693,'Discount Lookup'!J:K,2)*G693*(1-$AC$1786)*(1+$AC$1788)),IF(AD693="NVP",(VLOOKUP(A693,'Discount Lookup'!J:K,2)*G693*(1-$AC$1786)*(1+$AC$1788)),IF(AD693="free","re-planting",IF(G693=0,"",IF($AD$8="",IF(AD693="me","not NVP, by",IF(AD693="",IF(G693&gt;0,(VLOOKUP(A693,'Discount Lookup'!J:K,2)*G693*(1-$AC$1786)*(1+$AC$1788)),""),"")),"not NVP, by"))))))))</f>
        <v/>
      </c>
      <c r="AC693" s="830"/>
      <c r="AD693" s="375" t="str">
        <f t="shared" si="1796"/>
        <v/>
      </c>
      <c r="AE693" s="833" t="str">
        <f t="shared" si="1797"/>
        <v/>
      </c>
      <c r="AF693" s="833"/>
      <c r="AG693" s="833"/>
      <c r="AH693" s="91" t="s">
        <v>109</v>
      </c>
      <c r="AI693" s="92" t="str">
        <f t="shared" si="1767"/>
        <v/>
      </c>
      <c r="AJ693" s="828" t="str">
        <f>IF(G693=0,"",IF(AD693="me","  delivery-only",IF($AD$8="me","  delivery-only",CONCATENATE(" $",ROUND(AI693/G693,2)," each"))))</f>
        <v/>
      </c>
      <c r="AK693" s="828"/>
      <c r="AL693" s="313" t="str">
        <f t="shared" si="1714"/>
        <v/>
      </c>
      <c r="AM693" s="312"/>
      <c r="AN693" s="101"/>
      <c r="AO693" s="101"/>
      <c r="AP693" s="101"/>
      <c r="AQ693" s="101"/>
      <c r="AR693" s="101"/>
      <c r="AS693" s="101"/>
      <c r="AT693" s="101"/>
    </row>
    <row r="694" spans="1:46" ht="12.95" customHeight="1">
      <c r="A694" s="903" t="s">
        <v>1647</v>
      </c>
      <c r="B694" s="890"/>
      <c r="C694" s="890"/>
      <c r="D694" s="890"/>
      <c r="E694" s="890"/>
      <c r="F694" s="890"/>
      <c r="G694" s="890"/>
      <c r="H694" s="775" t="s">
        <v>539</v>
      </c>
      <c r="I694" s="164" t="s">
        <v>79</v>
      </c>
      <c r="J694" s="157"/>
      <c r="K694" s="611" t="s">
        <v>45</v>
      </c>
      <c r="L694" s="631" t="s">
        <v>46</v>
      </c>
      <c r="M694" s="48"/>
      <c r="N694" s="158" t="s">
        <v>1615</v>
      </c>
      <c r="O694" s="158"/>
      <c r="P694" s="158"/>
      <c r="Q694" s="804"/>
      <c r="R694" s="157"/>
      <c r="S694" s="170"/>
      <c r="T694" s="547"/>
      <c r="U694" s="159"/>
      <c r="V694" s="100" t="b">
        <f>IF(G694&gt;0,IF(AD694="me","",G694))</f>
        <v>0</v>
      </c>
      <c r="W694" s="100"/>
      <c r="X694" s="100"/>
      <c r="Y694" s="201"/>
      <c r="Z694" s="829" t="str">
        <f t="shared" si="1795"/>
        <v/>
      </c>
      <c r="AA694" s="829"/>
      <c r="AB694" s="830" t="str">
        <f>IF(G694=0,"",IF(AD694="free","re-planting",IF(AD694="me","not NVP, by",IF($AD$8="yes",(VLOOKUP(A694,'Discount Lookup'!J:K,2)*G694*(1-$AC$1786)*(1+$AC$1788)),IF(AD694="NVP",(VLOOKUP(A694,'Discount Lookup'!J:K,2)*G694*(1-$AC$1786)*(1+$AC$1788)),IF(AD694="free","re-planting",IF(G694=0,"",IF($AD$8="",IF(AD694="me","not NVP, by",IF(AD694="",IF(G694&gt;0,(VLOOKUP(A694,'Discount Lookup'!J:K,2)*G694*(1-$AC$1786)*(1+$AC$1788)),""),"")),"not NVP, by"))))))))</f>
        <v/>
      </c>
      <c r="AC694" s="830"/>
      <c r="AD694" s="375" t="str">
        <f t="shared" si="1796"/>
        <v/>
      </c>
      <c r="AE694" s="833" t="str">
        <f t="shared" si="1797"/>
        <v/>
      </c>
      <c r="AF694" s="833"/>
      <c r="AG694" s="833"/>
      <c r="AH694" s="91" t="s">
        <v>109</v>
      </c>
      <c r="AI694" s="92" t="str">
        <f t="shared" si="1767"/>
        <v/>
      </c>
      <c r="AJ694" s="828" t="str">
        <f>IF(G694=0,"",IF(AD694="me","  delivery-only",CONCATENATE(" $",ROUND(AI694/G694,2)," each")))</f>
        <v/>
      </c>
      <c r="AK694" s="828"/>
      <c r="AL694" s="313" t="str">
        <f t="shared" si="1714"/>
        <v/>
      </c>
      <c r="AM694" s="312"/>
      <c r="AN694" s="101"/>
      <c r="AO694" s="101"/>
      <c r="AP694" s="101"/>
      <c r="AQ694" s="101"/>
      <c r="AR694" s="101"/>
      <c r="AS694" s="101"/>
      <c r="AT694" s="101"/>
    </row>
    <row r="695" spans="1:46" ht="12.95" customHeight="1">
      <c r="A695" s="448">
        <v>15</v>
      </c>
      <c r="B695" s="158" t="s">
        <v>50</v>
      </c>
      <c r="C695" s="160" t="s">
        <v>1646</v>
      </c>
      <c r="D695" s="161" t="s">
        <v>54</v>
      </c>
      <c r="E695" s="162">
        <v>279.95</v>
      </c>
      <c r="F695" s="713" t="s">
        <v>1306</v>
      </c>
      <c r="G695" s="357">
        <v>0</v>
      </c>
      <c r="H695" s="748" t="str">
        <f t="shared" ref="H695" si="1803">IF(G695=0,"",IF(F695="Qty=",IF(G695=1,"plant","plants"),IF(F695&gt;0.0001,"warranty","Error")))</f>
        <v/>
      </c>
      <c r="I695" s="592">
        <f t="shared" ref="I695" si="1804">IF(F695="Qty=",(E695*G695),((E695*(1-F695))*G695))</f>
        <v>0</v>
      </c>
      <c r="J695" s="592">
        <f>IF(H695="warranty",0,(I695*($J$1782)))</f>
        <v>0</v>
      </c>
      <c r="K695" s="834">
        <f t="shared" ref="K695" si="1805">I695+J695</f>
        <v>0</v>
      </c>
      <c r="L695" s="834"/>
      <c r="M695" s="832" t="str">
        <f>IF($H$1784=0,"",IF(G695=0,"",IF(F695="Qty=",CONCATENATE("$",ROUND(K695*(1-$H$1784),2)," with ",($H$1784*100),"% discount"),CONCATENATE("$",ROUND(K695*(1-$H$1784),2)," with ",(($H$1784*100+F695*100)-($H$1784*100*F695)),IF(F695&gt;0,"% discounts",IF($H$1781&gt;0,"% discounts","% discount"))))))</f>
        <v/>
      </c>
      <c r="N695" s="832"/>
      <c r="O695" s="832"/>
      <c r="P695" s="832"/>
      <c r="Q695" s="832"/>
      <c r="R695" s="832"/>
      <c r="S695" s="303">
        <f t="shared" ref="S695" si="1806">E695*G695</f>
        <v>0</v>
      </c>
      <c r="T695" s="541">
        <f>VLOOKUP(A695,'Discount Lookup'!D:E,2,FALSE)*G695</f>
        <v>0</v>
      </c>
      <c r="U695" s="83">
        <f>VLOOKUP(A695,'Discount Lookup'!G:H,2,FALSE)*G695</f>
        <v>0</v>
      </c>
      <c r="V695" s="100">
        <f>E695*($J$1782)*G695</f>
        <v>0</v>
      </c>
      <c r="W695" s="100">
        <f t="shared" ref="W695" si="1807">I695</f>
        <v>0</v>
      </c>
      <c r="X695" s="100" t="b">
        <f>IF(G695&gt;0,IF(AD695="me","",G695))</f>
        <v>0</v>
      </c>
      <c r="Y695" s="790"/>
      <c r="Z695" s="838" t="str">
        <f t="shared" si="1795"/>
        <v/>
      </c>
      <c r="AA695" s="838"/>
      <c r="AB695" s="830" t="str">
        <f>IF(G695=0,"",IF(AD695="free","re-planting",IF(AD695="me","not NVP, by",IF($AD$8="yes",(VLOOKUP(A695,'Discount Lookup'!J:K,2)*G695*(1-$AC$1786)*(1+$AC$1788)),IF(AD695="NVP",(VLOOKUP(A695,'Discount Lookup'!J:K,2)*G695*(1-$AC$1786)*(1+$AC$1788)),IF(AD695="free","re-planting",IF(G695=0,"",IF($AD$8="",IF(AD695="me","not NVP, by",IF(AD695="",IF(G695&gt;0,(VLOOKUP(A695,'Discount Lookup'!J:K,2)*G695*(1-$AC$1786)*(1+$AC$1788)),""),"")),"not NVP, by"))))))))</f>
        <v/>
      </c>
      <c r="AC695" s="830"/>
      <c r="AD695" s="375" t="str">
        <f t="shared" si="1796"/>
        <v/>
      </c>
      <c r="AE695" s="833" t="str">
        <f t="shared" si="1797"/>
        <v/>
      </c>
      <c r="AF695" s="833"/>
      <c r="AG695" s="833"/>
      <c r="AH695" s="91" t="str">
        <f>IF(AD695="free",0,IF(AD695="me","",IF(G695&gt;0,(VLOOKUP(A695,'Discount Lookup'!J:K,2)*G695),"")))</f>
        <v/>
      </c>
      <c r="AI695" s="92" t="str">
        <f t="shared" si="1767"/>
        <v/>
      </c>
      <c r="AJ695" s="828" t="str">
        <f>IF(G695=0,"",IF(AD695="me","  delivery-only",CONCATENATE(" $",ROUND(AI695/G695,2)," each")))</f>
        <v/>
      </c>
      <c r="AK695" s="828"/>
      <c r="AL695" s="313" t="str">
        <f t="shared" si="1714"/>
        <v/>
      </c>
      <c r="AM695" s="312"/>
      <c r="AN695" s="101"/>
      <c r="AO695" s="101"/>
      <c r="AP695" s="101"/>
      <c r="AQ695" s="101"/>
      <c r="AR695" s="101"/>
      <c r="AS695" s="101"/>
      <c r="AT695" s="101"/>
    </row>
    <row r="696" spans="1:46" ht="12.95" customHeight="1">
      <c r="A696" s="503"/>
      <c r="B696" s="173" t="s">
        <v>1648</v>
      </c>
      <c r="C696" s="104"/>
      <c r="D696" s="104"/>
      <c r="E696" s="105"/>
      <c r="F696" s="709"/>
      <c r="G696" s="358"/>
      <c r="H696" s="743"/>
      <c r="I696" s="102"/>
      <c r="J696" s="102"/>
      <c r="K696" s="607"/>
      <c r="L696" s="607"/>
      <c r="M696" s="121"/>
      <c r="N696" s="121"/>
      <c r="O696" s="123"/>
      <c r="P696" s="124"/>
      <c r="Q696" s="124"/>
      <c r="R696" s="83"/>
      <c r="S696" s="82"/>
      <c r="T696" s="540"/>
      <c r="U696" s="83"/>
      <c r="V696" s="100" t="b">
        <f>IF(G696&gt;0,IF(AD696="me","",G696))</f>
        <v>0</v>
      </c>
      <c r="W696" s="100"/>
      <c r="X696" s="100"/>
      <c r="Y696" s="790"/>
      <c r="Z696" s="838" t="str">
        <f t="shared" si="1795"/>
        <v/>
      </c>
      <c r="AA696" s="838"/>
      <c r="AB696" s="830" t="str">
        <f>IF(G696=0,"",IF(AD696="free","re-planting",IF(AD696="me","not NVP, by",IF($AD$8="yes",(VLOOKUP(A696,'Discount Lookup'!J:K,2)*G696*(1-$AC$1786)*(1+$AC$1788)),IF(AD696="NVP",(VLOOKUP(A696,'Discount Lookup'!J:K,2)*G696*(1-$AC$1786)*(1+$AC$1788)),IF(AD696="free","re-planting",IF(G696=0,"",IF($AD$8="",IF(AD696="me","not NVP, by",IF(AD696="",IF(G696&gt;0,(VLOOKUP(A696,'Discount Lookup'!J:K,2)*G696*(1-$AC$1786)*(1+$AC$1788)),""),"")),"not NVP, by"))))))))</f>
        <v/>
      </c>
      <c r="AC696" s="830"/>
      <c r="AD696" s="375" t="str">
        <f t="shared" si="1796"/>
        <v/>
      </c>
      <c r="AE696" s="833" t="str">
        <f t="shared" si="1797"/>
        <v/>
      </c>
      <c r="AF696" s="833"/>
      <c r="AG696" s="833"/>
      <c r="AH696" s="91" t="s">
        <v>109</v>
      </c>
      <c r="AI696" s="92" t="str">
        <f t="shared" si="1767"/>
        <v/>
      </c>
      <c r="AJ696" s="828" t="str">
        <f>IF(G696=0,"",IF(AD696="me","  delivery-only",CONCATENATE(" $",ROUND(AI696/G696,2)," each")))</f>
        <v/>
      </c>
      <c r="AK696" s="828"/>
      <c r="AL696" s="313" t="str">
        <f t="shared" si="1714"/>
        <v/>
      </c>
      <c r="AM696" s="312"/>
      <c r="AN696" s="101"/>
      <c r="AO696" s="101"/>
      <c r="AP696" s="101"/>
      <c r="AQ696" s="101"/>
      <c r="AR696" s="101"/>
      <c r="AS696" s="101"/>
      <c r="AT696" s="101"/>
    </row>
    <row r="697" spans="1:46" ht="12.75" customHeight="1">
      <c r="A697" s="471"/>
      <c r="B697" s="173"/>
      <c r="C697" s="104"/>
      <c r="D697" s="104"/>
      <c r="E697" s="190"/>
      <c r="F697" s="714"/>
      <c r="G697" s="356"/>
      <c r="H697" s="363"/>
      <c r="K697" s="155"/>
      <c r="L697" s="155"/>
      <c r="M697" s="121"/>
      <c r="N697" s="840"/>
      <c r="O697" s="840"/>
      <c r="P697" s="124"/>
      <c r="Q697" s="841" t="s">
        <v>125</v>
      </c>
      <c r="R697" s="841"/>
      <c r="S697" s="841"/>
      <c r="T697" s="841"/>
      <c r="U697" s="841"/>
      <c r="V697" s="841"/>
      <c r="Y697" s="132"/>
      <c r="Z697" s="829" t="str">
        <f t="shared" si="1682"/>
        <v/>
      </c>
      <c r="AA697" s="829"/>
      <c r="AB697" s="830" t="str">
        <f>IF(G697=0,"",IF(AD697="free","re-planting",IF(AD697="me","not NVP, by",IF($AD$8="yes",(VLOOKUP(A697,'Discount Lookup'!J:K,2)*G697*(1-$AC$1786)*(1+$AC$1788)),IF(AD697="NVP",(VLOOKUP(A697,'Discount Lookup'!J:K,2)*G697*(1-$AC$1786)*(1+$AC$1788)),IF(AD697="free","re-planting",IF(G697=0,"",IF($AD$8="",IF(AD697="me","not NVP, by",IF(AD697="",IF(G697&gt;0,(VLOOKUP(A697,'Discount Lookup'!J:K,2)*G697*(1-$AC$1786)*(1+$AC$1788)),""),"")),"not NVP, by"))))))))</f>
        <v/>
      </c>
      <c r="AC697" s="830"/>
      <c r="AD697" s="375" t="str">
        <f t="shared" si="1724"/>
        <v/>
      </c>
      <c r="AE697" s="833" t="str">
        <f t="shared" si="1778"/>
        <v/>
      </c>
      <c r="AF697" s="833"/>
      <c r="AG697" s="833"/>
      <c r="AH697" s="91">
        <f>IF(AD697="free",0,IF(AD697="me",0,IF(G697&gt;0,(VLOOKUP(A697,'Discount Lookup'!J:K,2)*G697),0)))</f>
        <v>0</v>
      </c>
      <c r="AI697" s="92" t="str">
        <f t="shared" si="1767"/>
        <v/>
      </c>
      <c r="AJ697" s="828" t="str">
        <f t="shared" si="1683"/>
        <v/>
      </c>
      <c r="AK697" s="828"/>
      <c r="AL697" s="313" t="str">
        <f t="shared" si="1714"/>
        <v/>
      </c>
      <c r="AM697" s="312"/>
      <c r="AN697" s="101"/>
      <c r="AO697" s="101"/>
      <c r="AP697" s="101"/>
      <c r="AQ697" s="101"/>
      <c r="AR697" s="101"/>
      <c r="AS697" s="101"/>
      <c r="AT697" s="101"/>
    </row>
    <row r="698" spans="1:46" ht="12.75" customHeight="1">
      <c r="A698" s="964" t="s">
        <v>445</v>
      </c>
      <c r="B698" s="965"/>
      <c r="C698" s="965"/>
      <c r="D698" s="965"/>
      <c r="E698" s="965"/>
      <c r="F698" s="715"/>
      <c r="G698" s="421"/>
      <c r="H698" s="750"/>
      <c r="I698" s="519" t="str">
        <f>IF($A$8="show",COUNTIF($G$698:$G$1099,"&gt;0"),IF($E$1="Quote","",IF($E$1="Order","",IF($E$1="Delivered","",IF($E$1="Completed","",IF(SUM($G$698:$G$1099)=0,"",COUNTIF($G$698:$G$1099,"&gt;0")))))))</f>
        <v/>
      </c>
      <c r="J698" s="520" t="str">
        <f>IF($A$8="show",CONCATENATE("ES picked, ",SUM($G$698:$G$1099)," ES plants total"),IF($E$1="Quote","",IF($E$1="Order","",IF($E$1="Delivered","",IF($E$1="Completed","",IF(SUM($G$698:$G$1099)&gt;0,CONCATENATE("ES picked, ",SUM($G$698:$G$1099)," ES plants total"),""))))))</f>
        <v/>
      </c>
      <c r="K698" s="614"/>
      <c r="L698" s="614"/>
      <c r="M698" s="856" t="s">
        <v>258</v>
      </c>
      <c r="N698" s="857"/>
      <c r="O698" s="858"/>
      <c r="P698" s="873" t="s">
        <v>259</v>
      </c>
      <c r="Q698" s="874"/>
      <c r="R698" s="874"/>
      <c r="S698" s="874"/>
      <c r="T698" s="874"/>
      <c r="U698" s="874"/>
      <c r="V698" s="100"/>
      <c r="W698" s="100"/>
      <c r="X698" s="100"/>
      <c r="Y698" s="201"/>
      <c r="Z698" s="829" t="str">
        <f t="shared" si="1682"/>
        <v/>
      </c>
      <c r="AA698" s="829"/>
      <c r="AB698" s="830" t="str">
        <f>IF(G698=0,"",IF(AD698="free","re-planting",IF(AD698="me","not NVP, by",IF($AD$8="yes",(VLOOKUP(A698,'Discount Lookup'!J:K,2)*G698*(1-$AC$1786)*(1+$AC$1788)),IF(AD698="NVP",(VLOOKUP(A698,'Discount Lookup'!J:K,2)*G698*(1-$AC$1786)*(1+$AC$1788)),IF(AD698="free","re-planting",IF(G698=0,"",IF($AD$8="",IF(AD698="me","not NVP, by",IF(AD698="",IF(G698&gt;0,(VLOOKUP(A698,'Discount Lookup'!J:K,2)*G698*(1-$AC$1786)*(1+$AC$1788)),""),"")),"not NVP, by"))))))))</f>
        <v/>
      </c>
      <c r="AC698" s="830"/>
      <c r="AD698" s="375" t="str">
        <f t="shared" si="1724"/>
        <v/>
      </c>
      <c r="AE698" s="833" t="str">
        <f t="shared" si="1778"/>
        <v/>
      </c>
      <c r="AF698" s="833"/>
      <c r="AG698" s="833"/>
      <c r="AH698" s="91">
        <f>IF(AD698="free",0,IF(AD698="me",0,IF(G698&gt;0,(VLOOKUP(A698,'Discount Lookup'!J:K,2)*G698),0)))</f>
        <v>0</v>
      </c>
      <c r="AI698" s="92" t="str">
        <f t="shared" si="1767"/>
        <v/>
      </c>
      <c r="AJ698" s="828" t="str">
        <f t="shared" si="1683"/>
        <v/>
      </c>
      <c r="AK698" s="828"/>
      <c r="AL698" s="313" t="str">
        <f t="shared" si="1714"/>
        <v/>
      </c>
      <c r="AM698" s="312"/>
      <c r="AN698" s="101"/>
      <c r="AO698" s="101"/>
      <c r="AP698" s="101"/>
      <c r="AQ698" s="101"/>
      <c r="AR698" s="101"/>
      <c r="AS698" s="101"/>
      <c r="AT698" s="101"/>
    </row>
    <row r="699" spans="1:46" ht="12.75" customHeight="1">
      <c r="A699" s="896" t="s">
        <v>1374</v>
      </c>
      <c r="B699" s="897"/>
      <c r="C699" s="897"/>
      <c r="D699" s="897"/>
      <c r="E699" s="897"/>
      <c r="F699" s="897"/>
      <c r="G699" s="897"/>
      <c r="H699" s="897"/>
      <c r="I699" s="88" t="s">
        <v>79</v>
      </c>
      <c r="J699" s="86"/>
      <c r="K699" s="603" t="s">
        <v>45</v>
      </c>
      <c r="L699" s="601" t="s">
        <v>46</v>
      </c>
      <c r="M699" s="86"/>
      <c r="N699" s="87" t="s">
        <v>446</v>
      </c>
      <c r="O699" s="87"/>
      <c r="P699" s="88"/>
      <c r="Q699" s="88"/>
      <c r="R699" s="86"/>
      <c r="S699" s="125"/>
      <c r="T699" s="543"/>
      <c r="U699" s="89" t="s">
        <v>48</v>
      </c>
      <c r="V699" s="100" t="b">
        <f>IF(G699&gt;0,IF(AD699="me","",G699))</f>
        <v>0</v>
      </c>
      <c r="W699" s="100"/>
      <c r="X699" s="100"/>
      <c r="Y699" s="201"/>
      <c r="Z699" s="829" t="str">
        <f t="shared" si="1682"/>
        <v/>
      </c>
      <c r="AA699" s="829"/>
      <c r="AB699" s="830" t="str">
        <f>IF(G699=0,"",IF(AD699="free","re-planting",IF(AD699="me","not NVP, by",IF($AD$8="yes",(VLOOKUP(A699,'Discount Lookup'!J:K,2)*G699*(1-$AC$1786)*(1+$AC$1788)),IF(AD699="NVP",(VLOOKUP(A699,'Discount Lookup'!J:K,2)*G699*(1-$AC$1786)*(1+$AC$1788)),IF(AD699="free","re-planting",IF(G699=0,"",IF($AD$8="",IF(AD699="me","not NVP, by",IF(AD699="",IF(G699&gt;0,(VLOOKUP(A699,'Discount Lookup'!J:K,2)*G699*(1-$AC$1786)*(1+$AC$1788)),""),"")),"not NVP, by"))))))))</f>
        <v/>
      </c>
      <c r="AC699" s="830"/>
      <c r="AD699" s="375" t="str">
        <f t="shared" si="1724"/>
        <v/>
      </c>
      <c r="AE699" s="833" t="str">
        <f t="shared" si="1778"/>
        <v/>
      </c>
      <c r="AF699" s="833"/>
      <c r="AG699" s="833"/>
      <c r="AH699" s="91">
        <f>IF(AD699="free",0,IF(AD699="me",0,IF(G699&gt;0,(VLOOKUP(A699,'Discount Lookup'!J:K,2)*G699),0)))</f>
        <v>0</v>
      </c>
      <c r="AI699" s="92" t="str">
        <f t="shared" si="1767"/>
        <v/>
      </c>
      <c r="AJ699" s="828" t="str">
        <f t="shared" si="1683"/>
        <v/>
      </c>
      <c r="AK699" s="828"/>
      <c r="AL699" s="313" t="str">
        <f t="shared" si="1714"/>
        <v/>
      </c>
      <c r="AM699" s="312"/>
      <c r="AN699" s="101"/>
      <c r="AO699" s="101"/>
      <c r="AP699" s="101"/>
      <c r="AQ699" s="101"/>
      <c r="AR699" s="101"/>
      <c r="AS699" s="101"/>
      <c r="AT699" s="101"/>
    </row>
    <row r="700" spans="1:46" ht="12.95" customHeight="1">
      <c r="A700" s="419">
        <v>1</v>
      </c>
      <c r="B700" s="87" t="s">
        <v>50</v>
      </c>
      <c r="C700" s="422" t="s">
        <v>448</v>
      </c>
      <c r="D700" s="129" t="s">
        <v>87</v>
      </c>
      <c r="E700" s="98">
        <v>18.95</v>
      </c>
      <c r="F700" s="705" t="s">
        <v>1306</v>
      </c>
      <c r="G700" s="357">
        <v>0</v>
      </c>
      <c r="H700" s="704" t="str">
        <f t="shared" ref="H700:H703" si="1808">IF(G700=0,"",IF(F700="Qty=",IF(G700=1,"plant","plants"),IF(F700&gt;0.0001,"warranty","Error")))</f>
        <v/>
      </c>
      <c r="I700" s="98">
        <f t="shared" ref="I700:I703" si="1809">IF(F700="Qty=",(E700*G700),((E700*(1-F700))*G700))</f>
        <v>0</v>
      </c>
      <c r="J700" s="98">
        <f>IF(H700="warranty",0,(I700*($J$1782)))</f>
        <v>0</v>
      </c>
      <c r="K700" s="831">
        <f t="shared" ref="K700:K703" si="1810">I700+J700</f>
        <v>0</v>
      </c>
      <c r="L700" s="831"/>
      <c r="M700" s="832" t="str">
        <f>IF($H$1784=0,"",IF(G700=0,"",IF(F700="Qty=",CONCATENATE("$",ROUND(K700*(1-$H$1784),2)," with ",($H$1784*100),"% discount"),CONCATENATE("$",ROUND(K700*(1-$H$1784),2)," with ",(($H$1784*100+F700*100)-($H$1784*100*F700)),IF(F700&gt;0,"% discounts",IF($H$1781&gt;0,"% discounts","% discount"))))))</f>
        <v/>
      </c>
      <c r="N700" s="832"/>
      <c r="O700" s="832"/>
      <c r="P700" s="832"/>
      <c r="Q700" s="832"/>
      <c r="R700" s="832"/>
      <c r="S700" s="303">
        <f t="shared" ref="S700" si="1811">E700*G700</f>
        <v>0</v>
      </c>
      <c r="T700" s="541">
        <f>VLOOKUP(A700,'Discount Lookup'!D:E,2,FALSE)*G700</f>
        <v>0</v>
      </c>
      <c r="U700" s="83">
        <f>VLOOKUP(A700,'Discount Lookup'!G:H,2,FALSE)*G700</f>
        <v>0</v>
      </c>
      <c r="V700" s="100">
        <f>E700*($J$1782)*G700</f>
        <v>0</v>
      </c>
      <c r="W700" s="100">
        <f t="shared" ref="W700" si="1812">I700</f>
        <v>0</v>
      </c>
      <c r="X700" s="100" t="b">
        <f>IF(G700&gt;0,IF(AD700="me","",G700))</f>
        <v>0</v>
      </c>
      <c r="Y700" s="201"/>
      <c r="Z700" s="829" t="str">
        <f t="shared" si="1682"/>
        <v/>
      </c>
      <c r="AA700" s="829"/>
      <c r="AB700" s="830" t="str">
        <f>IF(G700=0,"",IF(AD700="free","re-planting",IF(AD700="me","not NVP, by",IF($AD$8="yes",(VLOOKUP(A700,'Discount Lookup'!J:K,2)*G700*(1-$AC$1786)*(1+$AC$1788)),IF(AD700="NVP",(VLOOKUP(A700,'Discount Lookup'!J:K,2)*G700*(1-$AC$1786)*(1+$AC$1788)),IF(AD700="free","re-planting",IF(G700=0,"",IF($AD$8="",IF(AD700="me","not NVP, by",IF(AD700="",IF(G700&gt;0,(VLOOKUP(A700,'Discount Lookup'!J:K,2)*G700*(1-$AC$1786)*(1+$AC$1788)),""),"")),"not NVP, by"))))))))</f>
        <v/>
      </c>
      <c r="AC700" s="830"/>
      <c r="AD700" s="375" t="str">
        <f t="shared" si="1724"/>
        <v/>
      </c>
      <c r="AE700" s="833" t="str">
        <f t="shared" si="1778"/>
        <v/>
      </c>
      <c r="AF700" s="833"/>
      <c r="AG700" s="833"/>
      <c r="AH700" s="91">
        <f>IF(AD700="free",0,IF(AD700="me",0,IF(G700&gt;0,(VLOOKUP(A700,'Discount Lookup'!J:K,2)*G700),0)))</f>
        <v>0</v>
      </c>
      <c r="AI700" s="92" t="str">
        <f t="shared" si="1767"/>
        <v/>
      </c>
      <c r="AJ700" s="828" t="str">
        <f t="shared" si="1683"/>
        <v/>
      </c>
      <c r="AK700" s="828"/>
      <c r="AL700" s="313" t="str">
        <f t="shared" si="1714"/>
        <v/>
      </c>
      <c r="AM700" s="312"/>
      <c r="AN700" s="101"/>
      <c r="AO700" s="101"/>
      <c r="AP700" s="101"/>
      <c r="AQ700" s="101"/>
      <c r="AR700" s="101"/>
      <c r="AS700" s="101"/>
      <c r="AT700" s="101"/>
    </row>
    <row r="701" spans="1:46" ht="12.95" customHeight="1">
      <c r="A701" s="419">
        <v>3</v>
      </c>
      <c r="B701" s="87" t="s">
        <v>50</v>
      </c>
      <c r="C701" s="422" t="s">
        <v>447</v>
      </c>
      <c r="D701" s="129" t="s">
        <v>87</v>
      </c>
      <c r="E701" s="98">
        <v>28.95</v>
      </c>
      <c r="F701" s="705" t="s">
        <v>1306</v>
      </c>
      <c r="G701" s="357">
        <v>0</v>
      </c>
      <c r="H701" s="704" t="str">
        <f t="shared" ref="H701" si="1813">IF(G701=0,"",IF(F701="Qty=",IF(G701=1,"plant","plants"),IF(F701&gt;0.0001,"warranty","Error")))</f>
        <v/>
      </c>
      <c r="I701" s="98">
        <f t="shared" ref="I701" si="1814">IF(F701="Qty=",(E701*G701),((E701*(1-F701))*G701))</f>
        <v>0</v>
      </c>
      <c r="J701" s="98">
        <f>IF(H701="warranty",0,(I701*($J$1782)))</f>
        <v>0</v>
      </c>
      <c r="K701" s="831">
        <f t="shared" si="1810"/>
        <v>0</v>
      </c>
      <c r="L701" s="831"/>
      <c r="M701" s="832" t="str">
        <f>IF($H$1784=0,"",IF(G701=0,"",IF(F701="Qty=",CONCATENATE("$",ROUND(K701*(1-$H$1784),2)," with ",($H$1784*100),"% discount"),CONCATENATE("$",ROUND(K701*(1-$H$1784),2)," with ",(($H$1784*100+F701*100)-($H$1784*100*F701)),IF(F701&gt;0,"% discounts",IF($H$1781&gt;0,"% discounts","% discount"))))))</f>
        <v/>
      </c>
      <c r="N701" s="832"/>
      <c r="O701" s="832"/>
      <c r="P701" s="832"/>
      <c r="Q701" s="832"/>
      <c r="R701" s="832"/>
      <c r="S701" s="303">
        <f t="shared" ref="S701" si="1815">E701*G701</f>
        <v>0</v>
      </c>
      <c r="T701" s="541">
        <f>VLOOKUP(A701,'Discount Lookup'!D:E,2,FALSE)*G701</f>
        <v>0</v>
      </c>
      <c r="U701" s="83">
        <f>VLOOKUP(A701,'Discount Lookup'!G:H,2,FALSE)*G701</f>
        <v>0</v>
      </c>
      <c r="V701" s="100">
        <f>E701*($J$1782)*G701</f>
        <v>0</v>
      </c>
      <c r="W701" s="100">
        <f t="shared" ref="W701" si="1816">I701</f>
        <v>0</v>
      </c>
      <c r="X701" s="100" t="b">
        <f>IF(G701&gt;0,IF(AD701="me","",G701))</f>
        <v>0</v>
      </c>
      <c r="Y701" s="201"/>
      <c r="Z701" s="829" t="str">
        <f t="shared" ref="Z701" si="1817">IF(G701=0,"",IF(AD701="me","",IF($AD$8="me","",IF(AD701="free","warranty",IF($AD$8="yes","NVP planting:","to NVP install:")))))</f>
        <v/>
      </c>
      <c r="AA701" s="829"/>
      <c r="AB701" s="830" t="str">
        <f>IF(G701=0,"",IF(AD701="free","re-planting",IF(AD701="me","not NVP, by",IF($AD$8="yes",(VLOOKUP(A701,'Discount Lookup'!J:K,2)*G701*(1-$AC$1786)*(1+$AC$1788)),IF(AD701="NVP",(VLOOKUP(A701,'Discount Lookup'!J:K,2)*G701*(1-$AC$1786)*(1+$AC$1788)),IF(AD701="free","re-planting",IF(G701=0,"",IF($AD$8="",IF(AD701="me","not NVP, by",IF(AD701="",IF(G701&gt;0,(VLOOKUP(A701,'Discount Lookup'!J:K,2)*G701*(1-$AC$1786)*(1+$AC$1788)),""),"")),"not NVP, by"))))))))</f>
        <v/>
      </c>
      <c r="AC701" s="830"/>
      <c r="AD701" s="375" t="str">
        <f t="shared" si="1724"/>
        <v/>
      </c>
      <c r="AE701" s="833" t="str">
        <f t="shared" ref="AE701" si="1818">IF(G701&gt;0,(CONCATENATE((G701)," quantity, ",(A701)," ",B701)),"")</f>
        <v/>
      </c>
      <c r="AF701" s="833"/>
      <c r="AG701" s="833"/>
      <c r="AH701" s="91">
        <f>IF(AD701="free",0,IF(AD701="me",0,IF(G701&gt;0,(VLOOKUP(A701,'Discount Lookup'!J:K,2)*G701),0)))</f>
        <v>0</v>
      </c>
      <c r="AI701" s="92" t="str">
        <f t="shared" si="1767"/>
        <v/>
      </c>
      <c r="AJ701" s="828" t="str">
        <f t="shared" ref="AJ701" si="1819">IF(G701=0,"",IF(AD701="me","  delivery-only",IF($AD$8="me","  delivery-only",CONCATENATE(" $",ROUND(AI701/G701,2)," each"))))</f>
        <v/>
      </c>
      <c r="AK701" s="828"/>
      <c r="AL701" s="313" t="str">
        <f t="shared" si="1714"/>
        <v/>
      </c>
      <c r="AM701" s="312"/>
      <c r="AN701" s="101"/>
      <c r="AO701" s="101"/>
      <c r="AP701" s="101"/>
      <c r="AQ701" s="101"/>
      <c r="AR701" s="101"/>
      <c r="AS701" s="101"/>
      <c r="AT701" s="101"/>
    </row>
    <row r="702" spans="1:46" ht="12.75" customHeight="1">
      <c r="A702" s="419">
        <v>5</v>
      </c>
      <c r="B702" s="87" t="s">
        <v>50</v>
      </c>
      <c r="C702" s="422" t="s">
        <v>448</v>
      </c>
      <c r="D702" s="129" t="s">
        <v>87</v>
      </c>
      <c r="E702" s="98">
        <v>57.95</v>
      </c>
      <c r="F702" s="705" t="s">
        <v>1306</v>
      </c>
      <c r="G702" s="357">
        <v>0</v>
      </c>
      <c r="H702" s="704" t="str">
        <f t="shared" si="1808"/>
        <v/>
      </c>
      <c r="I702" s="98">
        <f t="shared" si="1809"/>
        <v>0</v>
      </c>
      <c r="J702" s="98">
        <f>IF(H702="warranty",0,(I702*($J$1782)))</f>
        <v>0</v>
      </c>
      <c r="K702" s="831">
        <f t="shared" si="1810"/>
        <v>0</v>
      </c>
      <c r="L702" s="831"/>
      <c r="M702" s="832" t="str">
        <f>IF($H$1784=0,"",IF(G702=0,"",IF(F702="Qty=",CONCATENATE("$",ROUND(K702*(1-$H$1784),2)," with ",($H$1784*100),"% discount"),CONCATENATE("$",ROUND(K702*(1-$H$1784),2)," with ",(($H$1784*100+F702*100)-($H$1784*100*F702)),IF(F702&gt;0,"% discounts",IF($H$1781&gt;0,"% discounts","% discount"))))))</f>
        <v/>
      </c>
      <c r="N702" s="832"/>
      <c r="O702" s="832"/>
      <c r="P702" s="832"/>
      <c r="Q702" s="832"/>
      <c r="R702" s="832"/>
      <c r="S702" s="303">
        <f t="shared" ref="S702:S703" si="1820">E702*G702</f>
        <v>0</v>
      </c>
      <c r="T702" s="541">
        <f>VLOOKUP(A702,'Discount Lookup'!D:E,2,FALSE)*G702</f>
        <v>0</v>
      </c>
      <c r="U702" s="83">
        <f>VLOOKUP(A702,'Discount Lookup'!G:H,2,FALSE)*G702</f>
        <v>0</v>
      </c>
      <c r="V702" s="100">
        <f>E702*($J$1782)*G702</f>
        <v>0</v>
      </c>
      <c r="W702" s="100">
        <f t="shared" ref="W702:W703" si="1821">I702</f>
        <v>0</v>
      </c>
      <c r="X702" s="100" t="b">
        <f>IF(G702&gt;0,IF(AD702="me","",G702))</f>
        <v>0</v>
      </c>
      <c r="Y702" s="201"/>
      <c r="Z702" s="829" t="str">
        <f t="shared" si="1682"/>
        <v/>
      </c>
      <c r="AA702" s="829"/>
      <c r="AB702" s="830" t="str">
        <f>IF(G702=0,"",IF(AD702="free","re-planting",IF(AD702="me","not NVP, by",IF($AD$8="yes",(VLOOKUP(A702,'Discount Lookup'!J:K,2)*G702*(1-$AC$1786)*(1+$AC$1788)),IF(AD702="NVP",(VLOOKUP(A702,'Discount Lookup'!J:K,2)*G702*(1-$AC$1786)*(1+$AC$1788)),IF(AD702="free","re-planting",IF(G702=0,"",IF($AD$8="",IF(AD702="me","not NVP, by",IF(AD702="",IF(G702&gt;0,(VLOOKUP(A702,'Discount Lookup'!J:K,2)*G702*(1-$AC$1786)*(1+$AC$1788)),""),"")),"not NVP, by"))))))))</f>
        <v/>
      </c>
      <c r="AC702" s="830"/>
      <c r="AD702" s="375" t="str">
        <f t="shared" si="1724"/>
        <v/>
      </c>
      <c r="AE702" s="833" t="str">
        <f t="shared" si="1778"/>
        <v/>
      </c>
      <c r="AF702" s="833"/>
      <c r="AG702" s="833"/>
      <c r="AH702" s="91">
        <f>IF(AD702="free",0,IF(AD702="me",0,IF(G702&gt;0,(VLOOKUP(A702,'Discount Lookup'!J:K,2)*G702),0)))</f>
        <v>0</v>
      </c>
      <c r="AI702" s="92" t="str">
        <f t="shared" si="1767"/>
        <v/>
      </c>
      <c r="AJ702" s="828" t="str">
        <f t="shared" si="1683"/>
        <v/>
      </c>
      <c r="AK702" s="828"/>
      <c r="AL702" s="313" t="str">
        <f t="shared" si="1714"/>
        <v/>
      </c>
      <c r="AM702" s="312"/>
      <c r="AN702" s="101"/>
      <c r="AO702" s="101"/>
      <c r="AP702" s="101"/>
      <c r="AQ702" s="101"/>
      <c r="AR702" s="101"/>
      <c r="AS702" s="101"/>
      <c r="AT702" s="101"/>
    </row>
    <row r="703" spans="1:46" ht="12.95" customHeight="1">
      <c r="A703" s="419">
        <v>7</v>
      </c>
      <c r="B703" s="87" t="s">
        <v>50</v>
      </c>
      <c r="C703" s="422" t="s">
        <v>448</v>
      </c>
      <c r="D703" s="129" t="s">
        <v>87</v>
      </c>
      <c r="E703" s="98">
        <v>70.95</v>
      </c>
      <c r="F703" s="705" t="s">
        <v>1306</v>
      </c>
      <c r="G703" s="357">
        <v>0</v>
      </c>
      <c r="H703" s="704" t="str">
        <f t="shared" si="1808"/>
        <v/>
      </c>
      <c r="I703" s="98">
        <f t="shared" si="1809"/>
        <v>0</v>
      </c>
      <c r="J703" s="98">
        <f>IF(H703="warranty",0,(I703*($J$1782)))</f>
        <v>0</v>
      </c>
      <c r="K703" s="831">
        <f t="shared" si="1810"/>
        <v>0</v>
      </c>
      <c r="L703" s="831"/>
      <c r="M703" s="832" t="str">
        <f>IF($H$1784=0,"",IF(G703=0,"",IF(F703="Qty=",CONCATENATE("$",ROUND(K703*(1-$H$1784),2)," with ",($H$1784*100),"% discount"),CONCATENATE("$",ROUND(K703*(1-$H$1784),2)," with ",(($H$1784*100+F703*100)-($H$1784*100*F703)),IF(F703&gt;0,"% discounts",IF($H$1781&gt;0,"% discounts","% discount"))))))</f>
        <v/>
      </c>
      <c r="N703" s="832"/>
      <c r="O703" s="832"/>
      <c r="P703" s="832"/>
      <c r="Q703" s="832"/>
      <c r="R703" s="832"/>
      <c r="S703" s="303">
        <f t="shared" si="1820"/>
        <v>0</v>
      </c>
      <c r="T703" s="541">
        <f>VLOOKUP(A703,'Discount Lookup'!D:E,2,FALSE)*G703</f>
        <v>0</v>
      </c>
      <c r="U703" s="83">
        <f>VLOOKUP(A703,'Discount Lookup'!G:H,2,FALSE)*G703</f>
        <v>0</v>
      </c>
      <c r="V703" s="100">
        <f>E703*($J$1782)*G703</f>
        <v>0</v>
      </c>
      <c r="W703" s="100">
        <f t="shared" si="1821"/>
        <v>0</v>
      </c>
      <c r="X703" s="100" t="b">
        <f>IF(G703&gt;0,IF(AD703="me","",G703))</f>
        <v>0</v>
      </c>
      <c r="Y703" s="201"/>
      <c r="Z703" s="829" t="str">
        <f t="shared" si="1682"/>
        <v/>
      </c>
      <c r="AA703" s="829"/>
      <c r="AB703" s="830" t="str">
        <f>IF(G703=0,"",IF(AD703="free","re-planting",IF(AD703="me","not NVP, by",IF($AD$8="yes",(VLOOKUP(A703,'Discount Lookup'!J:K,2)*G703*(1-$AC$1786)*(1+$AC$1788)),IF(AD703="NVP",(VLOOKUP(A703,'Discount Lookup'!J:K,2)*G703*(1-$AC$1786)*(1+$AC$1788)),IF(AD703="free","re-planting",IF(G703=0,"",IF($AD$8="",IF(AD703="me","not NVP, by",IF(AD703="",IF(G703&gt;0,(VLOOKUP(A703,'Discount Lookup'!J:K,2)*G703*(1-$AC$1786)*(1+$AC$1788)),""),"")),"not NVP, by"))))))))</f>
        <v/>
      </c>
      <c r="AC703" s="830"/>
      <c r="AD703" s="375" t="str">
        <f t="shared" si="1724"/>
        <v/>
      </c>
      <c r="AE703" s="833" t="str">
        <f t="shared" si="1778"/>
        <v/>
      </c>
      <c r="AF703" s="833"/>
      <c r="AG703" s="833"/>
      <c r="AH703" s="91">
        <f>IF(AD703="free",0,IF(AD703="me",0,IF(G703&gt;0,(VLOOKUP(A703,'Discount Lookup'!J:K,2)*G703),0)))</f>
        <v>0</v>
      </c>
      <c r="AI703" s="92" t="str">
        <f t="shared" si="1767"/>
        <v/>
      </c>
      <c r="AJ703" s="828" t="str">
        <f t="shared" si="1683"/>
        <v/>
      </c>
      <c r="AK703" s="828"/>
      <c r="AL703" s="313" t="str">
        <f t="shared" si="1714"/>
        <v/>
      </c>
      <c r="AM703" s="312"/>
      <c r="AN703" s="101"/>
      <c r="AO703" s="101"/>
      <c r="AP703" s="101"/>
      <c r="AQ703" s="101"/>
      <c r="AR703" s="101"/>
      <c r="AS703" s="101"/>
      <c r="AT703" s="101"/>
    </row>
    <row r="704" spans="1:46" ht="12.95" customHeight="1">
      <c r="A704" s="465"/>
      <c r="B704" s="149"/>
      <c r="C704" s="104"/>
      <c r="D704" s="104"/>
      <c r="E704" s="131"/>
      <c r="F704" s="710"/>
      <c r="G704" s="358"/>
      <c r="H704" s="744"/>
      <c r="I704" s="131"/>
      <c r="J704" s="177" t="s">
        <v>449</v>
      </c>
      <c r="K704" s="178" t="s">
        <v>36</v>
      </c>
      <c r="L704" s="178"/>
      <c r="M704" s="121"/>
      <c r="N704" s="122" t="s">
        <v>331</v>
      </c>
      <c r="O704" s="123"/>
      <c r="P704" s="124"/>
      <c r="Y704" s="132"/>
      <c r="Z704" s="829" t="str">
        <f t="shared" si="1682"/>
        <v/>
      </c>
      <c r="AA704" s="829"/>
      <c r="AB704" s="830" t="str">
        <f>IF(G704=0,"",IF(AD704="free","re-planting",IF(AD704="me","not NVP, by",IF($AD$8="yes",(VLOOKUP(A704,'Discount Lookup'!J:K,2)*G704*(1-$AC$1786)*(1+$AC$1788)),IF(AD704="NVP",(VLOOKUP(A704,'Discount Lookup'!J:K,2)*G704*(1-$AC$1786)*(1+$AC$1788)),IF(AD704="free","re-planting",IF(G704=0,"",IF($AD$8="",IF(AD704="me","not NVP, by",IF(AD704="",IF(G704&gt;0,(VLOOKUP(A704,'Discount Lookup'!J:K,2)*G704*(1-$AC$1786)*(1+$AC$1788)),""),"")),"not NVP, by"))))))))</f>
        <v/>
      </c>
      <c r="AC704" s="830"/>
      <c r="AD704" s="375" t="str">
        <f t="shared" si="1724"/>
        <v/>
      </c>
      <c r="AE704" s="833" t="str">
        <f t="shared" si="1778"/>
        <v/>
      </c>
      <c r="AF704" s="833"/>
      <c r="AG704" s="833"/>
      <c r="AH704" s="91">
        <f>IF(AD704="free",0,IF(AD704="me",0,IF(G704&gt;0,(VLOOKUP(A704,'Discount Lookup'!J:K,2)*G704),0)))</f>
        <v>0</v>
      </c>
      <c r="AI704" s="92" t="str">
        <f t="shared" ref="AI704:AI735" si="1822">IF(G704=0,"",IF(AD704="free",(K704*(1-$H$1784)),IF($AD$8="me",(K704*(1-$H$1784)),IF(AD704="me",(K704*(1-$H$1784)),(K704*(1-$H$1784))+AB704))))</f>
        <v/>
      </c>
      <c r="AJ704" s="828" t="str">
        <f t="shared" si="1683"/>
        <v/>
      </c>
      <c r="AK704" s="828"/>
      <c r="AL704" s="313" t="str">
        <f t="shared" si="1714"/>
        <v/>
      </c>
      <c r="AM704" s="312"/>
      <c r="AN704" s="101"/>
      <c r="AO704" s="101"/>
      <c r="AP704" s="101"/>
      <c r="AQ704" s="101"/>
      <c r="AR704" s="101"/>
      <c r="AS704" s="101"/>
      <c r="AT704" s="101"/>
    </row>
    <row r="705" spans="1:46" ht="12.95" customHeight="1">
      <c r="A705" s="896" t="s">
        <v>451</v>
      </c>
      <c r="B705" s="897"/>
      <c r="C705" s="897"/>
      <c r="D705" s="897"/>
      <c r="E705" s="897"/>
      <c r="F705" s="897"/>
      <c r="G705" s="897"/>
      <c r="H705" s="776" t="s">
        <v>167</v>
      </c>
      <c r="I705" s="88" t="s">
        <v>79</v>
      </c>
      <c r="J705" s="86"/>
      <c r="K705" s="603" t="s">
        <v>45</v>
      </c>
      <c r="L705" s="601" t="s">
        <v>46</v>
      </c>
      <c r="M705" s="86"/>
      <c r="N705" s="87" t="s">
        <v>128</v>
      </c>
      <c r="O705" s="135"/>
      <c r="P705" s="135"/>
      <c r="Q705" s="135"/>
      <c r="R705" s="835" t="s">
        <v>49</v>
      </c>
      <c r="S705" s="835"/>
      <c r="T705" s="835"/>
      <c r="U705" s="835"/>
      <c r="V705" s="100" t="b">
        <f>IF(G705&gt;0,IF(AD705="me","",G705))</f>
        <v>0</v>
      </c>
      <c r="W705" s="100"/>
      <c r="X705" s="100"/>
      <c r="Y705" s="201"/>
      <c r="Z705" s="829" t="str">
        <f t="shared" si="1682"/>
        <v/>
      </c>
      <c r="AA705" s="829"/>
      <c r="AB705" s="830" t="str">
        <f>IF(G705=0,"",IF(AD705="free","re-planting",IF(AD705="me","not NVP, by",IF($AD$8="yes",(VLOOKUP(A705,'Discount Lookup'!J:K,2)*G705*(1-$AC$1786)*(1+$AC$1788)),IF(AD705="NVP",(VLOOKUP(A705,'Discount Lookup'!J:K,2)*G705*(1-$AC$1786)*(1+$AC$1788)),IF(AD705="free","re-planting",IF(G705=0,"",IF($AD$8="",IF(AD705="me","not NVP, by",IF(AD705="",IF(G705&gt;0,(VLOOKUP(A705,'Discount Lookup'!J:K,2)*G705*(1-$AC$1786)*(1+$AC$1788)),""),"")),"not NVP, by"))))))))</f>
        <v/>
      </c>
      <c r="AC705" s="830"/>
      <c r="AD705" s="375" t="str">
        <f t="shared" si="1724"/>
        <v/>
      </c>
      <c r="AE705" s="833" t="str">
        <f t="shared" si="1778"/>
        <v/>
      </c>
      <c r="AF705" s="833"/>
      <c r="AG705" s="833"/>
      <c r="AH705" s="91">
        <f>IF(AD705="free",0,IF(AD705="me",0,IF(G705&gt;0,(VLOOKUP(A705,'Discount Lookup'!J:K,2)*G705),0)))</f>
        <v>0</v>
      </c>
      <c r="AI705" s="92" t="str">
        <f t="shared" si="1822"/>
        <v/>
      </c>
      <c r="AJ705" s="828" t="str">
        <f t="shared" si="1683"/>
        <v/>
      </c>
      <c r="AK705" s="828"/>
      <c r="AL705" s="313" t="str">
        <f t="shared" si="1714"/>
        <v/>
      </c>
      <c r="AM705" s="312"/>
      <c r="AN705" s="101"/>
      <c r="AO705" s="101"/>
      <c r="AP705" s="101"/>
      <c r="AQ705" s="101"/>
      <c r="AR705" s="101"/>
      <c r="AS705" s="101"/>
      <c r="AT705" s="101"/>
    </row>
    <row r="706" spans="1:46" ht="12.95" customHeight="1">
      <c r="A706" s="419">
        <v>7</v>
      </c>
      <c r="B706" s="87" t="s">
        <v>50</v>
      </c>
      <c r="C706" s="399" t="s">
        <v>61</v>
      </c>
      <c r="D706" s="129" t="s">
        <v>62</v>
      </c>
      <c r="E706" s="98">
        <v>56.95</v>
      </c>
      <c r="F706" s="705" t="s">
        <v>1306</v>
      </c>
      <c r="G706" s="357">
        <v>0</v>
      </c>
      <c r="H706" s="704" t="str">
        <f t="shared" ref="H706:H707" si="1823">IF(G706=0,"",IF(F706="Qty=",IF(G706=1,"plant","plants"),IF(F706&gt;0.0001,"warranty","Error")))</f>
        <v/>
      </c>
      <c r="I706" s="98">
        <f t="shared" ref="I706:I707" si="1824">IF(F706="Qty=",(E706*G706),((E706*(1-F706))*G706))</f>
        <v>0</v>
      </c>
      <c r="J706" s="98">
        <f>IF(H706="warranty",0,(I706*($J$1782)))</f>
        <v>0</v>
      </c>
      <c r="K706" s="831">
        <f t="shared" ref="K706:K707" si="1825">I706+J706</f>
        <v>0</v>
      </c>
      <c r="L706" s="831"/>
      <c r="M706" s="832" t="str">
        <f>IF($H$1784=0,"",IF(G706=0,"",IF(F706="Qty=",CONCATENATE("$",ROUND(K706*(1-$H$1784),2)," with ",($H$1784*100),"% discount"),CONCATENATE("$",ROUND(K706*(1-$H$1784),2)," with ",(($H$1784*100+F706*100)-($H$1784*100*F706)),IF(F706&gt;0,"% discounts",IF($H$1781&gt;0,"% discounts","% discount"))))))</f>
        <v/>
      </c>
      <c r="N706" s="832"/>
      <c r="O706" s="832"/>
      <c r="P706" s="832"/>
      <c r="Q706" s="832"/>
      <c r="R706" s="832"/>
      <c r="S706" s="303">
        <f t="shared" ref="S706" si="1826">E706*G706</f>
        <v>0</v>
      </c>
      <c r="T706" s="541">
        <f>VLOOKUP(A706,'Discount Lookup'!D:E,2,FALSE)*G706</f>
        <v>0</v>
      </c>
      <c r="U706" s="83">
        <f>VLOOKUP(A706,'Discount Lookup'!G:H,2,FALSE)*G706</f>
        <v>0</v>
      </c>
      <c r="V706" s="100">
        <f>E706*($J$1782)*G706</f>
        <v>0</v>
      </c>
      <c r="W706" s="100">
        <f t="shared" ref="W706" si="1827">I706</f>
        <v>0</v>
      </c>
      <c r="X706" s="100" t="b">
        <f t="shared" ref="X706" si="1828">IF(G706&gt;0,IF(AD706="me","",G706))</f>
        <v>0</v>
      </c>
      <c r="Y706" s="201"/>
      <c r="Z706" s="829" t="str">
        <f t="shared" ref="Z706:Z772" si="1829">IF(G706=0,"",IF(AD706="me","",IF($AD$8="me","",IF(AD706="free","warranty",IF($AD$8="yes","NVP planting:","to NVP install:")))))</f>
        <v/>
      </c>
      <c r="AA706" s="829"/>
      <c r="AB706" s="830" t="str">
        <f>IF(G706=0,"",IF(AD706="free","re-planting",IF(AD706="me","not NVP, by",IF($AD$8="yes",(VLOOKUP(A706,'Discount Lookup'!J:K,2)*G706*(1-$AC$1786)*(1+$AC$1788)),IF(AD706="NVP",(VLOOKUP(A706,'Discount Lookup'!J:K,2)*G706*(1-$AC$1786)*(1+$AC$1788)),IF(AD706="free","re-planting",IF(G706=0,"",IF($AD$8="",IF(AD706="me","not NVP, by",IF(AD706="",IF(G706&gt;0,(VLOOKUP(A706,'Discount Lookup'!J:K,2)*G706*(1-$AC$1786)*(1+$AC$1788)),""),"")),"not NVP, by"))))))))</f>
        <v/>
      </c>
      <c r="AC706" s="830"/>
      <c r="AD706" s="375" t="str">
        <f t="shared" si="1724"/>
        <v/>
      </c>
      <c r="AE706" s="833" t="str">
        <f t="shared" ref="AE706" si="1830">IF(G706&gt;0,(CONCATENATE((G706)," quantity, ",(A706)," ",B706)),"")</f>
        <v/>
      </c>
      <c r="AF706" s="833"/>
      <c r="AG706" s="833"/>
      <c r="AH706" s="91">
        <f>IF(AD706="free",0,IF(AD706="me",0,IF(G706&gt;0,(VLOOKUP(A706,'Discount Lookup'!J:K,2)*G706),0)))</f>
        <v>0</v>
      </c>
      <c r="AI706" s="92" t="str">
        <f t="shared" si="1822"/>
        <v/>
      </c>
      <c r="AJ706" s="828" t="str">
        <f t="shared" ref="AJ706:AJ772" si="1831">IF(G706=0,"",IF(AD706="me","  delivery-only",IF($AD$8="me","  delivery-only",CONCATENATE(" $",ROUND(AI706/G706,2)," each"))))</f>
        <v/>
      </c>
      <c r="AK706" s="828"/>
      <c r="AL706" s="313" t="str">
        <f t="shared" si="1714"/>
        <v/>
      </c>
      <c r="AM706" s="312"/>
      <c r="AN706" s="101"/>
      <c r="AO706" s="101"/>
      <c r="AP706" s="101"/>
      <c r="AQ706" s="101"/>
      <c r="AR706" s="101"/>
      <c r="AS706" s="101"/>
      <c r="AT706" s="101"/>
    </row>
    <row r="707" spans="1:46" ht="12.95" customHeight="1">
      <c r="A707" s="419">
        <v>10</v>
      </c>
      <c r="B707" s="87" t="s">
        <v>50</v>
      </c>
      <c r="C707" s="128" t="s">
        <v>170</v>
      </c>
      <c r="D707" s="129" t="s">
        <v>90</v>
      </c>
      <c r="E707" s="98">
        <v>112.95</v>
      </c>
      <c r="F707" s="705" t="s">
        <v>1306</v>
      </c>
      <c r="G707" s="357">
        <v>0</v>
      </c>
      <c r="H707" s="704" t="str">
        <f t="shared" si="1823"/>
        <v/>
      </c>
      <c r="I707" s="98">
        <f t="shared" si="1824"/>
        <v>0</v>
      </c>
      <c r="J707" s="98">
        <f>IF(H707="warranty",0,(I707*($J$1782)))</f>
        <v>0</v>
      </c>
      <c r="K707" s="831">
        <f t="shared" si="1825"/>
        <v>0</v>
      </c>
      <c r="L707" s="831"/>
      <c r="M707" s="832" t="str">
        <f>IF($H$1784=0,"",IF(G707=0,"",IF(F707="Qty=",CONCATENATE("$",ROUND(K707*(1-$H$1784),2)," with ",($H$1784*100),"% discount"),CONCATENATE("$",ROUND(K707*(1-$H$1784),2)," with ",(($H$1784*100+F707*100)-($H$1784*100*F707)),IF(F707&gt;0,"% discounts",IF($H$1781&gt;0,"% discounts","% discount"))))))</f>
        <v/>
      </c>
      <c r="N707" s="832"/>
      <c r="O707" s="832"/>
      <c r="P707" s="832"/>
      <c r="Q707" s="832"/>
      <c r="R707" s="832"/>
      <c r="S707" s="303">
        <f t="shared" ref="S707" si="1832">E707*G707</f>
        <v>0</v>
      </c>
      <c r="T707" s="541">
        <f>VLOOKUP(A707,'Discount Lookup'!D:E,2,FALSE)*G707</f>
        <v>0</v>
      </c>
      <c r="U707" s="83">
        <f>VLOOKUP(A707,'Discount Lookup'!G:H,2,FALSE)*G707</f>
        <v>0</v>
      </c>
      <c r="V707" s="100">
        <f>E707*($J$1782)*G707</f>
        <v>0</v>
      </c>
      <c r="W707" s="100">
        <f t="shared" ref="W707" si="1833">I707</f>
        <v>0</v>
      </c>
      <c r="X707" s="100" t="b">
        <f>IF(G707&gt;0,IF(AD707="me","",G707))</f>
        <v>0</v>
      </c>
      <c r="Y707" s="201"/>
      <c r="Z707" s="829" t="str">
        <f t="shared" si="1829"/>
        <v/>
      </c>
      <c r="AA707" s="829"/>
      <c r="AB707" s="830" t="str">
        <f>IF(G707=0,"",IF(AD707="free","re-planting",IF(AD707="me","not NVP, by",IF($AD$8="yes",(VLOOKUP(A707,'Discount Lookup'!J:K,2)*G707*(1-$AC$1786)*(1+$AC$1788)),IF(AD707="NVP",(VLOOKUP(A707,'Discount Lookup'!J:K,2)*G707*(1-$AC$1786)*(1+$AC$1788)),IF(AD707="free","re-planting",IF(G707=0,"",IF($AD$8="",IF(AD707="me","not NVP, by",IF(AD707="",IF(G707&gt;0,(VLOOKUP(A707,'Discount Lookup'!J:K,2)*G707*(1-$AC$1786)*(1+$AC$1788)),""),"")),"not NVP, by"))))))))</f>
        <v/>
      </c>
      <c r="AC707" s="830"/>
      <c r="AD707" s="375" t="str">
        <f t="shared" si="1724"/>
        <v/>
      </c>
      <c r="AE707" s="833" t="str">
        <f t="shared" si="1778"/>
        <v/>
      </c>
      <c r="AF707" s="833"/>
      <c r="AG707" s="833"/>
      <c r="AH707" s="91">
        <f>IF(AD707="free",0,IF(AD707="me",0,IF(G707&gt;0,(VLOOKUP(A707,'Discount Lookup'!J:K,2)*G707),0)))</f>
        <v>0</v>
      </c>
      <c r="AI707" s="92" t="str">
        <f t="shared" si="1822"/>
        <v/>
      </c>
      <c r="AJ707" s="828" t="str">
        <f t="shared" si="1831"/>
        <v/>
      </c>
      <c r="AK707" s="828"/>
      <c r="AL707" s="313" t="str">
        <f t="shared" si="1714"/>
        <v/>
      </c>
      <c r="AM707" s="312"/>
      <c r="AN707" s="101"/>
      <c r="AO707" s="101"/>
      <c r="AP707" s="101"/>
      <c r="AQ707" s="101"/>
      <c r="AR707" s="101"/>
      <c r="AS707" s="101"/>
      <c r="AT707" s="101"/>
    </row>
    <row r="708" spans="1:46" ht="12.95" customHeight="1">
      <c r="A708" s="469"/>
      <c r="B708" s="149" t="s">
        <v>452</v>
      </c>
      <c r="C708" s="130"/>
      <c r="D708" s="104"/>
      <c r="E708" s="131"/>
      <c r="G708" s="362"/>
      <c r="H708" s="749"/>
      <c r="M708" s="121"/>
      <c r="N708" s="121"/>
      <c r="O708" s="123"/>
      <c r="P708" s="124"/>
      <c r="Q708" s="124"/>
      <c r="R708" s="83"/>
      <c r="S708" s="82">
        <f>E708*G708</f>
        <v>0</v>
      </c>
      <c r="T708" s="540"/>
      <c r="U708" s="83"/>
      <c r="V708" s="100" t="b">
        <f>IF(G708&gt;0,IF(AD708="me","",G708))</f>
        <v>0</v>
      </c>
      <c r="W708" s="100"/>
      <c r="X708" s="100"/>
      <c r="Y708" s="201"/>
      <c r="Z708" s="829" t="str">
        <f t="shared" si="1829"/>
        <v/>
      </c>
      <c r="AA708" s="829"/>
      <c r="AB708" s="830" t="str">
        <f>IF(G708=0,"",IF(AD708="free","re-planting",IF(AD708="me","not NVP, by",IF($AD$8="yes",(VLOOKUP(A708,'Discount Lookup'!J:K,2)*G708*(1-$AC$1786)*(1+$AC$1788)),IF(AD708="NVP",(VLOOKUP(A708,'Discount Lookup'!J:K,2)*G708*(1-$AC$1786)*(1+$AC$1788)),IF(AD708="free","re-planting",IF(G708=0,"",IF($AD$8="",IF(AD708="me","not NVP, by",IF(AD708="",IF(G708&gt;0,(VLOOKUP(A708,'Discount Lookup'!J:K,2)*G708*(1-$AC$1786)*(1+$AC$1788)),""),"")),"not NVP, by"))))))))</f>
        <v/>
      </c>
      <c r="AC708" s="830"/>
      <c r="AD708" s="375" t="str">
        <f t="shared" si="1724"/>
        <v/>
      </c>
      <c r="AE708" s="833" t="str">
        <f t="shared" si="1778"/>
        <v/>
      </c>
      <c r="AF708" s="833"/>
      <c r="AG708" s="833"/>
      <c r="AH708" s="91">
        <f>IF(AD708="free",0,IF(AD708="me",0,IF(G708&gt;0,(VLOOKUP(A708,'Discount Lookup'!J:K,2)*G708),0)))</f>
        <v>0</v>
      </c>
      <c r="AI708" s="92" t="str">
        <f t="shared" si="1822"/>
        <v/>
      </c>
      <c r="AJ708" s="828" t="str">
        <f t="shared" si="1831"/>
        <v/>
      </c>
      <c r="AK708" s="828"/>
      <c r="AL708" s="313" t="str">
        <f t="shared" si="1714"/>
        <v/>
      </c>
      <c r="AM708" s="312"/>
      <c r="AN708" s="101"/>
      <c r="AO708" s="101"/>
      <c r="AP708" s="101"/>
      <c r="AQ708" s="101"/>
      <c r="AR708" s="101"/>
      <c r="AS708" s="101"/>
      <c r="AT708" s="101"/>
    </row>
    <row r="709" spans="1:46" ht="12.95" customHeight="1">
      <c r="A709" s="847" t="s">
        <v>453</v>
      </c>
      <c r="B709" s="848"/>
      <c r="C709" s="848"/>
      <c r="D709" s="848"/>
      <c r="E709" s="848"/>
      <c r="F709" s="848"/>
      <c r="G709" s="848"/>
      <c r="H709" s="777" t="s">
        <v>403</v>
      </c>
      <c r="I709" s="439" t="s">
        <v>280</v>
      </c>
      <c r="J709" s="93"/>
      <c r="K709" s="603" t="s">
        <v>45</v>
      </c>
      <c r="L709" s="601" t="s">
        <v>46</v>
      </c>
      <c r="M709" s="86"/>
      <c r="N709" s="87" t="s">
        <v>128</v>
      </c>
      <c r="O709" s="87"/>
      <c r="P709" s="88"/>
      <c r="Q709" s="88"/>
      <c r="R709" s="86"/>
      <c r="S709" s="125"/>
      <c r="T709" s="543"/>
      <c r="U709" s="112"/>
      <c r="V709" s="100" t="b">
        <f>IF(G709&gt;0,IF(AD709="me","",G709))</f>
        <v>0</v>
      </c>
      <c r="W709" s="100"/>
      <c r="X709" s="100"/>
      <c r="Y709" s="201"/>
      <c r="Z709" s="829" t="str">
        <f t="shared" si="1829"/>
        <v/>
      </c>
      <c r="AA709" s="829"/>
      <c r="AB709" s="830" t="str">
        <f>IF(G709=0,"",IF(AD709="free","re-planting",IF(AD709="me","not NVP, by",IF($AD$8="yes",(VLOOKUP(A709,'Discount Lookup'!J:K,2)*G709*(1-$AC$1786)*(1+$AC$1788)),IF(AD709="NVP",(VLOOKUP(A709,'Discount Lookup'!J:K,2)*G709*(1-$AC$1786)*(1+$AC$1788)),IF(AD709="free","re-planting",IF(G709=0,"",IF($AD$8="",IF(AD709="me","not NVP, by",IF(AD709="",IF(G709&gt;0,(VLOOKUP(A709,'Discount Lookup'!J:K,2)*G709*(1-$AC$1786)*(1+$AC$1788)),""),"")),"not NVP, by"))))))))</f>
        <v/>
      </c>
      <c r="AC709" s="830"/>
      <c r="AD709" s="375" t="str">
        <f t="shared" si="1724"/>
        <v/>
      </c>
      <c r="AE709" s="833" t="str">
        <f t="shared" si="1778"/>
        <v/>
      </c>
      <c r="AF709" s="833"/>
      <c r="AG709" s="833"/>
      <c r="AH709" s="91">
        <f>IF(AD709="free",0,IF(AD709="me",0,IF(G709&gt;0,(VLOOKUP(A709,'Discount Lookup'!J:K,2)*G709),0)))</f>
        <v>0</v>
      </c>
      <c r="AI709" s="92" t="str">
        <f t="shared" si="1822"/>
        <v/>
      </c>
      <c r="AJ709" s="828" t="str">
        <f t="shared" si="1831"/>
        <v/>
      </c>
      <c r="AK709" s="828"/>
      <c r="AL709" s="313" t="str">
        <f t="shared" si="1714"/>
        <v/>
      </c>
      <c r="AM709" s="312"/>
      <c r="AN709" s="101"/>
      <c r="AO709" s="101"/>
      <c r="AP709" s="101"/>
      <c r="AQ709" s="101"/>
      <c r="AR709" s="101"/>
      <c r="AS709" s="101"/>
      <c r="AT709" s="101"/>
    </row>
    <row r="710" spans="1:46" ht="12.95" customHeight="1">
      <c r="A710" s="419">
        <v>7</v>
      </c>
      <c r="B710" s="567" t="s">
        <v>50</v>
      </c>
      <c r="C710" s="399" t="s">
        <v>236</v>
      </c>
      <c r="D710" s="129" t="s">
        <v>90</v>
      </c>
      <c r="E710" s="98">
        <v>112.95</v>
      </c>
      <c r="F710" s="705" t="s">
        <v>1306</v>
      </c>
      <c r="G710" s="357">
        <v>0</v>
      </c>
      <c r="H710" s="704" t="str">
        <f t="shared" ref="H710" si="1834">IF(G710=0,"",IF(F710="Qty=",IF(G710=1,"plant","plants"),IF(F710&gt;0.0001,"warranty","Error")))</f>
        <v/>
      </c>
      <c r="I710" s="98">
        <f t="shared" ref="I710" si="1835">IF(F710="Qty=",(E710*G710),((E710*(1-F710))*G710))</f>
        <v>0</v>
      </c>
      <c r="J710" s="98">
        <f>IF(H710="warranty",0,(I710*($J$1782)))</f>
        <v>0</v>
      </c>
      <c r="K710" s="831">
        <f t="shared" ref="K710" si="1836">I710+J710</f>
        <v>0</v>
      </c>
      <c r="L710" s="831"/>
      <c r="M710" s="832" t="str">
        <f>IF($H$1784=0,"",IF(G710=0,"",IF(F710="Qty=",CONCATENATE("$",ROUND(K710*(1-$H$1784),2)," with ",($H$1784*100),"% discount"),CONCATENATE("$",ROUND(K710*(1-$H$1784),2)," with ",(($H$1784*100+F710*100)-($H$1784*100*F710)),IF(F710&gt;0,"% discounts",IF($H$1781&gt;0,"% discounts","% discount"))))))</f>
        <v/>
      </c>
      <c r="N710" s="832"/>
      <c r="O710" s="832"/>
      <c r="P710" s="832"/>
      <c r="Q710" s="832"/>
      <c r="R710" s="832"/>
      <c r="S710" s="303">
        <f t="shared" ref="S710" si="1837">E710*G710</f>
        <v>0</v>
      </c>
      <c r="T710" s="541">
        <f>VLOOKUP(A710,'Discount Lookup'!D:E,2,FALSE)*G710</f>
        <v>0</v>
      </c>
      <c r="U710" s="83">
        <f>VLOOKUP(A710,'Discount Lookup'!G:H,2,FALSE)*G710</f>
        <v>0</v>
      </c>
      <c r="V710" s="100">
        <f>E710*($J$1782)*G710</f>
        <v>0</v>
      </c>
      <c r="W710" s="100">
        <f t="shared" ref="W710" si="1838">I710</f>
        <v>0</v>
      </c>
      <c r="X710" s="100" t="b">
        <f>IF(G710&gt;0,IF(AD710="me","",G710))</f>
        <v>0</v>
      </c>
      <c r="Y710" s="201"/>
      <c r="Z710" s="829" t="str">
        <f t="shared" si="1829"/>
        <v/>
      </c>
      <c r="AA710" s="829"/>
      <c r="AB710" s="830" t="str">
        <f>IF(G710=0,"",IF(AD710="free","re-planting",IF(AD710="me","not NVP, by",IF($AD$8="yes",(VLOOKUP(A710,'Discount Lookup'!J:K,2)*G710*(1-$AC$1786)*(1+$AC$1788)),IF(AD710="NVP",(VLOOKUP(A710,'Discount Lookup'!J:K,2)*G710*(1-$AC$1786)*(1+$AC$1788)),IF(AD710="free","re-planting",IF(G710=0,"",IF($AD$8="",IF(AD710="me","not NVP, by",IF(AD710="",IF(G710&gt;0,(VLOOKUP(A710,'Discount Lookup'!J:K,2)*G710*(1-$AC$1786)*(1+$AC$1788)),""),"")),"not NVP, by"))))))))</f>
        <v/>
      </c>
      <c r="AC710" s="830"/>
      <c r="AD710" s="375" t="str">
        <f t="shared" si="1724"/>
        <v/>
      </c>
      <c r="AE710" s="833" t="str">
        <f t="shared" si="1778"/>
        <v/>
      </c>
      <c r="AF710" s="833"/>
      <c r="AG710" s="833"/>
      <c r="AH710" s="91">
        <f>IF(AD710="free",0,IF(AD710="me",0,IF(G710&gt;0,(VLOOKUP(A710,'Discount Lookup'!J:K,2)*G710),0)))</f>
        <v>0</v>
      </c>
      <c r="AI710" s="92" t="str">
        <f t="shared" si="1822"/>
        <v/>
      </c>
      <c r="AJ710" s="828" t="str">
        <f t="shared" si="1831"/>
        <v/>
      </c>
      <c r="AK710" s="828"/>
      <c r="AL710" s="313" t="str">
        <f t="shared" si="1714"/>
        <v/>
      </c>
      <c r="AM710" s="312"/>
      <c r="AN710" s="101"/>
      <c r="AO710" s="101"/>
      <c r="AP710" s="101"/>
      <c r="AQ710" s="101"/>
      <c r="AR710" s="101"/>
      <c r="AS710" s="101"/>
      <c r="AT710" s="101"/>
    </row>
    <row r="711" spans="1:46" ht="12.95" customHeight="1">
      <c r="A711" s="469"/>
      <c r="B711" s="149" t="s">
        <v>454</v>
      </c>
      <c r="C711" s="130"/>
      <c r="D711" s="104"/>
      <c r="E711" s="131"/>
      <c r="G711" s="362"/>
      <c r="H711" s="749"/>
      <c r="M711" s="121"/>
      <c r="N711" s="191"/>
      <c r="O711" s="123"/>
      <c r="P711" s="124"/>
      <c r="Q711" s="124"/>
      <c r="R711" s="83"/>
      <c r="S711" s="82">
        <f>E711*G711</f>
        <v>0</v>
      </c>
      <c r="T711" s="540"/>
      <c r="U711" s="83"/>
      <c r="V711" s="100" t="b">
        <f>IF(G711&gt;0,IF(AD711="me","",G711))</f>
        <v>0</v>
      </c>
      <c r="W711" s="100"/>
      <c r="X711" s="100"/>
      <c r="Y711" s="201"/>
      <c r="Z711" s="829" t="str">
        <f t="shared" si="1829"/>
        <v/>
      </c>
      <c r="AA711" s="829"/>
      <c r="AB711" s="830" t="str">
        <f>IF(G711=0,"",IF(AD711="free","re-planting",IF(AD711="me","not NVP, by",IF($AD$8="yes",(VLOOKUP(A711,'Discount Lookup'!J:K,2)*G711*(1-$AC$1786)*(1+$AC$1788)),IF(AD711="NVP",(VLOOKUP(A711,'Discount Lookup'!J:K,2)*G711*(1-$AC$1786)*(1+$AC$1788)),IF(AD711="free","re-planting",IF(G711=0,"",IF($AD$8="",IF(AD711="me","not NVP, by",IF(AD711="",IF(G711&gt;0,(VLOOKUP(A711,'Discount Lookup'!J:K,2)*G711*(1-$AC$1786)*(1+$AC$1788)),""),"")),"not NVP, by"))))))))</f>
        <v/>
      </c>
      <c r="AC711" s="830"/>
      <c r="AD711" s="375" t="str">
        <f t="shared" si="1724"/>
        <v/>
      </c>
      <c r="AE711" s="833" t="str">
        <f t="shared" si="1778"/>
        <v/>
      </c>
      <c r="AF711" s="833"/>
      <c r="AG711" s="833"/>
      <c r="AH711" s="91">
        <f>IF(AD711="free",0,IF(AD711="me",0,IF(G711&gt;0,(VLOOKUP(A711,'Discount Lookup'!J:K,2)*G711),0)))</f>
        <v>0</v>
      </c>
      <c r="AI711" s="92" t="str">
        <f t="shared" si="1822"/>
        <v/>
      </c>
      <c r="AJ711" s="828" t="str">
        <f t="shared" si="1831"/>
        <v/>
      </c>
      <c r="AK711" s="828"/>
      <c r="AL711" s="313" t="str">
        <f t="shared" si="1714"/>
        <v/>
      </c>
      <c r="AM711" s="312"/>
      <c r="AN711" s="101"/>
      <c r="AO711" s="101"/>
      <c r="AP711" s="101"/>
      <c r="AQ711" s="101"/>
      <c r="AR711" s="101"/>
      <c r="AS711" s="101"/>
      <c r="AT711" s="101"/>
    </row>
    <row r="712" spans="1:46" ht="12.95" customHeight="1">
      <c r="A712" s="852" t="s">
        <v>455</v>
      </c>
      <c r="B712" s="844"/>
      <c r="C712" s="844"/>
      <c r="D712" s="844"/>
      <c r="E712" s="844"/>
      <c r="F712" s="844"/>
      <c r="G712" s="844"/>
      <c r="H712" s="777" t="s">
        <v>403</v>
      </c>
      <c r="I712" s="88" t="s">
        <v>235</v>
      </c>
      <c r="J712" s="126"/>
      <c r="K712" s="603" t="s">
        <v>45</v>
      </c>
      <c r="L712" s="601" t="s">
        <v>46</v>
      </c>
      <c r="M712" s="86"/>
      <c r="N712" s="87" t="s">
        <v>69</v>
      </c>
      <c r="O712" s="87"/>
      <c r="P712" s="88"/>
      <c r="Q712" s="88"/>
      <c r="R712" s="86"/>
      <c r="S712" s="125"/>
      <c r="T712" s="543"/>
      <c r="U712" s="112"/>
      <c r="V712" s="100" t="b">
        <f>IF(G712&gt;0,IF(AD712="me","",G712))</f>
        <v>0</v>
      </c>
      <c r="W712" s="100"/>
      <c r="X712" s="100"/>
      <c r="Y712" s="201"/>
      <c r="Z712" s="829" t="str">
        <f t="shared" si="1829"/>
        <v/>
      </c>
      <c r="AA712" s="829"/>
      <c r="AB712" s="830" t="str">
        <f>IF(G712=0,"",IF(AD712="free","re-planting",IF(AD712="me","not NVP, by",IF($AD$8="yes",(VLOOKUP(A712,'Discount Lookup'!J:K,2)*G712*(1-$AC$1786)*(1+$AC$1788)),IF(AD712="NVP",(VLOOKUP(A712,'Discount Lookup'!J:K,2)*G712*(1-$AC$1786)*(1+$AC$1788)),IF(AD712="free","re-planting",IF(G712=0,"",IF($AD$8="",IF(AD712="me","not NVP, by",IF(AD712="",IF(G712&gt;0,(VLOOKUP(A712,'Discount Lookup'!J:K,2)*G712*(1-$AC$1786)*(1+$AC$1788)),""),"")),"not NVP, by"))))))))</f>
        <v/>
      </c>
      <c r="AC712" s="830"/>
      <c r="AD712" s="375" t="str">
        <f t="shared" si="1724"/>
        <v/>
      </c>
      <c r="AE712" s="833" t="str">
        <f t="shared" si="1778"/>
        <v/>
      </c>
      <c r="AF712" s="833"/>
      <c r="AG712" s="833"/>
      <c r="AH712" s="91">
        <f>IF(AD712="free",0,IF(AD712="me",0,IF(G712&gt;0,(VLOOKUP(A712,'Discount Lookup'!J:K,2)*G712),0)))</f>
        <v>0</v>
      </c>
      <c r="AI712" s="92" t="str">
        <f t="shared" si="1822"/>
        <v/>
      </c>
      <c r="AJ712" s="828" t="str">
        <f t="shared" si="1831"/>
        <v/>
      </c>
      <c r="AK712" s="828"/>
      <c r="AL712" s="313" t="str">
        <f t="shared" si="1714"/>
        <v/>
      </c>
      <c r="AM712" s="312"/>
      <c r="AN712" s="101"/>
      <c r="AO712" s="101"/>
      <c r="AP712" s="101"/>
      <c r="AQ712" s="101"/>
      <c r="AR712" s="101"/>
      <c r="AS712" s="101"/>
      <c r="AT712" s="101"/>
    </row>
    <row r="713" spans="1:46" ht="12.95" customHeight="1">
      <c r="A713" s="419">
        <v>3</v>
      </c>
      <c r="B713" s="87" t="s">
        <v>50</v>
      </c>
      <c r="C713" s="399" t="s">
        <v>136</v>
      </c>
      <c r="D713" s="129" t="s">
        <v>62</v>
      </c>
      <c r="E713" s="98">
        <v>22.95</v>
      </c>
      <c r="F713" s="705" t="s">
        <v>1306</v>
      </c>
      <c r="G713" s="357">
        <v>0</v>
      </c>
      <c r="H713" s="704" t="str">
        <f t="shared" ref="H713" si="1839">IF(G713=0,"",IF(F713="Qty=",IF(G713=1,"plant","plants"),IF(F713&gt;0.0001,"warranty","Error")))</f>
        <v/>
      </c>
      <c r="I713" s="98">
        <f t="shared" ref="I713" si="1840">IF(F713="Qty=",(E713*G713),((E713*(1-F713))*G713))</f>
        <v>0</v>
      </c>
      <c r="J713" s="98">
        <f>IF(H713="warranty",0,(I713*($J$1782)))</f>
        <v>0</v>
      </c>
      <c r="K713" s="831">
        <f t="shared" ref="K713" si="1841">I713+J713</f>
        <v>0</v>
      </c>
      <c r="L713" s="831"/>
      <c r="M713" s="832" t="str">
        <f>IF($H$1784=0,"",IF(G713=0,"",IF(F713="Qty=",CONCATENATE("$",ROUND(K713*(1-$H$1784),2)," with ",($H$1784*100),"% discount"),CONCATENATE("$",ROUND(K713*(1-$H$1784),2)," with ",(($H$1784*100+F713*100)-($H$1784*100*F713)),IF(F713&gt;0,"% discounts",IF($H$1781&gt;0,"% discounts","% discount"))))))</f>
        <v/>
      </c>
      <c r="N713" s="832"/>
      <c r="O713" s="832"/>
      <c r="P713" s="832"/>
      <c r="Q713" s="832"/>
      <c r="R713" s="832"/>
      <c r="S713" s="303">
        <f t="shared" ref="S713" si="1842">E713*G713</f>
        <v>0</v>
      </c>
      <c r="T713" s="541">
        <f>VLOOKUP(A713,'Discount Lookup'!D:E,2,FALSE)*G713</f>
        <v>0</v>
      </c>
      <c r="U713" s="83">
        <f>VLOOKUP(A713,'Discount Lookup'!G:H,2,FALSE)*G713</f>
        <v>0</v>
      </c>
      <c r="V713" s="100">
        <f>E713*($J$1782)*G713</f>
        <v>0</v>
      </c>
      <c r="W713" s="100">
        <f t="shared" ref="W713" si="1843">I713</f>
        <v>0</v>
      </c>
      <c r="X713" s="100" t="b">
        <f>IF(G713&gt;0,IF(AD713="me","",G713))</f>
        <v>0</v>
      </c>
      <c r="Y713" s="201"/>
      <c r="Z713" s="829" t="str">
        <f t="shared" ref="Z713" si="1844">IF(G713=0,"",IF(AD713="me","",IF($AD$8="me","",IF(AD713="free","warranty",IF($AD$8="yes","NVP planting:","to NVP install:")))))</f>
        <v/>
      </c>
      <c r="AA713" s="829"/>
      <c r="AB713" s="830" t="str">
        <f>IF(G713=0,"",IF(AD713="free","re-planting",IF(AD713="me","not NVP, by",IF($AD$8="yes",(VLOOKUP(A713,'Discount Lookup'!J:K,2)*G713*(1-$AC$1786)*(1+$AC$1788)),IF(AD713="NVP",(VLOOKUP(A713,'Discount Lookup'!J:K,2)*G713*(1-$AC$1786)*(1+$AC$1788)),IF(AD713="free","re-planting",IF(G713=0,"",IF($AD$8="",IF(AD713="me","not NVP, by",IF(AD713="",IF(G713&gt;0,(VLOOKUP(A713,'Discount Lookup'!J:K,2)*G713*(1-$AC$1786)*(1+$AC$1788)),""),"")),"not NVP, by"))))))))</f>
        <v/>
      </c>
      <c r="AC713" s="830"/>
      <c r="AD713" s="375" t="str">
        <f t="shared" si="1724"/>
        <v/>
      </c>
      <c r="AE713" s="833" t="str">
        <f t="shared" ref="AE713" si="1845">IF(G713&gt;0,(CONCATENATE((G713)," quantity, ",(A713)," ",B713)),"")</f>
        <v/>
      </c>
      <c r="AF713" s="833"/>
      <c r="AG713" s="833"/>
      <c r="AH713" s="91">
        <f>IF(AD713="free",0,IF(AD713="me",0,IF(G713&gt;0,(VLOOKUP(A713,'Discount Lookup'!J:K,2)*G713),0)))</f>
        <v>0</v>
      </c>
      <c r="AI713" s="92" t="str">
        <f t="shared" si="1822"/>
        <v/>
      </c>
      <c r="AJ713" s="828" t="str">
        <f t="shared" ref="AJ713" si="1846">IF(G713=0,"",IF(AD713="me","  delivery-only",IF($AD$8="me","  delivery-only",CONCATENATE(" $",ROUND(AI713/G713,2)," each"))))</f>
        <v/>
      </c>
      <c r="AK713" s="828"/>
      <c r="AL713" s="313" t="str">
        <f t="shared" si="1714"/>
        <v/>
      </c>
      <c r="AM713" s="312"/>
      <c r="AN713" s="101"/>
      <c r="AO713" s="101"/>
      <c r="AP713" s="101"/>
      <c r="AQ713" s="101"/>
      <c r="AR713" s="101"/>
      <c r="AS713" s="101"/>
      <c r="AT713" s="101"/>
    </row>
    <row r="714" spans="1:46" ht="12.95" customHeight="1">
      <c r="A714" s="465"/>
      <c r="B714" s="149" t="s">
        <v>456</v>
      </c>
      <c r="C714" s="104"/>
      <c r="D714" s="104"/>
      <c r="E714" s="131"/>
      <c r="F714" s="710"/>
      <c r="G714" s="358"/>
      <c r="H714" s="744"/>
      <c r="I714" s="131"/>
      <c r="J714" s="131"/>
      <c r="K714" s="608"/>
      <c r="L714" s="608"/>
      <c r="M714" s="121"/>
      <c r="N714" s="121"/>
      <c r="O714" s="123"/>
      <c r="P714" s="124"/>
      <c r="Q714" s="124"/>
      <c r="R714" s="83"/>
      <c r="S714" s="82">
        <f>E714*G714</f>
        <v>0</v>
      </c>
      <c r="T714" s="540"/>
      <c r="U714" s="83"/>
      <c r="V714" s="100" t="b">
        <f>IF(G714&gt;0,IF(AD714="me","",G714))</f>
        <v>0</v>
      </c>
      <c r="W714" s="100"/>
      <c r="X714" s="100"/>
      <c r="Y714" s="201"/>
      <c r="Z714" s="829" t="str">
        <f t="shared" si="1829"/>
        <v/>
      </c>
      <c r="AA714" s="829"/>
      <c r="AB714" s="830" t="str">
        <f>IF(G714=0,"",IF(AD714="free","re-planting",IF(AD714="me","not NVP, by",IF($AD$8="yes",(VLOOKUP(A714,'Discount Lookup'!J:K,2)*G714*(1-$AC$1786)*(1+$AC$1788)),IF(AD714="NVP",(VLOOKUP(A714,'Discount Lookup'!J:K,2)*G714*(1-$AC$1786)*(1+$AC$1788)),IF(AD714="free","re-planting",IF(G714=0,"",IF($AD$8="",IF(AD714="me","not NVP, by",IF(AD714="",IF(G714&gt;0,(VLOOKUP(A714,'Discount Lookup'!J:K,2)*G714*(1-$AC$1786)*(1+$AC$1788)),""),"")),"not NVP, by"))))))))</f>
        <v/>
      </c>
      <c r="AC714" s="830"/>
      <c r="AD714" s="375" t="str">
        <f t="shared" si="1724"/>
        <v/>
      </c>
      <c r="AE714" s="833" t="str">
        <f t="shared" si="1778"/>
        <v/>
      </c>
      <c r="AF714" s="833"/>
      <c r="AG714" s="833"/>
      <c r="AH714" s="91">
        <f>IF(AD714="free",0,IF(AD714="me",0,IF(G714&gt;0,(VLOOKUP(A714,'Discount Lookup'!J:K,2)*G714),0)))</f>
        <v>0</v>
      </c>
      <c r="AI714" s="92" t="str">
        <f t="shared" si="1822"/>
        <v/>
      </c>
      <c r="AJ714" s="828" t="str">
        <f t="shared" si="1831"/>
        <v/>
      </c>
      <c r="AK714" s="828"/>
      <c r="AL714" s="313" t="str">
        <f t="shared" si="1714"/>
        <v/>
      </c>
      <c r="AM714" s="312"/>
      <c r="AN714" s="101"/>
      <c r="AO714" s="101"/>
      <c r="AP714" s="101"/>
      <c r="AQ714" s="101"/>
      <c r="AR714" s="101"/>
      <c r="AS714" s="101"/>
      <c r="AT714" s="101"/>
    </row>
    <row r="715" spans="1:46" ht="12.95" customHeight="1">
      <c r="A715" s="852" t="s">
        <v>1014</v>
      </c>
      <c r="B715" s="844"/>
      <c r="C715" s="844"/>
      <c r="D715" s="844"/>
      <c r="E715" s="844"/>
      <c r="F715" s="844"/>
      <c r="G715" s="844"/>
      <c r="H715" s="777" t="s">
        <v>203</v>
      </c>
      <c r="I715" s="88" t="s">
        <v>79</v>
      </c>
      <c r="J715" s="86"/>
      <c r="K715" s="600" t="s">
        <v>45</v>
      </c>
      <c r="L715" s="601" t="s">
        <v>46</v>
      </c>
      <c r="M715" s="115"/>
      <c r="N715" s="87" t="s">
        <v>128</v>
      </c>
      <c r="O715" s="87"/>
      <c r="P715" s="87"/>
      <c r="Q715" s="87"/>
      <c r="R715" s="88"/>
      <c r="S715" s="125"/>
      <c r="T715" s="543"/>
      <c r="U715" s="112"/>
      <c r="V715" s="100" t="b">
        <f>IF(G715&gt;0,IF(AD715="me","",G715))</f>
        <v>0</v>
      </c>
      <c r="W715" s="100"/>
      <c r="X715" s="100"/>
      <c r="Y715" s="201"/>
      <c r="Z715" s="838" t="str">
        <f>IF(G715=0,"",IF(AD715="me","",IF($AD$8="me","",IF(AD715="free","warranty",IF($AD$8="yes","NVP planting:","to NVP install:")))))</f>
        <v/>
      </c>
      <c r="AA715" s="838"/>
      <c r="AB715" s="830" t="str">
        <f>IF(G715=0,"",IF(AD715="free","re-planting",IF(AD715="me","not NVP, by",IF($AD$8="yes",(VLOOKUP(A715,'Discount Lookup'!J:K,2)*G715*(1-$AC$1786)*(1+$AC$1788)),IF(AD715="NVP",(VLOOKUP(A715,'Discount Lookup'!J:K,2)*G715*(1-$AC$1786)*(1+$AC$1788)),IF(AD715="free","re-planting",IF(G715=0,"",IF($AD$8="",IF(AD715="me","not NVP, by",IF(AD715="",IF(G715&gt;0,(VLOOKUP(A715,'Discount Lookup'!J:K,2)*G715*(1-$AC$1786)*(1+$AC$1788)),""),"")),"not NVP, by"))))))))</f>
        <v/>
      </c>
      <c r="AC715" s="830"/>
      <c r="AD715" s="375" t="str">
        <f t="shared" si="1724"/>
        <v/>
      </c>
      <c r="AE715" s="833" t="str">
        <f>IF(G715&gt;0,(CONCATENATE((G715)," quantity, ",(A715)," ",B715)),"")</f>
        <v/>
      </c>
      <c r="AF715" s="833"/>
      <c r="AG715" s="833"/>
      <c r="AH715" s="91" t="str">
        <f>IF(AD715="free",0,IF(AD715="me","",IF(G715&gt;0,(VLOOKUP(A715,'Discount Lookup'!J:K,2)*G715),"")))</f>
        <v/>
      </c>
      <c r="AI715" s="92" t="str">
        <f t="shared" si="1822"/>
        <v/>
      </c>
      <c r="AJ715" s="828" t="str">
        <f>IF(G715=0,"",IF(AD715="me","  delivery-only",CONCATENATE(" $",ROUND(AI715/G715,2)," each")))</f>
        <v/>
      </c>
      <c r="AK715" s="828"/>
      <c r="AL715" s="313" t="str">
        <f t="shared" ref="AL715:AL778" si="1847">IF(AD715="free","      ~ discounts included, no tax or planting fee applies ~",IF(G715=0,"",IF($AD$8="me",CONCATENATE(" $",ROUND(AI715/G715,2)," per plant, with tax &amp; discount"),IF(AD715="me",CONCATENATE(" $",ROUND(AI715/G715,2)," per plant, with tax &amp; discount"),CONCATENATE("= $",ROUND((K715*(1-$H$1784))/G715,2)," per plant + $",AB715/G715,(" per planting      ~ includes tax &amp; discounts ~"))))))</f>
        <v/>
      </c>
      <c r="AM715" s="312"/>
      <c r="AN715" s="101"/>
      <c r="AO715" s="101"/>
      <c r="AP715" s="101"/>
      <c r="AQ715" s="101"/>
      <c r="AR715" s="101"/>
      <c r="AS715" s="101"/>
      <c r="AT715" s="101"/>
    </row>
    <row r="716" spans="1:46" ht="12.95" customHeight="1">
      <c r="A716" s="419">
        <v>15</v>
      </c>
      <c r="B716" s="87" t="s">
        <v>50</v>
      </c>
      <c r="C716" s="128" t="s">
        <v>88</v>
      </c>
      <c r="D716" s="129" t="s">
        <v>90</v>
      </c>
      <c r="E716" s="98">
        <v>231.95</v>
      </c>
      <c r="F716" s="705" t="s">
        <v>1306</v>
      </c>
      <c r="G716" s="357">
        <v>0</v>
      </c>
      <c r="H716" s="704" t="str">
        <f t="shared" ref="H716" si="1848">IF(G716=0,"",IF(F716="Qty=",IF(G716=1,"plant","plants"),IF(F716&gt;0.0001,"warranty","Error")))</f>
        <v/>
      </c>
      <c r="I716" s="98">
        <f t="shared" ref="I716" si="1849">IF(F716="Qty=",(E716*G716),((E716*(1-F716))*G716))</f>
        <v>0</v>
      </c>
      <c r="J716" s="98">
        <f>IF(H716="warranty",0,(I716*($J$1782)))</f>
        <v>0</v>
      </c>
      <c r="K716" s="831">
        <f t="shared" ref="K716:K717" si="1850">I716+J716</f>
        <v>0</v>
      </c>
      <c r="L716" s="831"/>
      <c r="M716" s="832" t="str">
        <f>IF($H$1784=0,"",IF(G716=0,"",IF(F716="Qty=",CONCATENATE("$",ROUND(K716*(1-$H$1784),2)," with ",($H$1784*100),"% discount"),CONCATENATE("$",ROUND(K716*(1-$H$1784),2)," with ",(($H$1784*100+F716*100)-($H$1784*100*F716)),IF(F716&gt;0,"% discounts",IF($H$1781&gt;0,"% discounts","% discount"))))))</f>
        <v/>
      </c>
      <c r="N716" s="832"/>
      <c r="O716" s="832"/>
      <c r="P716" s="832"/>
      <c r="Q716" s="832"/>
      <c r="R716" s="832"/>
      <c r="S716" s="303">
        <f t="shared" ref="S716" si="1851">E716*G716</f>
        <v>0</v>
      </c>
      <c r="T716" s="541">
        <f>VLOOKUP(A716,'Discount Lookup'!D:E,2,FALSE)*G716</f>
        <v>0</v>
      </c>
      <c r="U716" s="83">
        <f>VLOOKUP(A716,'Discount Lookup'!G:H,2,FALSE)*G716</f>
        <v>0</v>
      </c>
      <c r="V716" s="100">
        <f>E716*($J$1782)*G716</f>
        <v>0</v>
      </c>
      <c r="W716" s="100">
        <f t="shared" ref="W716" si="1852">I716</f>
        <v>0</v>
      </c>
      <c r="X716" s="100" t="b">
        <f>IF(G716&gt;0,IF(AD716="me","",G716))</f>
        <v>0</v>
      </c>
      <c r="Y716" s="201"/>
      <c r="Z716" s="838" t="str">
        <f>IF(G716=0,"",IF(AD716="me","",IF($AD$8="me","",IF(AD716="free","warranty",IF($AD$8="yes","NVP planting:","to NVP install:")))))</f>
        <v/>
      </c>
      <c r="AA716" s="838"/>
      <c r="AB716" s="830" t="str">
        <f>IF(G716=0,"",IF(AD716="free","re-planting",IF(AD716="me","not NVP, by",IF($AD$8="yes",(VLOOKUP(A716,'Discount Lookup'!J:K,2)*G716*(1-$AC$1786)*(1+$AC$1788)),IF(AD716="NVP",(VLOOKUP(A716,'Discount Lookup'!J:K,2)*G716*(1-$AC$1786)*(1+$AC$1788)),IF(AD716="free","re-planting",IF(G716=0,"",IF($AD$8="",IF(AD716="me","not NVP, by",IF(AD716="",IF(G716&gt;0,(VLOOKUP(A716,'Discount Lookup'!J:K,2)*G716*(1-$AC$1786)*(1+$AC$1788)),""),"")),"not NVP, by"))))))))</f>
        <v/>
      </c>
      <c r="AC716" s="830"/>
      <c r="AD716" s="375" t="str">
        <f t="shared" ref="AD716:AD773" si="1853">IF(G716=0,"",IF($AD$8="me","me",IF(H716="warranty","free",IF($AD$8="yes","NVP",""))))</f>
        <v/>
      </c>
      <c r="AE716" s="833" t="str">
        <f>IF(G716&gt;0,(CONCATENATE((G716)," quantity, ",(A716)," ",B716)),"")</f>
        <v/>
      </c>
      <c r="AF716" s="833"/>
      <c r="AG716" s="833"/>
      <c r="AH716" s="91" t="str">
        <f>IF(AD716="free",0,IF(AD716="me","",IF(G716&gt;0,(VLOOKUP(A716,'Discount Lookup'!J:K,2)*G716),"")))</f>
        <v/>
      </c>
      <c r="AI716" s="92" t="str">
        <f t="shared" si="1822"/>
        <v/>
      </c>
      <c r="AJ716" s="828" t="str">
        <f>IF(G716=0,"",IF(AD716="me","  delivery-only",CONCATENATE(" $",ROUND(AI716/G716,2)," each")))</f>
        <v/>
      </c>
      <c r="AK716" s="828"/>
      <c r="AL716" s="313" t="str">
        <f t="shared" si="1847"/>
        <v/>
      </c>
      <c r="AM716" s="312"/>
      <c r="AN716" s="101"/>
      <c r="AO716" s="101"/>
      <c r="AP716" s="101"/>
      <c r="AQ716" s="101"/>
      <c r="AR716" s="101"/>
      <c r="AS716" s="101"/>
      <c r="AT716" s="101"/>
    </row>
    <row r="717" spans="1:46" ht="12.95" customHeight="1">
      <c r="A717" s="419">
        <v>25</v>
      </c>
      <c r="B717" s="87" t="s">
        <v>50</v>
      </c>
      <c r="C717" s="128" t="s">
        <v>53</v>
      </c>
      <c r="D717" s="129" t="s">
        <v>90</v>
      </c>
      <c r="E717" s="98">
        <v>432.95</v>
      </c>
      <c r="F717" s="705" t="s">
        <v>1306</v>
      </c>
      <c r="G717" s="357">
        <v>0</v>
      </c>
      <c r="H717" s="704" t="str">
        <f t="shared" ref="H717" si="1854">IF(G717=0,"",IF(F717="Qty=",IF(G717=1,"plant","plants"),IF(F717&gt;0.0001,"warranty","Error")))</f>
        <v/>
      </c>
      <c r="I717" s="98">
        <f t="shared" ref="I717" si="1855">IF(F717="Qty=",(E717*G717),((E717*(1-F717))*G717))</f>
        <v>0</v>
      </c>
      <c r="J717" s="98">
        <f>IF(H717="warranty",0,(I717*($J$1782)))</f>
        <v>0</v>
      </c>
      <c r="K717" s="831">
        <f t="shared" si="1850"/>
        <v>0</v>
      </c>
      <c r="L717" s="831"/>
      <c r="M717" s="832" t="str">
        <f>IF($H$1784=0,"",IF(G717=0,"",IF(F717="Qty=",CONCATENATE("$",ROUND(K717*(1-$H$1784),2)," with ",($H$1784*100),"% discount"),CONCATENATE("$",ROUND(K717*(1-$H$1784),2)," with ",(($H$1784*100+F717*100)-($H$1784*100*F717)),IF(F717&gt;0,"% discounts",IF($H$1781&gt;0,"% discounts","% discount"))))))</f>
        <v/>
      </c>
      <c r="N717" s="832"/>
      <c r="O717" s="832"/>
      <c r="P717" s="832"/>
      <c r="Q717" s="832"/>
      <c r="R717" s="832"/>
      <c r="S717" s="303">
        <f t="shared" ref="S717" si="1856">E717*G717</f>
        <v>0</v>
      </c>
      <c r="T717" s="541">
        <f>VLOOKUP(A717,'Discount Lookup'!D:E,2,FALSE)*G717</f>
        <v>0</v>
      </c>
      <c r="U717" s="83">
        <f>VLOOKUP(A717,'Discount Lookup'!G:H,2,FALSE)*G717</f>
        <v>0</v>
      </c>
      <c r="V717" s="100">
        <f>E717*($J$1782)*G717</f>
        <v>0</v>
      </c>
      <c r="W717" s="100">
        <f t="shared" ref="W717" si="1857">I717</f>
        <v>0</v>
      </c>
      <c r="X717" s="100" t="b">
        <f>IF(G717&gt;0,IF(AD717="me","",G717))</f>
        <v>0</v>
      </c>
      <c r="Y717" s="201"/>
      <c r="Z717" s="838" t="str">
        <f>IF(G717=0,"",IF(AD717="me","",IF($AD$8="me","",IF(AD717="free","warranty",IF($AD$8="yes","NVP planting:","to NVP install:")))))</f>
        <v/>
      </c>
      <c r="AA717" s="838"/>
      <c r="AB717" s="830" t="str">
        <f>IF(G717=0,"",IF(AD717="free","re-planting",IF(AD717="me","not NVP, by",IF($AD$8="yes",(VLOOKUP(A717,'Discount Lookup'!J:K,2)*G717*(1-$AC$1786)*(1+$AC$1788)),IF(AD717="NVP",(VLOOKUP(A717,'Discount Lookup'!J:K,2)*G717*(1-$AC$1786)*(1+$AC$1788)),IF(AD717="free","re-planting",IF(G717=0,"",IF($AD$8="",IF(AD717="me","not NVP, by",IF(AD717="",IF(G717&gt;0,(VLOOKUP(A717,'Discount Lookup'!J:K,2)*G717*(1-$AC$1786)*(1+$AC$1788)),""),"")),"not NVP, by"))))))))</f>
        <v/>
      </c>
      <c r="AC717" s="830"/>
      <c r="AD717" s="375" t="str">
        <f t="shared" si="1853"/>
        <v/>
      </c>
      <c r="AE717" s="833" t="str">
        <f>IF(G717&gt;0,(CONCATENATE((G717)," quantity, ",(A717)," ",B717)),"")</f>
        <v/>
      </c>
      <c r="AF717" s="833"/>
      <c r="AG717" s="833"/>
      <c r="AH717" s="91" t="str">
        <f>IF(AD717="free",0,IF(AD717="me","",IF(G717&gt;0,(VLOOKUP(A717,'Discount Lookup'!J:K,2)*G717),"")))</f>
        <v/>
      </c>
      <c r="AI717" s="92" t="str">
        <f t="shared" si="1822"/>
        <v/>
      </c>
      <c r="AJ717" s="828" t="str">
        <f>IF(G717=0,"",IF(AD717="me","  delivery-only",CONCATENATE(" $",ROUND(AI717/G717,2)," each")))</f>
        <v/>
      </c>
      <c r="AK717" s="828"/>
      <c r="AL717" s="313" t="str">
        <f t="shared" si="1847"/>
        <v/>
      </c>
      <c r="AM717" s="312"/>
      <c r="AN717" s="101"/>
      <c r="AO717" s="101"/>
      <c r="AP717" s="101"/>
      <c r="AQ717" s="101"/>
      <c r="AR717" s="101"/>
      <c r="AS717" s="101"/>
      <c r="AT717" s="101"/>
    </row>
    <row r="718" spans="1:46" ht="12.75" customHeight="1">
      <c r="A718" s="465"/>
      <c r="B718" s="103" t="s">
        <v>1015</v>
      </c>
      <c r="C718" s="130"/>
      <c r="D718" s="104"/>
      <c r="E718" s="131"/>
      <c r="F718" s="710"/>
      <c r="G718" s="356"/>
      <c r="H718" s="744"/>
      <c r="I718" s="131"/>
      <c r="J718" s="131"/>
      <c r="K718" s="608"/>
      <c r="L718" s="608"/>
      <c r="M718" s="121"/>
      <c r="N718" s="119"/>
      <c r="O718" s="123"/>
      <c r="P718" s="111"/>
      <c r="Q718" s="111"/>
      <c r="R718" s="111"/>
      <c r="S718" s="82">
        <f>E718*G718</f>
        <v>0</v>
      </c>
      <c r="T718" s="540"/>
      <c r="U718" s="83"/>
      <c r="V718" s="100" t="b">
        <f>IF(G718&gt;0,IF(AD718="me","",G718))</f>
        <v>0</v>
      </c>
      <c r="W718" s="100"/>
      <c r="X718" s="100"/>
      <c r="Y718" s="201"/>
      <c r="Z718" s="838" t="str">
        <f>IF(G718=0,"",IF(AD718="me","",IF($AD$8="me","",IF(AD718="free","warranty",IF($AD$8="yes","NVP planting:","to NVP install:")))))</f>
        <v/>
      </c>
      <c r="AA718" s="838"/>
      <c r="AB718" s="830" t="str">
        <f>IF(G718=0,"",IF(AD718="free","re-planting",IF(AD718="me","not NVP, by",IF($AD$8="yes",(VLOOKUP(A718,'Discount Lookup'!J:K,2)*G718*(1-$AC$1786)*(1+$AC$1788)),IF(AD718="NVP",(VLOOKUP(A718,'Discount Lookup'!J:K,2)*G718*(1-$AC$1786)*(1+$AC$1788)),IF(AD718="free","re-planting",IF(G718=0,"",IF($AD$8="",IF(AD718="me","not NVP, by",IF(AD718="",IF(G718&gt;0,(VLOOKUP(A718,'Discount Lookup'!J:K,2)*G718*(1-$AC$1786)*(1+$AC$1788)),""),"")),"not NVP, by"))))))))</f>
        <v/>
      </c>
      <c r="AC718" s="830"/>
      <c r="AD718" s="375" t="str">
        <f t="shared" si="1853"/>
        <v/>
      </c>
      <c r="AE718" s="833" t="str">
        <f>IF(G718&gt;0,(CONCATENATE((G718)," quantity, ",(A718)," ",B718)),"")</f>
        <v/>
      </c>
      <c r="AF718" s="833"/>
      <c r="AG718" s="833"/>
      <c r="AH718" s="91" t="str">
        <f>IF(AD718="free",0,IF(AD718="me","",IF(G718&gt;0,(VLOOKUP(A718,'Discount Lookup'!J:K,2)*G718),"")))</f>
        <v/>
      </c>
      <c r="AI718" s="92" t="str">
        <f t="shared" si="1822"/>
        <v/>
      </c>
      <c r="AJ718" s="828" t="str">
        <f>IF(G718=0,"",IF(AD718="me","  delivery-only",CONCATENATE(" $",ROUND(AI718/G718,2)," each")))</f>
        <v/>
      </c>
      <c r="AK718" s="828"/>
      <c r="AL718" s="313" t="str">
        <f t="shared" si="1847"/>
        <v/>
      </c>
      <c r="AM718" s="312"/>
      <c r="AN718" s="101"/>
      <c r="AO718" s="101"/>
      <c r="AP718" s="101"/>
      <c r="AQ718" s="101"/>
      <c r="AR718" s="101"/>
      <c r="AS718" s="101"/>
      <c r="AT718" s="101"/>
    </row>
    <row r="719" spans="1:46" ht="12.95" customHeight="1">
      <c r="A719" s="852" t="s">
        <v>457</v>
      </c>
      <c r="B719" s="844"/>
      <c r="C719" s="844"/>
      <c r="D719" s="844"/>
      <c r="E719" s="844"/>
      <c r="F719" s="844"/>
      <c r="G719" s="844"/>
      <c r="H719" s="777" t="s">
        <v>458</v>
      </c>
      <c r="I719" s="88" t="s">
        <v>127</v>
      </c>
      <c r="J719" s="86"/>
      <c r="K719" s="603" t="s">
        <v>45</v>
      </c>
      <c r="L719" s="601" t="s">
        <v>46</v>
      </c>
      <c r="M719" s="86"/>
      <c r="N719" s="87" t="s">
        <v>69</v>
      </c>
      <c r="O719" s="87"/>
      <c r="P719" s="88"/>
      <c r="Q719" s="88"/>
      <c r="R719" s="86"/>
      <c r="S719" s="125"/>
      <c r="T719" s="543"/>
      <c r="U719" s="112"/>
      <c r="V719" s="100" t="b">
        <f>IF(G719&gt;0,IF(AD719="me","",G719))</f>
        <v>0</v>
      </c>
      <c r="W719" s="100"/>
      <c r="X719" s="100"/>
      <c r="Y719" s="201"/>
      <c r="Z719" s="829" t="str">
        <f t="shared" si="1829"/>
        <v/>
      </c>
      <c r="AA719" s="829"/>
      <c r="AB719" s="830" t="str">
        <f>IF(G719=0,"",IF(AD719="free","re-planting",IF(AD719="me","not NVP, by",IF($AD$8="yes",(VLOOKUP(A719,'Discount Lookup'!J:K,2)*G719*(1-$AC$1786)*(1+$AC$1788)),IF(AD719="NVP",(VLOOKUP(A719,'Discount Lookup'!J:K,2)*G719*(1-$AC$1786)*(1+$AC$1788)),IF(AD719="free","re-planting",IF(G719=0,"",IF($AD$8="",IF(AD719="me","not NVP, by",IF(AD719="",IF(G719&gt;0,(VLOOKUP(A719,'Discount Lookup'!J:K,2)*G719*(1-$AC$1786)*(1+$AC$1788)),""),"")),"not NVP, by"))))))))</f>
        <v/>
      </c>
      <c r="AC719" s="830"/>
      <c r="AD719" s="375" t="str">
        <f t="shared" si="1853"/>
        <v/>
      </c>
      <c r="AE719" s="833" t="str">
        <f t="shared" si="1778"/>
        <v/>
      </c>
      <c r="AF719" s="833"/>
      <c r="AG719" s="833"/>
      <c r="AH719" s="91">
        <f>IF(AD719="free",0,IF(AD719="me",0,IF(G719&gt;0,(VLOOKUP(A719,'Discount Lookup'!J:K,2)*G719),0)))</f>
        <v>0</v>
      </c>
      <c r="AI719" s="92" t="str">
        <f t="shared" si="1822"/>
        <v/>
      </c>
      <c r="AJ719" s="828" t="str">
        <f t="shared" si="1831"/>
        <v/>
      </c>
      <c r="AK719" s="828"/>
      <c r="AL719" s="313" t="str">
        <f t="shared" si="1847"/>
        <v/>
      </c>
      <c r="AM719" s="312"/>
      <c r="AN719" s="101"/>
      <c r="AO719" s="101"/>
      <c r="AP719" s="101"/>
      <c r="AQ719" s="101"/>
      <c r="AR719" s="101"/>
      <c r="AS719" s="101"/>
      <c r="AT719" s="101"/>
    </row>
    <row r="720" spans="1:46" ht="12.95" customHeight="1">
      <c r="A720" s="419">
        <v>3</v>
      </c>
      <c r="B720" s="87" t="s">
        <v>50</v>
      </c>
      <c r="C720" s="128" t="s">
        <v>102</v>
      </c>
      <c r="D720" s="129" t="s">
        <v>63</v>
      </c>
      <c r="E720" s="98">
        <v>36.950000000000003</v>
      </c>
      <c r="F720" s="705" t="s">
        <v>1306</v>
      </c>
      <c r="G720" s="357">
        <v>0</v>
      </c>
      <c r="H720" s="704" t="str">
        <f t="shared" ref="H720:H728" si="1858">IF(G720=0,"",IF(F720="Qty=",IF(G720=1,"plant","plants"),IF(F720&gt;0.0001,"warranty","Error")))</f>
        <v/>
      </c>
      <c r="I720" s="98">
        <f t="shared" ref="I720:I728" si="1859">IF(F720="Qty=",(E720*G720),((E720*(1-F720))*G720))</f>
        <v>0</v>
      </c>
      <c r="J720" s="98">
        <f t="shared" ref="J720:J728" si="1860">IF(H720="warranty",0,(I720*($J$1782)))</f>
        <v>0</v>
      </c>
      <c r="K720" s="831">
        <f t="shared" ref="K720:K728" si="1861">I720+J720</f>
        <v>0</v>
      </c>
      <c r="L720" s="831"/>
      <c r="M720" s="832" t="str">
        <f t="shared" ref="M720:M728" si="1862">IF($H$1784=0,"",IF(G720=0,"",IF(F720="Qty=",CONCATENATE("$",ROUND(K720*(1-$H$1784),2)," with ",($H$1784*100),"% discount"),CONCATENATE("$",ROUND(K720*(1-$H$1784),2)," with ",(($H$1784*100+F720*100)-($H$1784*100*F720)),IF(F720&gt;0,"% discounts",IF($H$1781&gt;0,"% discounts","% discount"))))))</f>
        <v/>
      </c>
      <c r="N720" s="832"/>
      <c r="O720" s="832"/>
      <c r="P720" s="832"/>
      <c r="Q720" s="832"/>
      <c r="R720" s="832"/>
      <c r="S720" s="303">
        <f t="shared" ref="S720:S727" si="1863">E720*G720</f>
        <v>0</v>
      </c>
      <c r="T720" s="541">
        <f>VLOOKUP(A720,'Discount Lookup'!D:E,2,FALSE)*G720</f>
        <v>0</v>
      </c>
      <c r="U720" s="83">
        <f>VLOOKUP(A720,'Discount Lookup'!G:H,2,FALSE)*G720</f>
        <v>0</v>
      </c>
      <c r="V720" s="100">
        <f t="shared" ref="V720:V728" si="1864">E720*($J$1782)*G720</f>
        <v>0</v>
      </c>
      <c r="W720" s="100">
        <f t="shared" ref="W720:W727" si="1865">I720</f>
        <v>0</v>
      </c>
      <c r="X720" s="100" t="b">
        <f t="shared" ref="X720:X727" si="1866">IF(G720&gt;0,IF(AD720="me","",G720))</f>
        <v>0</v>
      </c>
      <c r="Y720" s="201"/>
      <c r="Z720" s="829" t="str">
        <f t="shared" si="1829"/>
        <v/>
      </c>
      <c r="AA720" s="829"/>
      <c r="AB720" s="830" t="str">
        <f>IF(G720=0,"",IF(AD720="free","re-planting",IF(AD720="me","not NVP, by",IF($AD$8="yes",(VLOOKUP(A720,'Discount Lookup'!J:K,2)*G720*(1-$AC$1786)*(1+$AC$1788)),IF(AD720="NVP",(VLOOKUP(A720,'Discount Lookup'!J:K,2)*G720*(1-$AC$1786)*(1+$AC$1788)),IF(AD720="free","re-planting",IF(G720=0,"",IF($AD$8="",IF(AD720="me","not NVP, by",IF(AD720="",IF(G720&gt;0,(VLOOKUP(A720,'Discount Lookup'!J:K,2)*G720*(1-$AC$1786)*(1+$AC$1788)),""),"")),"not NVP, by"))))))))</f>
        <v/>
      </c>
      <c r="AC720" s="830"/>
      <c r="AD720" s="375" t="str">
        <f t="shared" si="1853"/>
        <v/>
      </c>
      <c r="AE720" s="833" t="str">
        <f t="shared" si="1778"/>
        <v/>
      </c>
      <c r="AF720" s="833"/>
      <c r="AG720" s="833"/>
      <c r="AH720" s="91">
        <f>IF(AD720="free",0,IF(AD720="me",0,IF(G720&gt;0,(VLOOKUP(A720,'Discount Lookup'!J:K,2)*G720),0)))</f>
        <v>0</v>
      </c>
      <c r="AI720" s="92" t="str">
        <f t="shared" si="1822"/>
        <v/>
      </c>
      <c r="AJ720" s="828" t="str">
        <f t="shared" si="1831"/>
        <v/>
      </c>
      <c r="AK720" s="828"/>
      <c r="AL720" s="313" t="str">
        <f t="shared" si="1847"/>
        <v/>
      </c>
      <c r="AM720" s="312"/>
      <c r="AN720" s="101"/>
      <c r="AO720" s="101"/>
      <c r="AP720" s="101"/>
      <c r="AQ720" s="101"/>
      <c r="AR720" s="101"/>
      <c r="AS720" s="101"/>
      <c r="AT720" s="101"/>
    </row>
    <row r="721" spans="1:46" ht="12.95" customHeight="1">
      <c r="A721" s="419">
        <v>7</v>
      </c>
      <c r="B721" s="87" t="s">
        <v>50</v>
      </c>
      <c r="C721" s="399" t="s">
        <v>137</v>
      </c>
      <c r="D721" s="129" t="s">
        <v>86</v>
      </c>
      <c r="E721" s="98">
        <v>79.95</v>
      </c>
      <c r="F721" s="705" t="s">
        <v>1306</v>
      </c>
      <c r="G721" s="357">
        <v>0</v>
      </c>
      <c r="H721" s="704" t="str">
        <f>IF(G721=0,"",IF(F721="Qty=",IF(G721=1,"plant","plants"),IF(F721&gt;0.0001,"warranty","Error")))</f>
        <v/>
      </c>
      <c r="I721" s="98">
        <f>IF(F721="Qty=",(E721*G721),((E721*(1-F721))*G721))</f>
        <v>0</v>
      </c>
      <c r="J721" s="98">
        <f t="shared" si="1860"/>
        <v>0</v>
      </c>
      <c r="K721" s="831">
        <f t="shared" si="1861"/>
        <v>0</v>
      </c>
      <c r="L721" s="831"/>
      <c r="M721" s="832" t="str">
        <f t="shared" si="1862"/>
        <v/>
      </c>
      <c r="N721" s="832"/>
      <c r="O721" s="832"/>
      <c r="P721" s="832"/>
      <c r="Q721" s="832"/>
      <c r="R721" s="832"/>
      <c r="S721" s="303">
        <f t="shared" ref="S721" si="1867">E721*G721</f>
        <v>0</v>
      </c>
      <c r="T721" s="541">
        <f>VLOOKUP(A721,'Discount Lookup'!D:E,2,FALSE)*G721</f>
        <v>0</v>
      </c>
      <c r="U721" s="83">
        <f>VLOOKUP(A721,'Discount Lookup'!G:H,2,FALSE)*G721</f>
        <v>0</v>
      </c>
      <c r="V721" s="100">
        <f t="shared" si="1864"/>
        <v>0</v>
      </c>
      <c r="W721" s="100">
        <f t="shared" ref="W721" si="1868">I721</f>
        <v>0</v>
      </c>
      <c r="X721" s="100" t="b">
        <f t="shared" ref="X721" si="1869">IF(G721&gt;0,IF(AD721="me","",G721))</f>
        <v>0</v>
      </c>
      <c r="Y721" s="201"/>
      <c r="Z721" s="829" t="str">
        <f>IF(G721=0,"",IF(AD721="me","",IF($AD$8="me","",IF(AD721="free","warranty",IF($AD$8="yes","NVP planting:","to NVP install:")))))</f>
        <v/>
      </c>
      <c r="AA721" s="829"/>
      <c r="AB721" s="830" t="str">
        <f>IF(G721=0,"",IF(AD721="free","re-planting",IF(AD721="me","not NVP, by",IF($AD$8="yes",(VLOOKUP(A721,'Discount Lookup'!J:K,2)*G721*(1-$AC$1786)*(1+$AC$1788)),IF(AD721="NVP",(VLOOKUP(A721,'Discount Lookup'!J:K,2)*G721*(1-$AC$1786)*(1+$AC$1788)),IF(AD721="free","re-planting",IF(G721=0,"",IF($AD$8="",IF(AD721="me","not NVP, by",IF(AD721="",IF(G721&gt;0,(VLOOKUP(A721,'Discount Lookup'!J:K,2)*G721*(1-$AC$1786)*(1+$AC$1788)),""),"")),"not NVP, by"))))))))</f>
        <v/>
      </c>
      <c r="AC721" s="830"/>
      <c r="AD721" s="375" t="str">
        <f t="shared" si="1853"/>
        <v/>
      </c>
      <c r="AE721" s="833" t="str">
        <f>IF(G721&gt;0,(CONCATENATE((G721)," quantity, ",(A721)," ",B721)),"")</f>
        <v/>
      </c>
      <c r="AF721" s="833"/>
      <c r="AG721" s="833"/>
      <c r="AH721" s="91">
        <f>IF(AD721="free",0,IF(AD721="me",0,IF(G721&gt;0,(VLOOKUP(A721,'Discount Lookup'!J:K,2)*G721),0)))</f>
        <v>0</v>
      </c>
      <c r="AI721" s="92" t="str">
        <f t="shared" si="1822"/>
        <v/>
      </c>
      <c r="AJ721" s="828" t="str">
        <f>IF(G721=0,"",IF(AD721="me","  delivery-only",IF($AD$8="me","  delivery-only",CONCATENATE(" $",ROUND(AI721/G721,2)," each"))))</f>
        <v/>
      </c>
      <c r="AK721" s="828"/>
      <c r="AL721" s="313" t="str">
        <f t="shared" si="1847"/>
        <v/>
      </c>
      <c r="AM721" s="312"/>
      <c r="AN721" s="101"/>
      <c r="AO721" s="101"/>
      <c r="AP721" s="101"/>
      <c r="AQ721" s="101"/>
      <c r="AR721" s="101"/>
      <c r="AS721" s="101"/>
      <c r="AT721" s="101"/>
    </row>
    <row r="722" spans="1:46" ht="12.95" customHeight="1">
      <c r="A722" s="419">
        <v>7</v>
      </c>
      <c r="B722" s="87" t="s">
        <v>50</v>
      </c>
      <c r="C722" s="128" t="s">
        <v>1278</v>
      </c>
      <c r="D722" s="129" t="s">
        <v>54</v>
      </c>
      <c r="E722" s="98">
        <v>111.95</v>
      </c>
      <c r="F722" s="705" t="s">
        <v>1306</v>
      </c>
      <c r="G722" s="357">
        <v>0</v>
      </c>
      <c r="H722" s="704" t="str">
        <f t="shared" ref="H722" si="1870">IF(G722=0,"",IF(F722="Qty=",IF(G722=1,"plant","plants"),IF(F722&gt;0.0001,"warranty","Error")))</f>
        <v/>
      </c>
      <c r="I722" s="98">
        <f t="shared" ref="I722" si="1871">IF(F722="Qty=",(E722*G722),((E722*(1-F722))*G722))</f>
        <v>0</v>
      </c>
      <c r="J722" s="98">
        <f t="shared" si="1860"/>
        <v>0</v>
      </c>
      <c r="K722" s="831">
        <f t="shared" si="1861"/>
        <v>0</v>
      </c>
      <c r="L722" s="831"/>
      <c r="M722" s="832" t="str">
        <f t="shared" si="1862"/>
        <v/>
      </c>
      <c r="N722" s="832"/>
      <c r="O722" s="832"/>
      <c r="P722" s="832"/>
      <c r="Q722" s="832"/>
      <c r="R722" s="832"/>
      <c r="S722" s="303">
        <f t="shared" si="1863"/>
        <v>0</v>
      </c>
      <c r="T722" s="541">
        <f>VLOOKUP(A722,'Discount Lookup'!D:E,2,FALSE)*G722</f>
        <v>0</v>
      </c>
      <c r="U722" s="83">
        <f>VLOOKUP(A722,'Discount Lookup'!G:H,2,FALSE)*G722</f>
        <v>0</v>
      </c>
      <c r="V722" s="100">
        <f t="shared" si="1864"/>
        <v>0</v>
      </c>
      <c r="W722" s="100">
        <f t="shared" si="1865"/>
        <v>0</v>
      </c>
      <c r="X722" s="100" t="b">
        <f t="shared" si="1866"/>
        <v>0</v>
      </c>
      <c r="Y722" s="201"/>
      <c r="Z722" s="829" t="str">
        <f t="shared" ref="Z722" si="1872">IF(G722=0,"",IF(AD722="me","",IF($AD$8="me","",IF(AD722="free","warranty",IF($AD$8="yes","NVP planting:","to NVP install:")))))</f>
        <v/>
      </c>
      <c r="AA722" s="829"/>
      <c r="AB722" s="830" t="str">
        <f>IF(G722=0,"",IF(AD722="free","re-planting",IF(AD722="me","not NVP, by",IF($AD$8="yes",(VLOOKUP(A722,'Discount Lookup'!J:K,2)*G722*(1-$AC$1786)*(1+$AC$1788)),IF(AD722="NVP",(VLOOKUP(A722,'Discount Lookup'!J:K,2)*G722*(1-$AC$1786)*(1+$AC$1788)),IF(AD722="free","re-planting",IF(G722=0,"",IF($AD$8="",IF(AD722="me","not NVP, by",IF(AD722="",IF(G722&gt;0,(VLOOKUP(A722,'Discount Lookup'!J:K,2)*G722*(1-$AC$1786)*(1+$AC$1788)),""),"")),"not NVP, by"))))))))</f>
        <v/>
      </c>
      <c r="AC722" s="830"/>
      <c r="AD722" s="375" t="str">
        <f t="shared" si="1853"/>
        <v/>
      </c>
      <c r="AE722" s="833" t="str">
        <f t="shared" si="1778"/>
        <v/>
      </c>
      <c r="AF722" s="833"/>
      <c r="AG722" s="833"/>
      <c r="AH722" s="91">
        <f>IF(AD722="free",0,IF(AD722="me",0,IF(G722&gt;0,(VLOOKUP(A722,'Discount Lookup'!J:K,2)*G722),0)))</f>
        <v>0</v>
      </c>
      <c r="AI722" s="92" t="str">
        <f t="shared" si="1822"/>
        <v/>
      </c>
      <c r="AJ722" s="828" t="str">
        <f t="shared" ref="AJ722" si="1873">IF(G722=0,"",IF(AD722="me","  delivery-only",IF($AD$8="me","  delivery-only",CONCATENATE(" $",ROUND(AI722/G722,2)," each"))))</f>
        <v/>
      </c>
      <c r="AK722" s="828"/>
      <c r="AL722" s="313" t="str">
        <f t="shared" si="1847"/>
        <v/>
      </c>
      <c r="AM722" s="312"/>
      <c r="AN722" s="101"/>
      <c r="AO722" s="101"/>
      <c r="AP722" s="101"/>
      <c r="AQ722" s="101"/>
      <c r="AR722" s="101"/>
      <c r="AS722" s="101"/>
      <c r="AT722" s="101"/>
    </row>
    <row r="723" spans="1:46" ht="12.95" customHeight="1">
      <c r="A723" s="419">
        <v>7</v>
      </c>
      <c r="B723" s="87" t="s">
        <v>50</v>
      </c>
      <c r="C723" s="399" t="s">
        <v>88</v>
      </c>
      <c r="D723" s="129" t="s">
        <v>63</v>
      </c>
      <c r="E723" s="98">
        <v>91.95</v>
      </c>
      <c r="F723" s="705" t="s">
        <v>1306</v>
      </c>
      <c r="G723" s="357">
        <v>0</v>
      </c>
      <c r="H723" s="704" t="str">
        <f t="shared" si="1858"/>
        <v/>
      </c>
      <c r="I723" s="98">
        <f t="shared" si="1859"/>
        <v>0</v>
      </c>
      <c r="J723" s="98">
        <f t="shared" si="1860"/>
        <v>0</v>
      </c>
      <c r="K723" s="831">
        <f t="shared" si="1861"/>
        <v>0</v>
      </c>
      <c r="L723" s="831"/>
      <c r="M723" s="832" t="str">
        <f t="shared" si="1862"/>
        <v/>
      </c>
      <c r="N723" s="832"/>
      <c r="O723" s="832"/>
      <c r="P723" s="832"/>
      <c r="Q723" s="832"/>
      <c r="R723" s="832"/>
      <c r="S723" s="303">
        <f t="shared" ref="S723" si="1874">E723*G723</f>
        <v>0</v>
      </c>
      <c r="T723" s="541">
        <f>VLOOKUP(A723,'Discount Lookup'!D:E,2,FALSE)*G723</f>
        <v>0</v>
      </c>
      <c r="U723" s="83">
        <f>VLOOKUP(A723,'Discount Lookup'!G:H,2,FALSE)*G723</f>
        <v>0</v>
      </c>
      <c r="V723" s="100">
        <f t="shared" si="1864"/>
        <v>0</v>
      </c>
      <c r="W723" s="100">
        <f t="shared" ref="W723" si="1875">I723</f>
        <v>0</v>
      </c>
      <c r="X723" s="100" t="b">
        <f t="shared" si="1866"/>
        <v>0</v>
      </c>
      <c r="Y723" s="201"/>
      <c r="Z723" s="829" t="str">
        <f t="shared" si="1829"/>
        <v/>
      </c>
      <c r="AA723" s="829"/>
      <c r="AB723" s="830" t="str">
        <f>IF(G723=0,"",IF(AD723="free","re-planting",IF(AD723="me","not NVP, by",IF($AD$8="yes",(VLOOKUP(A723,'Discount Lookup'!J:K,2)*G723*(1-$AC$1786)*(1+$AC$1788)),IF(AD723="NVP",(VLOOKUP(A723,'Discount Lookup'!J:K,2)*G723*(1-$AC$1786)*(1+$AC$1788)),IF(AD723="free","re-planting",IF(G723=0,"",IF($AD$8="",IF(AD723="me","not NVP, by",IF(AD723="",IF(G723&gt;0,(VLOOKUP(A723,'Discount Lookup'!J:K,2)*G723*(1-$AC$1786)*(1+$AC$1788)),""),"")),"not NVP, by"))))))))</f>
        <v/>
      </c>
      <c r="AC723" s="830"/>
      <c r="AD723" s="375" t="str">
        <f t="shared" si="1853"/>
        <v/>
      </c>
      <c r="AE723" s="833" t="str">
        <f t="shared" si="1778"/>
        <v/>
      </c>
      <c r="AF723" s="833"/>
      <c r="AG723" s="833"/>
      <c r="AH723" s="91">
        <f>IF(AD723="free",0,IF(AD723="me",0,IF(G723&gt;0,(VLOOKUP(A723,'Discount Lookup'!J:K,2)*G723),0)))</f>
        <v>0</v>
      </c>
      <c r="AI723" s="92" t="str">
        <f t="shared" si="1822"/>
        <v/>
      </c>
      <c r="AJ723" s="828" t="str">
        <f t="shared" si="1831"/>
        <v/>
      </c>
      <c r="AK723" s="828"/>
      <c r="AL723" s="313" t="str">
        <f t="shared" si="1847"/>
        <v/>
      </c>
      <c r="AM723" s="312"/>
      <c r="AN723" s="101"/>
      <c r="AO723" s="101"/>
      <c r="AP723" s="101"/>
      <c r="AQ723" s="101"/>
      <c r="AR723" s="101"/>
      <c r="AS723" s="101"/>
      <c r="AT723" s="101"/>
    </row>
    <row r="724" spans="1:46" ht="12.95" customHeight="1">
      <c r="A724" s="419">
        <v>15</v>
      </c>
      <c r="B724" s="87" t="s">
        <v>50</v>
      </c>
      <c r="C724" s="128" t="s">
        <v>70</v>
      </c>
      <c r="D724" s="129" t="s">
        <v>54</v>
      </c>
      <c r="E724" s="98">
        <v>183.95</v>
      </c>
      <c r="F724" s="705" t="s">
        <v>1306</v>
      </c>
      <c r="G724" s="357">
        <v>0</v>
      </c>
      <c r="H724" s="704" t="str">
        <f t="shared" si="1858"/>
        <v/>
      </c>
      <c r="I724" s="98">
        <f t="shared" si="1859"/>
        <v>0</v>
      </c>
      <c r="J724" s="98">
        <f t="shared" si="1860"/>
        <v>0</v>
      </c>
      <c r="K724" s="831">
        <f t="shared" si="1861"/>
        <v>0</v>
      </c>
      <c r="L724" s="831"/>
      <c r="M724" s="832" t="str">
        <f t="shared" si="1862"/>
        <v/>
      </c>
      <c r="N724" s="832"/>
      <c r="O724" s="832"/>
      <c r="P724" s="832"/>
      <c r="Q724" s="832"/>
      <c r="R724" s="832"/>
      <c r="S724" s="303">
        <f t="shared" ref="S724:S725" si="1876">E724*G724</f>
        <v>0</v>
      </c>
      <c r="T724" s="541">
        <f>VLOOKUP(A724,'Discount Lookup'!D:E,2,FALSE)*G724</f>
        <v>0</v>
      </c>
      <c r="U724" s="83">
        <f>VLOOKUP(A724,'Discount Lookup'!G:H,2,FALSE)*G724</f>
        <v>0</v>
      </c>
      <c r="V724" s="100">
        <f t="shared" si="1864"/>
        <v>0</v>
      </c>
      <c r="W724" s="100">
        <f t="shared" ref="W724:W725" si="1877">I724</f>
        <v>0</v>
      </c>
      <c r="X724" s="100" t="b">
        <f t="shared" ref="X724:X725" si="1878">IF(G724&gt;0,IF(AD724="me","",G724))</f>
        <v>0</v>
      </c>
      <c r="Y724" s="201"/>
      <c r="Z724" s="829" t="str">
        <f t="shared" si="1829"/>
        <v/>
      </c>
      <c r="AA724" s="829"/>
      <c r="AB724" s="830" t="str">
        <f>IF(G724=0,"",IF(AD724="free","re-planting",IF(AD724="me","not NVP, by",IF($AD$8="yes",(VLOOKUP(A724,'Discount Lookup'!J:K,2)*G724*(1-$AC$1786)*(1+$AC$1788)),IF(AD724="NVP",(VLOOKUP(A724,'Discount Lookup'!J:K,2)*G724*(1-$AC$1786)*(1+$AC$1788)),IF(AD724="free","re-planting",IF(G724=0,"",IF($AD$8="",IF(AD724="me","not NVP, by",IF(AD724="",IF(G724&gt;0,(VLOOKUP(A724,'Discount Lookup'!J:K,2)*G724*(1-$AC$1786)*(1+$AC$1788)),""),"")),"not NVP, by"))))))))</f>
        <v/>
      </c>
      <c r="AC724" s="830"/>
      <c r="AD724" s="375" t="str">
        <f t="shared" si="1853"/>
        <v/>
      </c>
      <c r="AE724" s="833" t="str">
        <f t="shared" ref="AE724:AE725" si="1879">IF(G724&gt;0,(CONCATENATE((G724)," quantity, ",(A724)," ",B724)),"")</f>
        <v/>
      </c>
      <c r="AF724" s="833"/>
      <c r="AG724" s="833"/>
      <c r="AH724" s="91">
        <f>IF(AD724="free",0,IF(AD724="me",0,IF(G724&gt;0,(VLOOKUP(A724,'Discount Lookup'!J:K,2)*G724),0)))</f>
        <v>0</v>
      </c>
      <c r="AI724" s="92" t="str">
        <f t="shared" si="1822"/>
        <v/>
      </c>
      <c r="AJ724" s="828" t="str">
        <f t="shared" si="1831"/>
        <v/>
      </c>
      <c r="AK724" s="828"/>
      <c r="AL724" s="313" t="str">
        <f t="shared" si="1847"/>
        <v/>
      </c>
      <c r="AM724" s="312"/>
      <c r="AN724" s="101"/>
      <c r="AO724" s="101"/>
      <c r="AP724" s="101"/>
      <c r="AQ724" s="101"/>
      <c r="AR724" s="101"/>
      <c r="AS724" s="101"/>
      <c r="AT724" s="101"/>
    </row>
    <row r="725" spans="1:46" ht="12.95" customHeight="1">
      <c r="A725" s="419">
        <v>15</v>
      </c>
      <c r="B725" s="87" t="s">
        <v>50</v>
      </c>
      <c r="C725" s="128" t="s">
        <v>1477</v>
      </c>
      <c r="D725" s="129" t="s">
        <v>54</v>
      </c>
      <c r="E725" s="98">
        <v>215.95</v>
      </c>
      <c r="F725" s="705" t="s">
        <v>1306</v>
      </c>
      <c r="G725" s="357">
        <v>0</v>
      </c>
      <c r="H725" s="704" t="str">
        <f t="shared" ref="H725" si="1880">IF(G725=0,"",IF(F725="Qty=",IF(G725=1,"plant","plants"),IF(F725&gt;0.0001,"warranty","Error")))</f>
        <v/>
      </c>
      <c r="I725" s="98">
        <f t="shared" ref="I725" si="1881">IF(F725="Qty=",(E725*G725),((E725*(1-F725))*G725))</f>
        <v>0</v>
      </c>
      <c r="J725" s="98">
        <f t="shared" si="1860"/>
        <v>0</v>
      </c>
      <c r="K725" s="831">
        <f t="shared" si="1861"/>
        <v>0</v>
      </c>
      <c r="L725" s="831"/>
      <c r="M725" s="832" t="str">
        <f t="shared" si="1862"/>
        <v/>
      </c>
      <c r="N725" s="832"/>
      <c r="O725" s="832"/>
      <c r="P725" s="832"/>
      <c r="Q725" s="832"/>
      <c r="R725" s="832"/>
      <c r="S725" s="303">
        <f t="shared" si="1876"/>
        <v>0</v>
      </c>
      <c r="T725" s="541">
        <f>VLOOKUP(A725,'Discount Lookup'!D:E,2,FALSE)*G725</f>
        <v>0</v>
      </c>
      <c r="U725" s="83">
        <f>VLOOKUP(A725,'Discount Lookup'!G:H,2,FALSE)*G725</f>
        <v>0</v>
      </c>
      <c r="V725" s="100">
        <f t="shared" si="1864"/>
        <v>0</v>
      </c>
      <c r="W725" s="100">
        <f t="shared" si="1877"/>
        <v>0</v>
      </c>
      <c r="X725" s="100" t="b">
        <f t="shared" si="1878"/>
        <v>0</v>
      </c>
      <c r="Y725" s="201"/>
      <c r="Z725" s="829" t="str">
        <f t="shared" ref="Z725" si="1882">IF(G725=0,"",IF(AD725="me","",IF($AD$8="me","",IF(AD725="free","warranty",IF($AD$8="yes","NVP planting:","to NVP install:")))))</f>
        <v/>
      </c>
      <c r="AA725" s="829"/>
      <c r="AB725" s="830" t="str">
        <f>IF(G725=0,"",IF(AD725="free","re-planting",IF(AD725="me","not NVP, by",IF($AD$8="yes",(VLOOKUP(A725,'Discount Lookup'!J:K,2)*G725*(1-$AC$1786)*(1+$AC$1788)),IF(AD725="NVP",(VLOOKUP(A725,'Discount Lookup'!J:K,2)*G725*(1-$AC$1786)*(1+$AC$1788)),IF(AD725="free","re-planting",IF(G725=0,"",IF($AD$8="",IF(AD725="me","not NVP, by",IF(AD725="",IF(G725&gt;0,(VLOOKUP(A725,'Discount Lookup'!J:K,2)*G725*(1-$AC$1786)*(1+$AC$1788)),""),"")),"not NVP, by"))))))))</f>
        <v/>
      </c>
      <c r="AC725" s="830"/>
      <c r="AD725" s="375" t="str">
        <f t="shared" si="1853"/>
        <v/>
      </c>
      <c r="AE725" s="833" t="str">
        <f t="shared" si="1879"/>
        <v/>
      </c>
      <c r="AF725" s="833"/>
      <c r="AG725" s="833"/>
      <c r="AH725" s="91">
        <f>IF(AD725="free",0,IF(AD725="me",0,IF(G725&gt;0,(VLOOKUP(A725,'Discount Lookup'!J:K,2)*G725),0)))</f>
        <v>0</v>
      </c>
      <c r="AI725" s="92" t="str">
        <f t="shared" si="1822"/>
        <v/>
      </c>
      <c r="AJ725" s="828" t="str">
        <f t="shared" ref="AJ725" si="1883">IF(G725=0,"",IF(AD725="me","  delivery-only",IF($AD$8="me","  delivery-only",CONCATENATE(" $",ROUND(AI725/G725,2)," each"))))</f>
        <v/>
      </c>
      <c r="AK725" s="828"/>
      <c r="AL725" s="313" t="str">
        <f t="shared" si="1847"/>
        <v/>
      </c>
      <c r="AM725" s="312"/>
      <c r="AN725" s="101"/>
      <c r="AO725" s="101"/>
      <c r="AP725" s="101"/>
      <c r="AQ725" s="101"/>
      <c r="AR725" s="101"/>
      <c r="AS725" s="101"/>
      <c r="AT725" s="101"/>
    </row>
    <row r="726" spans="1:46" ht="12.95" customHeight="1">
      <c r="A726" s="419">
        <v>15</v>
      </c>
      <c r="B726" s="87" t="s">
        <v>50</v>
      </c>
      <c r="C726" s="399" t="s">
        <v>53</v>
      </c>
      <c r="D726" s="129" t="s">
        <v>63</v>
      </c>
      <c r="E726" s="98">
        <v>183.95</v>
      </c>
      <c r="F726" s="705" t="s">
        <v>1306</v>
      </c>
      <c r="G726" s="357">
        <v>0</v>
      </c>
      <c r="H726" s="704" t="str">
        <f t="shared" ref="H726" si="1884">IF(G726=0,"",IF(F726="Qty=",IF(G726=1,"plant","plants"),IF(F726&gt;0.0001,"warranty","Error")))</f>
        <v/>
      </c>
      <c r="I726" s="98">
        <f t="shared" ref="I726" si="1885">IF(F726="Qty=",(E726*G726),((E726*(1-F726))*G726))</f>
        <v>0</v>
      </c>
      <c r="J726" s="98">
        <f t="shared" si="1860"/>
        <v>0</v>
      </c>
      <c r="K726" s="831">
        <f t="shared" si="1861"/>
        <v>0</v>
      </c>
      <c r="L726" s="831"/>
      <c r="M726" s="832" t="str">
        <f t="shared" si="1862"/>
        <v/>
      </c>
      <c r="N726" s="832"/>
      <c r="O726" s="832"/>
      <c r="P726" s="832"/>
      <c r="Q726" s="832"/>
      <c r="R726" s="832"/>
      <c r="S726" s="303">
        <f t="shared" ref="S726" si="1886">E726*G726</f>
        <v>0</v>
      </c>
      <c r="T726" s="541">
        <f>VLOOKUP(A726,'Discount Lookup'!D:E,2,FALSE)*G726</f>
        <v>0</v>
      </c>
      <c r="U726" s="83">
        <f>VLOOKUP(A726,'Discount Lookup'!G:H,2,FALSE)*G726</f>
        <v>0</v>
      </c>
      <c r="V726" s="100">
        <f t="shared" si="1864"/>
        <v>0</v>
      </c>
      <c r="W726" s="100">
        <f t="shared" ref="W726" si="1887">I726</f>
        <v>0</v>
      </c>
      <c r="X726" s="100" t="b">
        <f t="shared" ref="X726" si="1888">IF(G726&gt;0,IF(AD726="me","",G726))</f>
        <v>0</v>
      </c>
      <c r="Y726" s="201"/>
      <c r="Z726" s="829" t="str">
        <f t="shared" ref="Z726" si="1889">IF(G726=0,"",IF(AD726="me","",IF($AD$8="me","",IF(AD726="free","warranty",IF($AD$8="yes","NVP planting:","to NVP install:")))))</f>
        <v/>
      </c>
      <c r="AA726" s="829"/>
      <c r="AB726" s="830" t="str">
        <f>IF(G726=0,"",IF(AD726="free","re-planting",IF(AD726="me","not NVP, by",IF($AD$8="yes",(VLOOKUP(A726,'Discount Lookup'!J:K,2)*G726*(1-$AC$1786)*(1+$AC$1788)),IF(AD726="NVP",(VLOOKUP(A726,'Discount Lookup'!J:K,2)*G726*(1-$AC$1786)*(1+$AC$1788)),IF(AD726="free","re-planting",IF(G726=0,"",IF($AD$8="",IF(AD726="me","not NVP, by",IF(AD726="",IF(G726&gt;0,(VLOOKUP(A726,'Discount Lookup'!J:K,2)*G726*(1-$AC$1786)*(1+$AC$1788)),""),"")),"not NVP, by"))))))))</f>
        <v/>
      </c>
      <c r="AC726" s="830"/>
      <c r="AD726" s="375" t="str">
        <f t="shared" si="1853"/>
        <v/>
      </c>
      <c r="AE726" s="833" t="str">
        <f t="shared" ref="AE726" si="1890">IF(G726&gt;0,(CONCATENATE((G726)," quantity, ",(A726)," ",B726)),"")</f>
        <v/>
      </c>
      <c r="AF726" s="833"/>
      <c r="AG726" s="833"/>
      <c r="AH726" s="91">
        <f>IF(AD726="free",0,IF(AD726="me",0,IF(G726&gt;0,(VLOOKUP(A726,'Discount Lookup'!J:K,2)*G726),0)))</f>
        <v>0</v>
      </c>
      <c r="AI726" s="92" t="str">
        <f t="shared" si="1822"/>
        <v/>
      </c>
      <c r="AJ726" s="828" t="str">
        <f t="shared" ref="AJ726" si="1891">IF(G726=0,"",IF(AD726="me","  delivery-only",IF($AD$8="me","  delivery-only",CONCATENATE(" $",ROUND(AI726/G726,2)," each"))))</f>
        <v/>
      </c>
      <c r="AK726" s="828"/>
      <c r="AL726" s="313" t="str">
        <f t="shared" si="1847"/>
        <v/>
      </c>
      <c r="AM726" s="312"/>
      <c r="AN726" s="101"/>
      <c r="AO726" s="101"/>
      <c r="AP726" s="101"/>
      <c r="AQ726" s="101"/>
      <c r="AR726" s="101"/>
      <c r="AS726" s="101"/>
      <c r="AT726" s="101"/>
    </row>
    <row r="727" spans="1:46" ht="12.95" customHeight="1">
      <c r="A727" s="419">
        <v>15</v>
      </c>
      <c r="B727" s="87" t="s">
        <v>50</v>
      </c>
      <c r="C727" s="128" t="s">
        <v>70</v>
      </c>
      <c r="D727" s="129" t="s">
        <v>90</v>
      </c>
      <c r="E727" s="98">
        <v>170.95</v>
      </c>
      <c r="F727" s="705" t="s">
        <v>1306</v>
      </c>
      <c r="G727" s="357">
        <v>0</v>
      </c>
      <c r="H727" s="704" t="str">
        <f t="shared" si="1858"/>
        <v/>
      </c>
      <c r="I727" s="98">
        <f t="shared" si="1859"/>
        <v>0</v>
      </c>
      <c r="J727" s="98">
        <f t="shared" si="1860"/>
        <v>0</v>
      </c>
      <c r="K727" s="831">
        <f t="shared" si="1861"/>
        <v>0</v>
      </c>
      <c r="L727" s="831"/>
      <c r="M727" s="832" t="str">
        <f t="shared" si="1862"/>
        <v/>
      </c>
      <c r="N727" s="832"/>
      <c r="O727" s="832"/>
      <c r="P727" s="832"/>
      <c r="Q727" s="832"/>
      <c r="R727" s="832"/>
      <c r="S727" s="303">
        <f t="shared" si="1863"/>
        <v>0</v>
      </c>
      <c r="T727" s="541">
        <f>VLOOKUP(A727,'Discount Lookup'!D:E,2,FALSE)*G727</f>
        <v>0</v>
      </c>
      <c r="U727" s="83">
        <f>VLOOKUP(A727,'Discount Lookup'!G:H,2,FALSE)*G727</f>
        <v>0</v>
      </c>
      <c r="V727" s="100">
        <f t="shared" si="1864"/>
        <v>0</v>
      </c>
      <c r="W727" s="100">
        <f t="shared" si="1865"/>
        <v>0</v>
      </c>
      <c r="X727" s="100" t="b">
        <f t="shared" si="1866"/>
        <v>0</v>
      </c>
      <c r="Y727" s="201"/>
      <c r="Z727" s="829" t="str">
        <f t="shared" si="1829"/>
        <v/>
      </c>
      <c r="AA727" s="829"/>
      <c r="AB727" s="830" t="str">
        <f>IF(G727=0,"",IF(AD727="free","re-planting",IF(AD727="me","not NVP, by",IF($AD$8="yes",(VLOOKUP(A727,'Discount Lookup'!J:K,2)*G727*(1-$AC$1786)*(1+$AC$1788)),IF(AD727="NVP",(VLOOKUP(A727,'Discount Lookup'!J:K,2)*G727*(1-$AC$1786)*(1+$AC$1788)),IF(AD727="free","re-planting",IF(G727=0,"",IF($AD$8="",IF(AD727="me","not NVP, by",IF(AD727="",IF(G727&gt;0,(VLOOKUP(A727,'Discount Lookup'!J:K,2)*G727*(1-$AC$1786)*(1+$AC$1788)),""),"")),"not NVP, by"))))))))</f>
        <v/>
      </c>
      <c r="AC727" s="830"/>
      <c r="AD727" s="375" t="str">
        <f t="shared" si="1853"/>
        <v/>
      </c>
      <c r="AE727" s="833" t="str">
        <f t="shared" si="1778"/>
        <v/>
      </c>
      <c r="AF727" s="833"/>
      <c r="AG727" s="833"/>
      <c r="AH727" s="91">
        <f>IF(AD727="free",0,IF(AD727="me",0,IF(G727&gt;0,(VLOOKUP(A727,'Discount Lookup'!J:K,2)*G727),0)))</f>
        <v>0</v>
      </c>
      <c r="AI727" s="92" t="str">
        <f t="shared" si="1822"/>
        <v/>
      </c>
      <c r="AJ727" s="828" t="str">
        <f t="shared" si="1831"/>
        <v/>
      </c>
      <c r="AK727" s="828"/>
      <c r="AL727" s="313" t="str">
        <f t="shared" si="1847"/>
        <v/>
      </c>
      <c r="AM727" s="312"/>
      <c r="AN727" s="101"/>
      <c r="AO727" s="101"/>
      <c r="AP727" s="101"/>
      <c r="AQ727" s="101"/>
      <c r="AR727" s="101"/>
      <c r="AS727" s="101"/>
      <c r="AT727" s="101"/>
    </row>
    <row r="728" spans="1:46" ht="12.95" customHeight="1">
      <c r="A728" s="419">
        <v>15</v>
      </c>
      <c r="B728" s="87" t="s">
        <v>50</v>
      </c>
      <c r="C728" s="128" t="s">
        <v>1430</v>
      </c>
      <c r="D728" s="129" t="s">
        <v>90</v>
      </c>
      <c r="E728" s="98">
        <v>373.95</v>
      </c>
      <c r="F728" s="705" t="s">
        <v>1306</v>
      </c>
      <c r="G728" s="357">
        <v>0</v>
      </c>
      <c r="H728" s="704" t="str">
        <f t="shared" si="1858"/>
        <v/>
      </c>
      <c r="I728" s="98">
        <f t="shared" si="1859"/>
        <v>0</v>
      </c>
      <c r="J728" s="98">
        <f t="shared" si="1860"/>
        <v>0</v>
      </c>
      <c r="K728" s="831">
        <f t="shared" si="1861"/>
        <v>0</v>
      </c>
      <c r="L728" s="831"/>
      <c r="M728" s="832" t="str">
        <f t="shared" si="1862"/>
        <v/>
      </c>
      <c r="N728" s="832"/>
      <c r="O728" s="832"/>
      <c r="P728" s="832"/>
      <c r="Q728" s="832"/>
      <c r="R728" s="832"/>
      <c r="S728" s="303">
        <f>E728*G728</f>
        <v>0</v>
      </c>
      <c r="T728" s="541">
        <f>VLOOKUP(A728,'Discount Lookup'!D:E,2,FALSE)*G728</f>
        <v>0</v>
      </c>
      <c r="U728" s="83">
        <f>VLOOKUP(A728,'Discount Lookup'!G:H,2,FALSE)*G728</f>
        <v>0</v>
      </c>
      <c r="V728" s="100">
        <f t="shared" si="1864"/>
        <v>0</v>
      </c>
      <c r="W728" s="100">
        <f>I728</f>
        <v>0</v>
      </c>
      <c r="X728" s="100" t="b">
        <f>IF(G728&gt;0,IF(AD728="me","",G728))</f>
        <v>0</v>
      </c>
      <c r="Y728" s="201"/>
      <c r="Z728" s="829" t="str">
        <f t="shared" si="1829"/>
        <v/>
      </c>
      <c r="AA728" s="829"/>
      <c r="AB728" s="830" t="str">
        <f>IF(G728=0,"",IF(AD728="free","re-planting",IF(AD728="me","not NVP, by",IF($AD$8="yes",(VLOOKUP(A728,'Discount Lookup'!J:K,2)*G728*(1-$AC$1786)*(1+$AC$1788)),IF(AD728="NVP",(VLOOKUP(A728,'Discount Lookup'!J:K,2)*G728*(1-$AC$1786)*(1+$AC$1788)),IF(AD728="free","re-planting",IF(G728=0,"",IF($AD$8="",IF(AD728="me","not NVP, by",IF(AD728="",IF(G728&gt;0,(VLOOKUP(A728,'Discount Lookup'!J:K,2)*G728*(1-$AC$1786)*(1+$AC$1788)),""),"")),"not NVP, by"))))))))</f>
        <v/>
      </c>
      <c r="AC728" s="830"/>
      <c r="AD728" s="375" t="str">
        <f t="shared" si="1853"/>
        <v/>
      </c>
      <c r="AE728" s="833" t="str">
        <f>IF(G728&gt;0,(CONCATENATE((G728)," quantity, ",(A728)," ",B728)),"")</f>
        <v/>
      </c>
      <c r="AF728" s="833"/>
      <c r="AG728" s="833"/>
      <c r="AH728" s="91">
        <f>IF(AD728="free",0,IF(AD728="me",0,IF(G728&gt;0,(VLOOKUP(A728,'Discount Lookup'!J:K,2)*G728),0)))</f>
        <v>0</v>
      </c>
      <c r="AI728" s="92" t="str">
        <f t="shared" si="1822"/>
        <v/>
      </c>
      <c r="AJ728" s="828" t="str">
        <f t="shared" si="1831"/>
        <v/>
      </c>
      <c r="AK728" s="828"/>
      <c r="AL728" s="313" t="str">
        <f t="shared" si="1847"/>
        <v/>
      </c>
      <c r="AM728" s="312"/>
      <c r="AN728" s="101"/>
      <c r="AO728" s="101"/>
      <c r="AP728" s="101"/>
      <c r="AQ728" s="101"/>
      <c r="AR728" s="101"/>
      <c r="AS728" s="101"/>
      <c r="AT728" s="101"/>
    </row>
    <row r="729" spans="1:46" ht="12.95" customHeight="1">
      <c r="A729" s="465"/>
      <c r="B729" s="149" t="s">
        <v>459</v>
      </c>
      <c r="C729" s="104"/>
      <c r="D729" s="104"/>
      <c r="E729" s="131"/>
      <c r="F729" s="710"/>
      <c r="G729" s="358"/>
      <c r="H729" s="744"/>
      <c r="I729" s="131"/>
      <c r="J729" s="131"/>
      <c r="K729" s="608"/>
      <c r="L729" s="608"/>
      <c r="M729" s="121"/>
      <c r="N729" s="122" t="s">
        <v>460</v>
      </c>
      <c r="O729" s="123"/>
      <c r="P729" s="124"/>
      <c r="Q729" s="124"/>
      <c r="R729" s="83"/>
      <c r="S729" s="82">
        <f t="shared" ref="S729" si="1892">E729*G729</f>
        <v>0</v>
      </c>
      <c r="T729" s="540"/>
      <c r="U729" s="83"/>
      <c r="V729" s="100" t="b">
        <f>IF(G729&gt;0,IF(AD729="me","",G729))</f>
        <v>0</v>
      </c>
      <c r="W729" s="100"/>
      <c r="X729" s="100"/>
      <c r="Y729" s="201"/>
      <c r="Z729" s="829" t="str">
        <f t="shared" si="1829"/>
        <v/>
      </c>
      <c r="AA729" s="829"/>
      <c r="AB729" s="830" t="str">
        <f>IF(G729=0,"",IF(AD729="free","re-planting",IF(AD729="me","not NVP, by",IF($AD$8="yes",(VLOOKUP(A729,'Discount Lookup'!J:K,2)*G729*(1-$AC$1786)*(1+$AC$1788)),IF(AD729="NVP",(VLOOKUP(A729,'Discount Lookup'!J:K,2)*G729*(1-$AC$1786)*(1+$AC$1788)),IF(AD729="free","re-planting",IF(G729=0,"",IF($AD$8="",IF(AD729="me","not NVP, by",IF(AD729="",IF(G729&gt;0,(VLOOKUP(A729,'Discount Lookup'!J:K,2)*G729*(1-$AC$1786)*(1+$AC$1788)),""),"")),"not NVP, by"))))))))</f>
        <v/>
      </c>
      <c r="AC729" s="830"/>
      <c r="AD729" s="375" t="str">
        <f t="shared" si="1853"/>
        <v/>
      </c>
      <c r="AE729" s="833" t="str">
        <f t="shared" si="1778"/>
        <v/>
      </c>
      <c r="AF729" s="833"/>
      <c r="AG729" s="833"/>
      <c r="AH729" s="91">
        <f>IF(AD729="free",0,IF(AD729="me",0,IF(G729&gt;0,(VLOOKUP(A729,'Discount Lookup'!J:K,2)*G729),0)))</f>
        <v>0</v>
      </c>
      <c r="AI729" s="92" t="str">
        <f t="shared" si="1822"/>
        <v/>
      </c>
      <c r="AJ729" s="828" t="str">
        <f t="shared" si="1831"/>
        <v/>
      </c>
      <c r="AK729" s="828"/>
      <c r="AL729" s="313" t="str">
        <f t="shared" si="1847"/>
        <v/>
      </c>
      <c r="AM729" s="312"/>
      <c r="AN729" s="101"/>
      <c r="AO729" s="101"/>
      <c r="AP729" s="101"/>
      <c r="AQ729" s="101"/>
      <c r="AR729" s="101"/>
      <c r="AS729" s="101"/>
      <c r="AT729" s="101"/>
    </row>
    <row r="730" spans="1:46" ht="12.95" customHeight="1">
      <c r="A730" s="852" t="s">
        <v>461</v>
      </c>
      <c r="B730" s="844"/>
      <c r="C730" s="844"/>
      <c r="D730" s="844"/>
      <c r="E730" s="844"/>
      <c r="F730" s="844"/>
      <c r="G730" s="844"/>
      <c r="H730" s="777" t="s">
        <v>458</v>
      </c>
      <c r="I730" s="88" t="s">
        <v>127</v>
      </c>
      <c r="J730" s="86"/>
      <c r="K730" s="603" t="s">
        <v>45</v>
      </c>
      <c r="L730" s="601" t="s">
        <v>46</v>
      </c>
      <c r="M730" s="86"/>
      <c r="N730" s="87" t="s">
        <v>69</v>
      </c>
      <c r="O730" s="87"/>
      <c r="P730" s="88"/>
      <c r="Q730" s="88"/>
      <c r="R730" s="86"/>
      <c r="S730" s="125"/>
      <c r="T730" s="543"/>
      <c r="U730" s="112"/>
      <c r="V730" s="100" t="b">
        <f>IF(G730&gt;0,IF(AD730="me","",G730))</f>
        <v>0</v>
      </c>
      <c r="W730" s="100"/>
      <c r="X730" s="100"/>
      <c r="Y730" s="201"/>
      <c r="Z730" s="829" t="str">
        <f t="shared" si="1829"/>
        <v/>
      </c>
      <c r="AA730" s="829"/>
      <c r="AB730" s="830" t="str">
        <f>IF(G730=0,"",IF(AD730="free","re-planting",IF(AD730="me","not NVP, by",IF($AD$8="yes",(VLOOKUP(A730,'Discount Lookup'!J:K,2)*G730*(1-$AC$1786)*(1+$AC$1788)),IF(AD730="NVP",(VLOOKUP(A730,'Discount Lookup'!J:K,2)*G730*(1-$AC$1786)*(1+$AC$1788)),IF(AD730="free","re-planting",IF(G730=0,"",IF($AD$8="",IF(AD730="me","not NVP, by",IF(AD730="",IF(G730&gt;0,(VLOOKUP(A730,'Discount Lookup'!J:K,2)*G730*(1-$AC$1786)*(1+$AC$1788)),""),"")),"not NVP, by"))))))))</f>
        <v/>
      </c>
      <c r="AC730" s="830"/>
      <c r="AD730" s="375" t="str">
        <f t="shared" si="1853"/>
        <v/>
      </c>
      <c r="AE730" s="833" t="str">
        <f t="shared" si="1778"/>
        <v/>
      </c>
      <c r="AF730" s="833"/>
      <c r="AG730" s="833"/>
      <c r="AH730" s="91">
        <f>IF(AD730="free",0,IF(AD730="me",0,IF(G730&gt;0,(VLOOKUP(A730,'Discount Lookup'!J:K,2)*G730),0)))</f>
        <v>0</v>
      </c>
      <c r="AI730" s="92" t="str">
        <f t="shared" si="1822"/>
        <v/>
      </c>
      <c r="AJ730" s="828" t="str">
        <f t="shared" si="1831"/>
        <v/>
      </c>
      <c r="AK730" s="828"/>
      <c r="AL730" s="313" t="str">
        <f t="shared" si="1847"/>
        <v/>
      </c>
      <c r="AM730" s="312"/>
      <c r="AN730" s="101"/>
      <c r="AO730" s="101"/>
      <c r="AP730" s="101"/>
      <c r="AQ730" s="101"/>
      <c r="AR730" s="101"/>
      <c r="AS730" s="101"/>
      <c r="AT730" s="101"/>
    </row>
    <row r="731" spans="1:46" ht="12.95" customHeight="1">
      <c r="A731" s="419">
        <v>3</v>
      </c>
      <c r="B731" s="87" t="s">
        <v>50</v>
      </c>
      <c r="C731" s="128" t="s">
        <v>135</v>
      </c>
      <c r="D731" s="129" t="s">
        <v>87</v>
      </c>
      <c r="E731" s="98">
        <v>34.950000000000003</v>
      </c>
      <c r="F731" s="705" t="s">
        <v>1306</v>
      </c>
      <c r="G731" s="357">
        <v>0</v>
      </c>
      <c r="H731" s="704" t="str">
        <f t="shared" ref="H731:H735" si="1893">IF(G731=0,"",IF(F731="Qty=",IF(G731=1,"plant","plants"),IF(F731&gt;0.0001,"warranty","Error")))</f>
        <v/>
      </c>
      <c r="I731" s="98">
        <f t="shared" ref="I731:I735" si="1894">IF(F731="Qty=",(E731*G731),((E731*(1-F731))*G731))</f>
        <v>0</v>
      </c>
      <c r="J731" s="98">
        <f>IF(H731="warranty",0,(I731*($J$1782)))</f>
        <v>0</v>
      </c>
      <c r="K731" s="831">
        <f t="shared" ref="K731:K735" si="1895">I731+J731</f>
        <v>0</v>
      </c>
      <c r="L731" s="831"/>
      <c r="M731" s="832" t="str">
        <f>IF($H$1784=0,"",IF(G731=0,"",IF(F731="Qty=",CONCATENATE("$",ROUND(K731*(1-$H$1784),2)," with ",($H$1784*100),"% discount"),CONCATENATE("$",ROUND(K731*(1-$H$1784),2)," with ",(($H$1784*100+F731*100)-($H$1784*100*F731)),IF(F731&gt;0,"% discounts",IF($H$1781&gt;0,"% discounts","% discount"))))))</f>
        <v/>
      </c>
      <c r="N731" s="832"/>
      <c r="O731" s="832"/>
      <c r="P731" s="832"/>
      <c r="Q731" s="832"/>
      <c r="R731" s="832"/>
      <c r="S731" s="303">
        <f t="shared" ref="S731:S735" si="1896">E731*G731</f>
        <v>0</v>
      </c>
      <c r="T731" s="541">
        <f>VLOOKUP(A731,'Discount Lookup'!D:E,2,FALSE)*G731</f>
        <v>0</v>
      </c>
      <c r="U731" s="83">
        <f>VLOOKUP(A731,'Discount Lookup'!G:H,2,FALSE)*G731</f>
        <v>0</v>
      </c>
      <c r="V731" s="100">
        <f>E731*($J$1782)*G731</f>
        <v>0</v>
      </c>
      <c r="W731" s="100">
        <f t="shared" ref="W731:W735" si="1897">I731</f>
        <v>0</v>
      </c>
      <c r="X731" s="100" t="b">
        <f t="shared" ref="X731:X735" si="1898">IF(G731&gt;0,IF(AD731="me","",G731))</f>
        <v>0</v>
      </c>
      <c r="Y731" s="201"/>
      <c r="Z731" s="829" t="str">
        <f t="shared" si="1829"/>
        <v/>
      </c>
      <c r="AA731" s="829"/>
      <c r="AB731" s="830" t="str">
        <f>IF(G731=0,"",IF(AD731="free","re-planting",IF(AD731="me","not NVP, by",IF($AD$8="yes",(VLOOKUP(A731,'Discount Lookup'!J:K,2)*G731*(1-$AC$1786)*(1+$AC$1788)),IF(AD731="NVP",(VLOOKUP(A731,'Discount Lookup'!J:K,2)*G731*(1-$AC$1786)*(1+$AC$1788)),IF(AD731="free","re-planting",IF(G731=0,"",IF($AD$8="",IF(AD731="me","not NVP, by",IF(AD731="",IF(G731&gt;0,(VLOOKUP(A731,'Discount Lookup'!J:K,2)*G731*(1-$AC$1786)*(1+$AC$1788)),""),"")),"not NVP, by"))))))))</f>
        <v/>
      </c>
      <c r="AC731" s="830"/>
      <c r="AD731" s="375" t="str">
        <f t="shared" si="1853"/>
        <v/>
      </c>
      <c r="AE731" s="833" t="str">
        <f t="shared" si="1778"/>
        <v/>
      </c>
      <c r="AF731" s="833"/>
      <c r="AG731" s="833"/>
      <c r="AH731" s="91">
        <f>IF(AD731="free",0,IF(AD731="me",0,IF(G731&gt;0,(VLOOKUP(A731,'Discount Lookup'!J:K,2)*G731),0)))</f>
        <v>0</v>
      </c>
      <c r="AI731" s="92" t="str">
        <f t="shared" si="1822"/>
        <v/>
      </c>
      <c r="AJ731" s="828" t="str">
        <f t="shared" si="1831"/>
        <v/>
      </c>
      <c r="AK731" s="828"/>
      <c r="AL731" s="313" t="str">
        <f t="shared" si="1847"/>
        <v/>
      </c>
      <c r="AM731" s="312"/>
      <c r="AN731" s="101"/>
      <c r="AO731" s="101"/>
      <c r="AP731" s="101"/>
      <c r="AQ731" s="101"/>
      <c r="AR731" s="101"/>
      <c r="AS731" s="101"/>
      <c r="AT731" s="101"/>
    </row>
    <row r="732" spans="1:46" ht="12.95" customHeight="1">
      <c r="A732" s="419">
        <v>7</v>
      </c>
      <c r="B732" s="87" t="s">
        <v>50</v>
      </c>
      <c r="C732" s="128" t="s">
        <v>85</v>
      </c>
      <c r="D732" s="129" t="s">
        <v>63</v>
      </c>
      <c r="E732" s="98">
        <v>102.95</v>
      </c>
      <c r="F732" s="705" t="s">
        <v>1306</v>
      </c>
      <c r="G732" s="357">
        <v>0</v>
      </c>
      <c r="H732" s="704" t="str">
        <f t="shared" si="1893"/>
        <v/>
      </c>
      <c r="I732" s="98">
        <f t="shared" si="1894"/>
        <v>0</v>
      </c>
      <c r="J732" s="98">
        <f>IF(H732="warranty",0,(I732*($J$1782)))</f>
        <v>0</v>
      </c>
      <c r="K732" s="831">
        <f t="shared" si="1895"/>
        <v>0</v>
      </c>
      <c r="L732" s="831"/>
      <c r="M732" s="832" t="str">
        <f>IF($H$1784=0,"",IF(G732=0,"",IF(F732="Qty=",CONCATENATE("$",ROUND(K732*(1-$H$1784),2)," with ",($H$1784*100),"% discount"),CONCATENATE("$",ROUND(K732*(1-$H$1784),2)," with ",(($H$1784*100+F732*100)-($H$1784*100*F732)),IF(F732&gt;0,"% discounts",IF($H$1781&gt;0,"% discounts","% discount"))))))</f>
        <v/>
      </c>
      <c r="N732" s="832"/>
      <c r="O732" s="832"/>
      <c r="P732" s="832"/>
      <c r="Q732" s="832"/>
      <c r="R732" s="832"/>
      <c r="S732" s="303">
        <f t="shared" ref="S732" si="1899">E732*G732</f>
        <v>0</v>
      </c>
      <c r="T732" s="541">
        <f>VLOOKUP(A732,'Discount Lookup'!D:E,2,FALSE)*G732</f>
        <v>0</v>
      </c>
      <c r="U732" s="83">
        <f>VLOOKUP(A732,'Discount Lookup'!G:H,2,FALSE)*G732</f>
        <v>0</v>
      </c>
      <c r="V732" s="100">
        <f>E732*($J$1782)*G732</f>
        <v>0</v>
      </c>
      <c r="W732" s="100">
        <f t="shared" ref="W732" si="1900">I732</f>
        <v>0</v>
      </c>
      <c r="X732" s="100" t="b">
        <f t="shared" si="1898"/>
        <v>0</v>
      </c>
      <c r="Y732" s="201"/>
      <c r="Z732" s="829" t="str">
        <f t="shared" si="1829"/>
        <v/>
      </c>
      <c r="AA732" s="829"/>
      <c r="AB732" s="830" t="str">
        <f>IF(G732=0,"",IF(AD732="free","re-planting",IF(AD732="me","not NVP, by",IF($AD$8="yes",(VLOOKUP(A732,'Discount Lookup'!J:K,2)*G732*(1-$AC$1786)*(1+$AC$1788)),IF(AD732="NVP",(VLOOKUP(A732,'Discount Lookup'!J:K,2)*G732*(1-$AC$1786)*(1+$AC$1788)),IF(AD732="free","re-planting",IF(G732=0,"",IF($AD$8="",IF(AD732="me","not NVP, by",IF(AD732="",IF(G732&gt;0,(VLOOKUP(A732,'Discount Lookup'!J:K,2)*G732*(1-$AC$1786)*(1+$AC$1788)),""),"")),"not NVP, by"))))))))</f>
        <v/>
      </c>
      <c r="AC732" s="830"/>
      <c r="AD732" s="375" t="str">
        <f t="shared" si="1853"/>
        <v/>
      </c>
      <c r="AE732" s="833" t="str">
        <f t="shared" ref="AE732" si="1901">IF(G732&gt;0,(CONCATENATE((G732)," quantity, ",(A732)," ",B732)),"")</f>
        <v/>
      </c>
      <c r="AF732" s="833"/>
      <c r="AG732" s="833"/>
      <c r="AH732" s="91">
        <f>IF(AD732="free",0,IF(AD732="me",0,IF(G732&gt;0,(VLOOKUP(A732,'Discount Lookup'!J:K,2)*G732),0)))</f>
        <v>0</v>
      </c>
      <c r="AI732" s="92" t="str">
        <f t="shared" si="1822"/>
        <v/>
      </c>
      <c r="AJ732" s="828" t="str">
        <f t="shared" si="1831"/>
        <v/>
      </c>
      <c r="AK732" s="828"/>
      <c r="AL732" s="313" t="str">
        <f t="shared" si="1847"/>
        <v/>
      </c>
      <c r="AM732" s="312"/>
      <c r="AN732" s="101"/>
      <c r="AO732" s="101"/>
      <c r="AP732" s="101"/>
      <c r="AQ732" s="101"/>
      <c r="AR732" s="101"/>
      <c r="AS732" s="101"/>
      <c r="AT732" s="101"/>
    </row>
    <row r="733" spans="1:46" ht="12.95" customHeight="1">
      <c r="A733" s="419">
        <v>15</v>
      </c>
      <c r="B733" s="87" t="s">
        <v>50</v>
      </c>
      <c r="C733" s="128" t="s">
        <v>64</v>
      </c>
      <c r="D733" s="129" t="s">
        <v>63</v>
      </c>
      <c r="E733" s="98">
        <v>183.95</v>
      </c>
      <c r="F733" s="705" t="s">
        <v>1306</v>
      </c>
      <c r="G733" s="357">
        <v>0</v>
      </c>
      <c r="H733" s="704" t="str">
        <f t="shared" si="1893"/>
        <v/>
      </c>
      <c r="I733" s="98">
        <f t="shared" si="1894"/>
        <v>0</v>
      </c>
      <c r="J733" s="98">
        <f>IF(H733="warranty",0,(I733*($J$1782)))</f>
        <v>0</v>
      </c>
      <c r="K733" s="831">
        <f t="shared" si="1895"/>
        <v>0</v>
      </c>
      <c r="L733" s="831"/>
      <c r="M733" s="832" t="str">
        <f>IF($H$1784=0,"",IF(G733=0,"",IF(F733="Qty=",CONCATENATE("$",ROUND(K733*(1-$H$1784),2)," with ",($H$1784*100),"% discount"),CONCATENATE("$",ROUND(K733*(1-$H$1784),2)," with ",(($H$1784*100+F733*100)-($H$1784*100*F733)),IF(F733&gt;0,"% discounts",IF($H$1781&gt;0,"% discounts","% discount"))))))</f>
        <v/>
      </c>
      <c r="N733" s="832"/>
      <c r="O733" s="832"/>
      <c r="P733" s="832"/>
      <c r="Q733" s="832"/>
      <c r="R733" s="832"/>
      <c r="S733" s="303">
        <f t="shared" si="1896"/>
        <v>0</v>
      </c>
      <c r="T733" s="541">
        <f>VLOOKUP(A733,'Discount Lookup'!D:E,2,FALSE)*G733</f>
        <v>0</v>
      </c>
      <c r="U733" s="83">
        <f>VLOOKUP(A733,'Discount Lookup'!G:H,2,FALSE)*G733</f>
        <v>0</v>
      </c>
      <c r="V733" s="100">
        <f>E733*($J$1782)*G733</f>
        <v>0</v>
      </c>
      <c r="W733" s="100">
        <f t="shared" si="1897"/>
        <v>0</v>
      </c>
      <c r="X733" s="100" t="b">
        <f t="shared" si="1898"/>
        <v>0</v>
      </c>
      <c r="Y733" s="201"/>
      <c r="Z733" s="829" t="str">
        <f t="shared" si="1829"/>
        <v/>
      </c>
      <c r="AA733" s="829"/>
      <c r="AB733" s="830" t="str">
        <f>IF(G733=0,"",IF(AD733="free","re-planting",IF(AD733="me","not NVP, by",IF($AD$8="yes",(VLOOKUP(A733,'Discount Lookup'!J:K,2)*G733*(1-$AC$1786)*(1+$AC$1788)),IF(AD733="NVP",(VLOOKUP(A733,'Discount Lookup'!J:K,2)*G733*(1-$AC$1786)*(1+$AC$1788)),IF(AD733="free","re-planting",IF(G733=0,"",IF($AD$8="",IF(AD733="me","not NVP, by",IF(AD733="",IF(G733&gt;0,(VLOOKUP(A733,'Discount Lookup'!J:K,2)*G733*(1-$AC$1786)*(1+$AC$1788)),""),"")),"not NVP, by"))))))))</f>
        <v/>
      </c>
      <c r="AC733" s="830"/>
      <c r="AD733" s="375" t="str">
        <f t="shared" si="1853"/>
        <v/>
      </c>
      <c r="AE733" s="833" t="str">
        <f t="shared" si="1778"/>
        <v/>
      </c>
      <c r="AF733" s="833"/>
      <c r="AG733" s="833"/>
      <c r="AH733" s="91">
        <f>IF(AD733="free",0,IF(AD733="me",0,IF(G733&gt;0,(VLOOKUP(A733,'Discount Lookup'!J:K,2)*G733),0)))</f>
        <v>0</v>
      </c>
      <c r="AI733" s="92" t="str">
        <f t="shared" si="1822"/>
        <v/>
      </c>
      <c r="AJ733" s="828" t="str">
        <f t="shared" si="1831"/>
        <v/>
      </c>
      <c r="AK733" s="828"/>
      <c r="AL733" s="313" t="str">
        <f t="shared" si="1847"/>
        <v/>
      </c>
      <c r="AM733" s="312"/>
      <c r="AN733" s="101"/>
      <c r="AO733" s="101"/>
      <c r="AP733" s="101"/>
      <c r="AQ733" s="101"/>
      <c r="AR733" s="101"/>
      <c r="AS733" s="101"/>
      <c r="AT733" s="101"/>
    </row>
    <row r="734" spans="1:46" ht="12.95" customHeight="1">
      <c r="A734" s="419">
        <v>15</v>
      </c>
      <c r="B734" s="87" t="s">
        <v>50</v>
      </c>
      <c r="C734" s="128" t="s">
        <v>119</v>
      </c>
      <c r="D734" s="129" t="s">
        <v>90</v>
      </c>
      <c r="E734" s="98">
        <v>170.95</v>
      </c>
      <c r="F734" s="705" t="s">
        <v>1306</v>
      </c>
      <c r="G734" s="357">
        <v>0</v>
      </c>
      <c r="H734" s="704" t="str">
        <f t="shared" ref="H734" si="1902">IF(G734=0,"",IF(F734="Qty=",IF(G734=1,"plant","plants"),IF(F734&gt;0.0001,"warranty","Error")))</f>
        <v/>
      </c>
      <c r="I734" s="98">
        <f t="shared" ref="I734" si="1903">IF(F734="Qty=",(E734*G734),((E734*(1-F734))*G734))</f>
        <v>0</v>
      </c>
      <c r="J734" s="98">
        <f>IF(H734="warranty",0,(I734*($J$1782)))</f>
        <v>0</v>
      </c>
      <c r="K734" s="831">
        <f t="shared" si="1895"/>
        <v>0</v>
      </c>
      <c r="L734" s="831"/>
      <c r="M734" s="832" t="str">
        <f>IF($H$1784=0,"",IF(G734=0,"",IF(F734="Qty=",CONCATENATE("$",ROUND(K734*(1-$H$1784),2)," with ",($H$1784*100),"% discount"),CONCATENATE("$",ROUND(K734*(1-$H$1784),2)," with ",(($H$1784*100+F734*100)-($H$1784*100*F734)),IF(F734&gt;0,"% discounts",IF($H$1781&gt;0,"% discounts","% discount"))))))</f>
        <v/>
      </c>
      <c r="N734" s="832"/>
      <c r="O734" s="832"/>
      <c r="P734" s="832"/>
      <c r="Q734" s="832"/>
      <c r="R734" s="832"/>
      <c r="S734" s="303">
        <f t="shared" ref="S734" si="1904">E734*G734</f>
        <v>0</v>
      </c>
      <c r="T734" s="541">
        <f>VLOOKUP(A734,'Discount Lookup'!D:E,2,FALSE)*G734</f>
        <v>0</v>
      </c>
      <c r="U734" s="83">
        <f>VLOOKUP(A734,'Discount Lookup'!G:H,2,FALSE)*G734</f>
        <v>0</v>
      </c>
      <c r="V734" s="100">
        <f>E734*($J$1782)*G734</f>
        <v>0</v>
      </c>
      <c r="W734" s="100">
        <f t="shared" ref="W734" si="1905">I734</f>
        <v>0</v>
      </c>
      <c r="X734" s="100" t="b">
        <f t="shared" si="1898"/>
        <v>0</v>
      </c>
      <c r="Y734" s="201"/>
      <c r="Z734" s="829" t="str">
        <f t="shared" ref="Z734" si="1906">IF(G734=0,"",IF(AD734="me","",IF($AD$8="me","",IF(AD734="free","warranty",IF($AD$8="yes","NVP planting:","to NVP install:")))))</f>
        <v/>
      </c>
      <c r="AA734" s="829"/>
      <c r="AB734" s="830" t="str">
        <f>IF(G734=0,"",IF(AD734="free","re-planting",IF(AD734="me","not NVP, by",IF($AD$8="yes",(VLOOKUP(A734,'Discount Lookup'!J:K,2)*G734*(1-$AC$1786)*(1+$AC$1788)),IF(AD734="NVP",(VLOOKUP(A734,'Discount Lookup'!J:K,2)*G734*(1-$AC$1786)*(1+$AC$1788)),IF(AD734="free","re-planting",IF(G734=0,"",IF($AD$8="",IF(AD734="me","not NVP, by",IF(AD734="",IF(G734&gt;0,(VLOOKUP(A734,'Discount Lookup'!J:K,2)*G734*(1-$AC$1786)*(1+$AC$1788)),""),"")),"not NVP, by"))))))))</f>
        <v/>
      </c>
      <c r="AC734" s="830"/>
      <c r="AD734" s="375" t="str">
        <f t="shared" si="1853"/>
        <v/>
      </c>
      <c r="AE734" s="833" t="str">
        <f t="shared" ref="AE734" si="1907">IF(G734&gt;0,(CONCATENATE((G734)," quantity, ",(A734)," ",B734)),"")</f>
        <v/>
      </c>
      <c r="AF734" s="833"/>
      <c r="AG734" s="833"/>
      <c r="AH734" s="91">
        <f>IF(AD734="free",0,IF(AD734="me",0,IF(G734&gt;0,(VLOOKUP(A734,'Discount Lookup'!J:K,2)*G734),0)))</f>
        <v>0</v>
      </c>
      <c r="AI734" s="92" t="str">
        <f t="shared" si="1822"/>
        <v/>
      </c>
      <c r="AJ734" s="828" t="str">
        <f t="shared" ref="AJ734" si="1908">IF(G734=0,"",IF(AD734="me","  delivery-only",IF($AD$8="me","  delivery-only",CONCATENATE(" $",ROUND(AI734/G734,2)," each"))))</f>
        <v/>
      </c>
      <c r="AK734" s="828"/>
      <c r="AL734" s="313" t="str">
        <f t="shared" si="1847"/>
        <v/>
      </c>
      <c r="AM734" s="312"/>
      <c r="AN734" s="101"/>
      <c r="AO734" s="101"/>
      <c r="AP734" s="101"/>
      <c r="AQ734" s="101"/>
      <c r="AR734" s="101"/>
      <c r="AS734" s="101"/>
      <c r="AT734" s="101"/>
    </row>
    <row r="735" spans="1:46" ht="12.95" customHeight="1">
      <c r="A735" s="419">
        <v>25</v>
      </c>
      <c r="B735" s="87" t="s">
        <v>50</v>
      </c>
      <c r="C735" s="128" t="s">
        <v>70</v>
      </c>
      <c r="D735" s="129" t="s">
        <v>90</v>
      </c>
      <c r="E735" s="98">
        <v>314.95</v>
      </c>
      <c r="F735" s="705" t="s">
        <v>1306</v>
      </c>
      <c r="G735" s="357">
        <v>0</v>
      </c>
      <c r="H735" s="704" t="str">
        <f t="shared" si="1893"/>
        <v/>
      </c>
      <c r="I735" s="98">
        <f t="shared" si="1894"/>
        <v>0</v>
      </c>
      <c r="J735" s="98">
        <f>IF(H735="warranty",0,(I735*($J$1782)))</f>
        <v>0</v>
      </c>
      <c r="K735" s="831">
        <f t="shared" si="1895"/>
        <v>0</v>
      </c>
      <c r="L735" s="831"/>
      <c r="M735" s="832" t="str">
        <f>IF($H$1784=0,"",IF(G735=0,"",IF(F735="Qty=",CONCATENATE("$",ROUND(K735*(1-$H$1784),2)," with ",($H$1784*100),"% discount"),CONCATENATE("$",ROUND(K735*(1-$H$1784),2)," with ",(($H$1784*100+F735*100)-($H$1784*100*F735)),IF(F735&gt;0,"% discounts",IF($H$1781&gt;0,"% discounts","% discount"))))))</f>
        <v/>
      </c>
      <c r="N735" s="832"/>
      <c r="O735" s="832"/>
      <c r="P735" s="832"/>
      <c r="Q735" s="832"/>
      <c r="R735" s="832"/>
      <c r="S735" s="303">
        <f t="shared" si="1896"/>
        <v>0</v>
      </c>
      <c r="T735" s="541">
        <f>VLOOKUP(A735,'Discount Lookup'!D:E,2,FALSE)*G735</f>
        <v>0</v>
      </c>
      <c r="U735" s="83">
        <f>VLOOKUP(A735,'Discount Lookup'!G:H,2,FALSE)*G735</f>
        <v>0</v>
      </c>
      <c r="V735" s="100">
        <f>E735*($J$1782)*G735</f>
        <v>0</v>
      </c>
      <c r="W735" s="100">
        <f t="shared" si="1897"/>
        <v>0</v>
      </c>
      <c r="X735" s="100" t="b">
        <f t="shared" si="1898"/>
        <v>0</v>
      </c>
      <c r="Y735" s="201"/>
      <c r="Z735" s="829" t="str">
        <f t="shared" si="1829"/>
        <v/>
      </c>
      <c r="AA735" s="829"/>
      <c r="AB735" s="830" t="str">
        <f>IF(G735=0,"",IF(AD735="free","re-planting",IF(AD735="me","not NVP, by",IF($AD$8="yes",(VLOOKUP(A735,'Discount Lookup'!J:K,2)*G735*(1-$AC$1786)*(1+$AC$1788)),IF(AD735="NVP",(VLOOKUP(A735,'Discount Lookup'!J:K,2)*G735*(1-$AC$1786)*(1+$AC$1788)),IF(AD735="free","re-planting",IF(G735=0,"",IF($AD$8="",IF(AD735="me","not NVP, by",IF(AD735="",IF(G735&gt;0,(VLOOKUP(A735,'Discount Lookup'!J:K,2)*G735*(1-$AC$1786)*(1+$AC$1788)),""),"")),"not NVP, by"))))))))</f>
        <v/>
      </c>
      <c r="AC735" s="830"/>
      <c r="AD735" s="375" t="str">
        <f t="shared" si="1853"/>
        <v/>
      </c>
      <c r="AE735" s="833" t="str">
        <f t="shared" si="1778"/>
        <v/>
      </c>
      <c r="AF735" s="833"/>
      <c r="AG735" s="833"/>
      <c r="AH735" s="91">
        <f>IF(AD735="free",0,IF(AD735="me",0,IF(G735&gt;0,(VLOOKUP(A735,'Discount Lookup'!J:K,2)*G735),0)))</f>
        <v>0</v>
      </c>
      <c r="AI735" s="92" t="str">
        <f t="shared" si="1822"/>
        <v/>
      </c>
      <c r="AJ735" s="828" t="str">
        <f t="shared" si="1831"/>
        <v/>
      </c>
      <c r="AK735" s="828"/>
      <c r="AL735" s="313" t="str">
        <f t="shared" si="1847"/>
        <v/>
      </c>
      <c r="AM735" s="312"/>
      <c r="AN735" s="101"/>
      <c r="AO735" s="101"/>
      <c r="AP735" s="101"/>
      <c r="AQ735" s="101"/>
      <c r="AR735" s="101"/>
      <c r="AS735" s="101"/>
      <c r="AT735" s="101"/>
    </row>
    <row r="736" spans="1:46" ht="12.95" customHeight="1">
      <c r="A736" s="465"/>
      <c r="B736" s="149" t="s">
        <v>462</v>
      </c>
      <c r="C736" s="104"/>
      <c r="D736" s="104"/>
      <c r="E736" s="131"/>
      <c r="F736" s="710"/>
      <c r="G736" s="358"/>
      <c r="H736" s="744"/>
      <c r="I736" s="131"/>
      <c r="J736" s="131"/>
      <c r="K736" s="608"/>
      <c r="L736" s="608"/>
      <c r="M736" s="48"/>
      <c r="N736" s="122" t="s">
        <v>460</v>
      </c>
      <c r="O736" s="123"/>
      <c r="P736" s="124"/>
      <c r="W736" s="286"/>
      <c r="X736" s="286"/>
      <c r="Y736" s="794"/>
      <c r="Z736" s="829" t="str">
        <f t="shared" si="1829"/>
        <v/>
      </c>
      <c r="AA736" s="829"/>
      <c r="AB736" s="830" t="str">
        <f>IF(G736=0,"",IF(AD736="free","re-planting",IF(AD736="me","not NVP, by",IF($AD$8="yes",(VLOOKUP(A736,'Discount Lookup'!J:K,2)*G736*(1-$AC$1786)*(1+$AC$1788)),IF(AD736="NVP",(VLOOKUP(A736,'Discount Lookup'!J:K,2)*G736*(1-$AC$1786)*(1+$AC$1788)),IF(AD736="free","re-planting",IF(G736=0,"",IF($AD$8="",IF(AD736="me","not NVP, by",IF(AD736="",IF(G736&gt;0,(VLOOKUP(A736,'Discount Lookup'!J:K,2)*G736*(1-$AC$1786)*(1+$AC$1788)),""),"")),"not NVP, by"))))))))</f>
        <v/>
      </c>
      <c r="AC736" s="830"/>
      <c r="AD736" s="375" t="str">
        <f t="shared" si="1853"/>
        <v/>
      </c>
      <c r="AE736" s="833" t="str">
        <f t="shared" si="1778"/>
        <v/>
      </c>
      <c r="AF736" s="833"/>
      <c r="AG736" s="833"/>
      <c r="AH736" s="91">
        <f>IF(AD736="free",0,IF(AD736="me",0,IF(G736&gt;0,(VLOOKUP(A736,'Discount Lookup'!J:K,2)*G736),0)))</f>
        <v>0</v>
      </c>
      <c r="AI736" s="92" t="str">
        <f t="shared" ref="AI736:AI771" si="1909">IF(G736=0,"",IF(AD736="free",(K736*(1-$H$1784)),IF($AD$8="me",(K736*(1-$H$1784)),IF(AD736="me",(K736*(1-$H$1784)),(K736*(1-$H$1784))+AB736))))</f>
        <v/>
      </c>
      <c r="AJ736" s="828" t="str">
        <f t="shared" si="1831"/>
        <v/>
      </c>
      <c r="AK736" s="828"/>
      <c r="AL736" s="313" t="str">
        <f t="shared" si="1847"/>
        <v/>
      </c>
      <c r="AM736" s="312"/>
      <c r="AN736" s="101"/>
      <c r="AO736" s="101"/>
      <c r="AP736" s="101"/>
      <c r="AQ736" s="101"/>
      <c r="AR736" s="101"/>
      <c r="AS736" s="101"/>
      <c r="AT736" s="101"/>
    </row>
    <row r="737" spans="1:46" ht="12.95" customHeight="1">
      <c r="A737" s="898" t="s">
        <v>979</v>
      </c>
      <c r="B737" s="897"/>
      <c r="C737" s="897"/>
      <c r="D737" s="897"/>
      <c r="E737" s="897"/>
      <c r="F737" s="897"/>
      <c r="G737" s="897"/>
      <c r="H737" s="776" t="s">
        <v>956</v>
      </c>
      <c r="I737" s="88" t="s">
        <v>79</v>
      </c>
      <c r="J737" s="86"/>
      <c r="K737" s="603" t="s">
        <v>45</v>
      </c>
      <c r="L737" s="601" t="s">
        <v>46</v>
      </c>
      <c r="M737" s="86"/>
      <c r="N737" s="87" t="s">
        <v>75</v>
      </c>
      <c r="O737" s="87"/>
      <c r="P737" s="88"/>
      <c r="Q737" s="88"/>
      <c r="R737" s="86"/>
      <c r="S737" s="125"/>
      <c r="T737" s="543"/>
      <c r="U737" s="112"/>
      <c r="V737" s="100" t="b">
        <f>IF(G737&gt;0,IF(AD737="me","",G737))</f>
        <v>0</v>
      </c>
      <c r="W737" s="100"/>
      <c r="X737" s="100"/>
      <c r="Y737" s="201"/>
      <c r="Z737" s="838" t="str">
        <f>IF(G737=0,"",IF(AD737="me","",IF($AD$8="me","",IF(AD737="free","warranty",IF($AD$8="yes","NVP planting:","to NVP install:")))))</f>
        <v/>
      </c>
      <c r="AA737" s="838"/>
      <c r="AB737" s="830" t="str">
        <f>IF(G737=0,"",IF(AD737="free","re-planting",IF(AD737="me","not NVP, by",IF($AD$8="yes",(VLOOKUP(A737,'Discount Lookup'!J:K,2)*G737*(1-$AC$1786)*(1+$AC$1788)),IF(AD737="NVP",(VLOOKUP(A737,'Discount Lookup'!J:K,2)*G737*(1-$AC$1786)*(1+$AC$1788)),IF(AD737="free","re-planting",IF(G737=0,"",IF($AD$8="",IF(AD737="me","not NVP, by",IF(AD737="",IF(G737&gt;0,(VLOOKUP(A737,'Discount Lookup'!J:K,2)*G737*(1-$AC$1786)*(1+$AC$1788)),""),"")),"not NVP, by"))))))))</f>
        <v/>
      </c>
      <c r="AC737" s="830"/>
      <c r="AD737" s="375" t="str">
        <f t="shared" si="1853"/>
        <v/>
      </c>
      <c r="AE737" s="833" t="str">
        <f>IF(G737&gt;0,(CONCATENATE((G737)," quantity, ",(A737)," ",B737)),"")</f>
        <v/>
      </c>
      <c r="AF737" s="833"/>
      <c r="AG737" s="833"/>
      <c r="AH737" s="91" t="str">
        <f>IF(AD737="free",0,IF(AD737="me","",IF(G737&gt;0,(VLOOKUP(A737,'Discount Lookup'!J:K,2)*G737),"")))</f>
        <v/>
      </c>
      <c r="AI737" s="92" t="str">
        <f t="shared" si="1909"/>
        <v/>
      </c>
      <c r="AJ737" s="828" t="str">
        <f>IF(G737=0,"",IF(AD737="me","  delivery-only",CONCATENATE(" $",ROUND(AI737/G737,2)," each")))</f>
        <v/>
      </c>
      <c r="AK737" s="828"/>
      <c r="AL737" s="313" t="str">
        <f t="shared" si="1847"/>
        <v/>
      </c>
      <c r="AM737" s="312"/>
      <c r="AN737" s="101"/>
      <c r="AO737" s="101"/>
      <c r="AP737" s="101"/>
      <c r="AQ737" s="101"/>
      <c r="AR737" s="101"/>
      <c r="AS737" s="101"/>
      <c r="AT737" s="101"/>
    </row>
    <row r="738" spans="1:46" ht="12.95" customHeight="1">
      <c r="A738" s="447">
        <v>3</v>
      </c>
      <c r="B738" s="87" t="s">
        <v>50</v>
      </c>
      <c r="C738" s="128" t="s">
        <v>181</v>
      </c>
      <c r="D738" s="129" t="s">
        <v>52</v>
      </c>
      <c r="E738" s="98">
        <v>25.95</v>
      </c>
      <c r="F738" s="705" t="s">
        <v>1306</v>
      </c>
      <c r="G738" s="357">
        <v>0</v>
      </c>
      <c r="H738" s="704" t="str">
        <f t="shared" ref="H738" si="1910">IF(G738=0,"",IF(F738="Qty=",IF(G738=1,"plant","plants"),IF(F738&gt;0.0001,"warranty","Error")))</f>
        <v/>
      </c>
      <c r="I738" s="98">
        <f t="shared" ref="I738" si="1911">IF(F738="Qty=",(E738*G738),((E738*(1-F738))*G738))</f>
        <v>0</v>
      </c>
      <c r="J738" s="98">
        <f>IF(H738="warranty",0,(I738*($J$1782)))</f>
        <v>0</v>
      </c>
      <c r="K738" s="831">
        <f t="shared" ref="K738" si="1912">I738+J738</f>
        <v>0</v>
      </c>
      <c r="L738" s="831"/>
      <c r="M738" s="832" t="str">
        <f>IF($H$1784=0,"",IF(G738=0,"",IF(F738="Qty=",CONCATENATE("$",ROUND(K738*(1-$H$1784),2)," with ",($H$1784*100),"% discount"),CONCATENATE("$",ROUND(K738*(1-$H$1784),2)," with ",(($H$1784*100+F738*100)-($H$1784*100*F738)),IF(F738&gt;0,"% discounts",IF($H$1781&gt;0,"% discounts","% discount"))))))</f>
        <v/>
      </c>
      <c r="N738" s="832"/>
      <c r="O738" s="832"/>
      <c r="P738" s="832"/>
      <c r="Q738" s="832"/>
      <c r="R738" s="832"/>
      <c r="S738" s="303">
        <f t="shared" ref="S738" si="1913">E738*G738</f>
        <v>0</v>
      </c>
      <c r="T738" s="541">
        <f>VLOOKUP(A738,'Discount Lookup'!D:E,2,FALSE)*G738</f>
        <v>0</v>
      </c>
      <c r="U738" s="83">
        <f>VLOOKUP(A738,'Discount Lookup'!G:H,2,FALSE)*G738</f>
        <v>0</v>
      </c>
      <c r="V738" s="100">
        <f>E738*($J$1782)*G738</f>
        <v>0</v>
      </c>
      <c r="W738" s="100">
        <f t="shared" ref="W738" si="1914">I738</f>
        <v>0</v>
      </c>
      <c r="X738" s="100" t="b">
        <f>IF(G738&gt;0,IF(AD738="me","",G738))</f>
        <v>0</v>
      </c>
      <c r="Y738" s="201"/>
      <c r="Z738" s="838" t="str">
        <f>IF(G738=0,"",IF(AD738="me","",IF($AD$8="me","",IF(AD738="free","warranty",IF($AD$8="yes","NVP planting:","to NVP install:")))))</f>
        <v/>
      </c>
      <c r="AA738" s="838"/>
      <c r="AB738" s="830" t="str">
        <f>IF(G738=0,"",IF(AD738="free","re-planting",IF(AD738="me","not NVP, by",IF($AD$8="yes",(VLOOKUP(A738,'Discount Lookup'!J:K,2)*G738*(1-$AC$1786)*(1+$AC$1788)),IF(AD738="NVP",(VLOOKUP(A738,'Discount Lookup'!J:K,2)*G738*(1-$AC$1786)*(1+$AC$1788)),IF(AD738="free","re-planting",IF(G738=0,"",IF($AD$8="",IF(AD738="me","not NVP, by",IF(AD738="",IF(G738&gt;0,(VLOOKUP(A738,'Discount Lookup'!J:K,2)*G738*(1-$AC$1786)*(1+$AC$1788)),""),"")),"not NVP, by"))))))))</f>
        <v/>
      </c>
      <c r="AC738" s="830"/>
      <c r="AD738" s="375" t="str">
        <f t="shared" si="1853"/>
        <v/>
      </c>
      <c r="AE738" s="833" t="str">
        <f>IF(G738&gt;0,(CONCATENATE((G738)," quantity, ",(A738)," ",B738)),"")</f>
        <v/>
      </c>
      <c r="AF738" s="833"/>
      <c r="AG738" s="833"/>
      <c r="AH738" s="91" t="str">
        <f>IF(AD738="free",0,IF(AD738="me","",IF(G738&gt;0,(VLOOKUP(A738,'Discount Lookup'!J:K,2)*G738),"")))</f>
        <v/>
      </c>
      <c r="AI738" s="92" t="str">
        <f t="shared" si="1909"/>
        <v/>
      </c>
      <c r="AJ738" s="828" t="str">
        <f>IF(G738=0,"",IF(AD738="me","  delivery-only",CONCATENATE(" $",ROUND(AI738/G738,2)," each")))</f>
        <v/>
      </c>
      <c r="AK738" s="828"/>
      <c r="AL738" s="313" t="str">
        <f t="shared" si="1847"/>
        <v/>
      </c>
      <c r="AM738" s="312"/>
      <c r="AN738" s="101"/>
      <c r="AO738" s="101"/>
      <c r="AP738" s="101"/>
      <c r="AQ738" s="101"/>
      <c r="AR738" s="101"/>
      <c r="AS738" s="101"/>
      <c r="AT738" s="101"/>
    </row>
    <row r="739" spans="1:46" ht="12.95" customHeight="1">
      <c r="A739" s="504"/>
      <c r="B739" s="149" t="s">
        <v>980</v>
      </c>
      <c r="C739" s="104"/>
      <c r="D739" s="104"/>
      <c r="E739" s="131"/>
      <c r="F739" s="710"/>
      <c r="G739" s="358"/>
      <c r="H739" s="744"/>
      <c r="I739" s="131"/>
      <c r="J739" s="131"/>
      <c r="K739" s="608"/>
      <c r="L739" s="608"/>
      <c r="M739" s="121"/>
      <c r="N739" s="48"/>
      <c r="O739" s="123"/>
      <c r="P739" s="124"/>
      <c r="Q739" s="48"/>
      <c r="R739" s="48"/>
      <c r="S739" s="48"/>
      <c r="T739" s="546"/>
      <c r="Y739" s="132"/>
      <c r="Z739" s="838" t="str">
        <f>IF(G739=0,"",IF(AD739="me","",IF($AD$8="me","",IF(AD739="free","warranty",IF($AD$8="yes","NVP planting:","to NVP install:")))))</f>
        <v/>
      </c>
      <c r="AA739" s="838"/>
      <c r="AB739" s="830" t="str">
        <f>IF(G739=0,"",IF(AD739="free","re-planting",IF(AD739="me","not NVP, by",IF($AD$8="yes",(VLOOKUP(A739,'Discount Lookup'!J:K,2)*G739*(1-$AC$1786)*(1+$AC$1788)),IF(AD739="NVP",(VLOOKUP(A739,'Discount Lookup'!J:K,2)*G739*(1-$AC$1786)*(1+$AC$1788)),IF(AD739="free","re-planting",IF(G739=0,"",IF($AD$8="",IF(AD739="me","not NVP, by",IF(AD739="",IF(G739&gt;0,(VLOOKUP(A739,'Discount Lookup'!J:K,2)*G739*(1-$AC$1786)*(1+$AC$1788)),""),"")),"not NVP, by"))))))))</f>
        <v/>
      </c>
      <c r="AC739" s="830"/>
      <c r="AD739" s="375" t="str">
        <f t="shared" si="1853"/>
        <v/>
      </c>
      <c r="AE739" s="833" t="str">
        <f>IF(G739&gt;0,(CONCATENATE((G739)," quantity, ",(A739)," ",B739)),"")</f>
        <v/>
      </c>
      <c r="AF739" s="833"/>
      <c r="AG739" s="833"/>
      <c r="AH739" s="91" t="str">
        <f>IF(AD739="free",0,IF(AD739="me","",IF(G739&gt;0,(VLOOKUP(A739,'Discount Lookup'!J:K,2)*G739),"")))</f>
        <v/>
      </c>
      <c r="AI739" s="92" t="str">
        <f t="shared" si="1909"/>
        <v/>
      </c>
      <c r="AJ739" s="828" t="str">
        <f>IF(G739=0,"",IF(AD739="me","  delivery-only",CONCATENATE(" $",ROUND(AI739/G739,2)," each")))</f>
        <v/>
      </c>
      <c r="AK739" s="828"/>
      <c r="AL739" s="313" t="str">
        <f t="shared" si="1847"/>
        <v/>
      </c>
      <c r="AM739" s="312"/>
      <c r="AN739" s="101"/>
      <c r="AO739" s="101"/>
      <c r="AP739" s="101"/>
      <c r="AQ739" s="101"/>
      <c r="AR739" s="101"/>
      <c r="AS739" s="101"/>
      <c r="AT739" s="101"/>
    </row>
    <row r="740" spans="1:46" ht="12.95" customHeight="1">
      <c r="A740" s="847" t="s">
        <v>463</v>
      </c>
      <c r="B740" s="848"/>
      <c r="C740" s="848"/>
      <c r="D740" s="848"/>
      <c r="E740" s="848"/>
      <c r="F740" s="848"/>
      <c r="G740" s="848"/>
      <c r="H740" s="777" t="s">
        <v>424</v>
      </c>
      <c r="I740" s="439" t="s">
        <v>280</v>
      </c>
      <c r="J740" s="93"/>
      <c r="K740" s="603" t="s">
        <v>45</v>
      </c>
      <c r="L740" s="601" t="s">
        <v>46</v>
      </c>
      <c r="M740" s="86"/>
      <c r="N740" s="87" t="s">
        <v>69</v>
      </c>
      <c r="O740" s="87"/>
      <c r="P740" s="87"/>
      <c r="Q740" s="87"/>
      <c r="R740" s="86"/>
      <c r="S740" s="125"/>
      <c r="T740" s="543"/>
      <c r="U740" s="112"/>
      <c r="V740" s="100" t="b">
        <f>IF(G740&gt;0,IF(AD740="me","",G740))</f>
        <v>0</v>
      </c>
      <c r="W740" s="100"/>
      <c r="X740" s="100"/>
      <c r="Y740" s="201"/>
      <c r="Z740" s="829" t="str">
        <f t="shared" si="1829"/>
        <v/>
      </c>
      <c r="AA740" s="829"/>
      <c r="AB740" s="830" t="str">
        <f>IF(G740=0,"",IF(AD740="free","re-planting",IF(AD740="me","not NVP, by",IF($AD$8="yes",(VLOOKUP(A740,'Discount Lookup'!J:K,2)*G740*(1-$AC$1786)*(1+$AC$1788)),IF(AD740="NVP",(VLOOKUP(A740,'Discount Lookup'!J:K,2)*G740*(1-$AC$1786)*(1+$AC$1788)),IF(AD740="free","re-planting",IF(G740=0,"",IF($AD$8="",IF(AD740="me","not NVP, by",IF(AD740="",IF(G740&gt;0,(VLOOKUP(A740,'Discount Lookup'!J:K,2)*G740*(1-$AC$1786)*(1+$AC$1788)),""),"")),"not NVP, by"))))))))</f>
        <v/>
      </c>
      <c r="AC740" s="830"/>
      <c r="AD740" s="375" t="str">
        <f t="shared" si="1853"/>
        <v/>
      </c>
      <c r="AE740" s="833" t="str">
        <f t="shared" si="1778"/>
        <v/>
      </c>
      <c r="AF740" s="833"/>
      <c r="AG740" s="833"/>
      <c r="AH740" s="91">
        <f>IF(AD740="free",0,IF(AD740="me",0,IF(G740&gt;0,(VLOOKUP(A740,'Discount Lookup'!J:K,2)*G740),0)))</f>
        <v>0</v>
      </c>
      <c r="AI740" s="92" t="str">
        <f t="shared" si="1909"/>
        <v/>
      </c>
      <c r="AJ740" s="828" t="str">
        <f t="shared" si="1831"/>
        <v/>
      </c>
      <c r="AK740" s="828"/>
      <c r="AL740" s="313" t="str">
        <f t="shared" si="1847"/>
        <v/>
      </c>
      <c r="AM740" s="312"/>
      <c r="AN740" s="101"/>
      <c r="AO740" s="101"/>
      <c r="AP740" s="101"/>
      <c r="AQ740" s="101"/>
      <c r="AR740" s="101"/>
      <c r="AS740" s="101"/>
      <c r="AT740" s="101"/>
    </row>
    <row r="741" spans="1:46" ht="12.95" customHeight="1">
      <c r="A741" s="419">
        <v>3</v>
      </c>
      <c r="B741" s="87" t="s">
        <v>50</v>
      </c>
      <c r="C741" s="399" t="s">
        <v>85</v>
      </c>
      <c r="D741" s="129" t="s">
        <v>86</v>
      </c>
      <c r="E741" s="98">
        <v>24.95</v>
      </c>
      <c r="F741" s="705" t="s">
        <v>1306</v>
      </c>
      <c r="G741" s="357">
        <v>0</v>
      </c>
      <c r="H741" s="704" t="str">
        <f t="shared" ref="H741" si="1915">IF(G741=0,"",IF(F741="Qty=",IF(G741=1,"plant","plants"),IF(F741&gt;0.0001,"warranty","Error")))</f>
        <v/>
      </c>
      <c r="I741" s="98">
        <f t="shared" ref="I741" si="1916">IF(F741="Qty=",(E741*G741),((E741*(1-F741))*G741))</f>
        <v>0</v>
      </c>
      <c r="J741" s="98">
        <f>IF(H741="warranty",0,(I741*($J$1782)))</f>
        <v>0</v>
      </c>
      <c r="K741" s="831">
        <f t="shared" ref="K741" si="1917">I741+J741</f>
        <v>0</v>
      </c>
      <c r="L741" s="831"/>
      <c r="M741" s="832" t="str">
        <f>IF($H$1784=0,"",IF(G741=0,"",IF(F741="Qty=",CONCATENATE("$",ROUND(K741*(1-$H$1784),2)," with ",($H$1784*100),"% discount"),CONCATENATE("$",ROUND(K741*(1-$H$1784),2)," with ",(($H$1784*100+F741*100)-($H$1784*100*F741)),IF(F741&gt;0,"% discounts",IF($H$1781&gt;0,"% discounts","% discount"))))))</f>
        <v/>
      </c>
      <c r="N741" s="832"/>
      <c r="O741" s="832"/>
      <c r="P741" s="832"/>
      <c r="Q741" s="832"/>
      <c r="R741" s="832"/>
      <c r="S741" s="303">
        <f t="shared" ref="S741" si="1918">E741*G741</f>
        <v>0</v>
      </c>
      <c r="T741" s="541">
        <f>VLOOKUP(A741,'Discount Lookup'!D:E,2,FALSE)*G741</f>
        <v>0</v>
      </c>
      <c r="U741" s="83">
        <f>VLOOKUP(A741,'Discount Lookup'!G:H,2,FALSE)*G741</f>
        <v>0</v>
      </c>
      <c r="V741" s="100">
        <f>E741*($J$1782)*G741</f>
        <v>0</v>
      </c>
      <c r="W741" s="100">
        <f t="shared" ref="W741" si="1919">I741</f>
        <v>0</v>
      </c>
      <c r="X741" s="100" t="b">
        <f>IF(G741&gt;0,IF(AD741="me","",G741))</f>
        <v>0</v>
      </c>
      <c r="Y741" s="201"/>
      <c r="Z741" s="829" t="str">
        <f t="shared" ref="Z741" si="1920">IF(G741=0,"",IF(AD741="me","",IF($AD$8="me","",IF(AD741="free","warranty",IF($AD$8="yes","NVP planting:","to NVP install:")))))</f>
        <v/>
      </c>
      <c r="AA741" s="829"/>
      <c r="AB741" s="830" t="str">
        <f>IF(G741=0,"",IF(AD741="free","re-planting",IF(AD741="me","not NVP, by",IF($AD$8="yes",(VLOOKUP(A741,'Discount Lookup'!J:K,2)*G741*(1-$AC$1786)*(1+$AC$1788)),IF(AD741="NVP",(VLOOKUP(A741,'Discount Lookup'!J:K,2)*G741*(1-$AC$1786)*(1+$AC$1788)),IF(AD741="free","re-planting",IF(G741=0,"",IF($AD$8="",IF(AD741="me","not NVP, by",IF(AD741="",IF(G741&gt;0,(VLOOKUP(A741,'Discount Lookup'!J:K,2)*G741*(1-$AC$1786)*(1+$AC$1788)),""),"")),"not NVP, by"))))))))</f>
        <v/>
      </c>
      <c r="AC741" s="830"/>
      <c r="AD741" s="375" t="str">
        <f t="shared" ref="AD741" si="1921">IF(G741=0,"",IF($AD$8="me","me",IF(H741="warranty","free",IF($AD$8="yes","NVP",""))))</f>
        <v/>
      </c>
      <c r="AE741" s="833" t="str">
        <f t="shared" ref="AE741" si="1922">IF(G741&gt;0,(CONCATENATE((G741)," quantity, ",(A741)," ",B741)),"")</f>
        <v/>
      </c>
      <c r="AF741" s="833"/>
      <c r="AG741" s="833"/>
      <c r="AH741" s="91">
        <f>IF(AD741="free",0,IF(AD741="me",0,IF(G741&gt;0,(VLOOKUP(A741,'Discount Lookup'!J:K,2)*G741),0)))</f>
        <v>0</v>
      </c>
      <c r="AI741" s="92" t="str">
        <f t="shared" si="1909"/>
        <v/>
      </c>
      <c r="AJ741" s="828" t="str">
        <f t="shared" ref="AJ741" si="1923">IF(G741=0,"",IF(AD741="me","  delivery-only",IF($AD$8="me","  delivery-only",CONCATENATE(" $",ROUND(AI741/G741,2)," each"))))</f>
        <v/>
      </c>
      <c r="AK741" s="828"/>
      <c r="AL741" s="313" t="str">
        <f t="shared" si="1847"/>
        <v/>
      </c>
      <c r="AM741" s="312"/>
      <c r="AN741" s="101"/>
      <c r="AO741" s="101"/>
      <c r="AP741" s="101"/>
      <c r="AQ741" s="101"/>
      <c r="AR741" s="101"/>
      <c r="AS741" s="101"/>
      <c r="AT741" s="101"/>
    </row>
    <row r="742" spans="1:46" ht="12.95" customHeight="1">
      <c r="A742" s="419">
        <v>3</v>
      </c>
      <c r="B742" s="87" t="s">
        <v>50</v>
      </c>
      <c r="C742" s="399" t="s">
        <v>153</v>
      </c>
      <c r="D742" s="129" t="s">
        <v>87</v>
      </c>
      <c r="E742" s="98">
        <v>27.95</v>
      </c>
      <c r="F742" s="705" t="s">
        <v>1306</v>
      </c>
      <c r="G742" s="357">
        <v>0</v>
      </c>
      <c r="H742" s="704" t="str">
        <f t="shared" ref="H742" si="1924">IF(G742=0,"",IF(F742="Qty=",IF(G742=1,"plant","plants"),IF(F742&gt;0.0001,"warranty","Error")))</f>
        <v/>
      </c>
      <c r="I742" s="98">
        <f t="shared" ref="I742" si="1925">IF(F742="Qty=",(E742*G742),((E742*(1-F742))*G742))</f>
        <v>0</v>
      </c>
      <c r="J742" s="98">
        <f>IF(H742="warranty",0,(I742*($J$1782)))</f>
        <v>0</v>
      </c>
      <c r="K742" s="831">
        <f t="shared" ref="K742" si="1926">I742+J742</f>
        <v>0</v>
      </c>
      <c r="L742" s="831"/>
      <c r="M742" s="832" t="str">
        <f>IF($H$1784=0,"",IF(G742=0,"",IF(F742="Qty=",CONCATENATE("$",ROUND(K742*(1-$H$1784),2)," with ",($H$1784*100),"% discount"),CONCATENATE("$",ROUND(K742*(1-$H$1784),2)," with ",(($H$1784*100+F742*100)-($H$1784*100*F742)),IF(F742&gt;0,"% discounts",IF($H$1781&gt;0,"% discounts","% discount"))))))</f>
        <v/>
      </c>
      <c r="N742" s="832"/>
      <c r="O742" s="832"/>
      <c r="P742" s="832"/>
      <c r="Q742" s="832"/>
      <c r="R742" s="832"/>
      <c r="S742" s="303">
        <f t="shared" ref="S742" si="1927">E742*G742</f>
        <v>0</v>
      </c>
      <c r="T742" s="541">
        <f>VLOOKUP(A742,'Discount Lookup'!D:E,2,FALSE)*G742</f>
        <v>0</v>
      </c>
      <c r="U742" s="83">
        <f>VLOOKUP(A742,'Discount Lookup'!G:H,2,FALSE)*G742</f>
        <v>0</v>
      </c>
      <c r="V742" s="100">
        <f>E742*($J$1782)*G742</f>
        <v>0</v>
      </c>
      <c r="W742" s="100">
        <f t="shared" ref="W742" si="1928">I742</f>
        <v>0</v>
      </c>
      <c r="X742" s="100" t="b">
        <f>IF(G742&gt;0,IF(AD742="me","",G742))</f>
        <v>0</v>
      </c>
      <c r="Y742" s="201"/>
      <c r="Z742" s="829" t="str">
        <f t="shared" si="1829"/>
        <v/>
      </c>
      <c r="AA742" s="829"/>
      <c r="AB742" s="830" t="str">
        <f>IF(G742=0,"",IF(AD742="free","re-planting",IF(AD742="me","not NVP, by",IF($AD$8="yes",(VLOOKUP(A742,'Discount Lookup'!J:K,2)*G742*(1-$AC$1786)*(1+$AC$1788)),IF(AD742="NVP",(VLOOKUP(A742,'Discount Lookup'!J:K,2)*G742*(1-$AC$1786)*(1+$AC$1788)),IF(AD742="free","re-planting",IF(G742=0,"",IF($AD$8="",IF(AD742="me","not NVP, by",IF(AD742="",IF(G742&gt;0,(VLOOKUP(A742,'Discount Lookup'!J:K,2)*G742*(1-$AC$1786)*(1+$AC$1788)),""),"")),"not NVP, by"))))))))</f>
        <v/>
      </c>
      <c r="AC742" s="830"/>
      <c r="AD742" s="375" t="str">
        <f t="shared" si="1853"/>
        <v/>
      </c>
      <c r="AE742" s="833" t="str">
        <f t="shared" si="1778"/>
        <v/>
      </c>
      <c r="AF742" s="833"/>
      <c r="AG742" s="833"/>
      <c r="AH742" s="91">
        <f>IF(AD742="free",0,IF(AD742="me",0,IF(G742&gt;0,(VLOOKUP(A742,'Discount Lookup'!J:K,2)*G742),0)))</f>
        <v>0</v>
      </c>
      <c r="AI742" s="92" t="str">
        <f t="shared" si="1909"/>
        <v/>
      </c>
      <c r="AJ742" s="828" t="str">
        <f t="shared" si="1831"/>
        <v/>
      </c>
      <c r="AK742" s="828"/>
      <c r="AL742" s="313" t="str">
        <f t="shared" si="1847"/>
        <v/>
      </c>
      <c r="AM742" s="312"/>
      <c r="AN742" s="101"/>
      <c r="AO742" s="101"/>
      <c r="AP742" s="101"/>
      <c r="AQ742" s="101"/>
      <c r="AR742" s="101"/>
      <c r="AS742" s="101"/>
      <c r="AT742" s="101"/>
    </row>
    <row r="743" spans="1:46" ht="12.95" customHeight="1">
      <c r="A743" s="465"/>
      <c r="B743" s="150" t="s">
        <v>464</v>
      </c>
      <c r="C743" s="130"/>
      <c r="D743" s="104"/>
      <c r="E743" s="131"/>
      <c r="F743" s="710"/>
      <c r="G743" s="356"/>
      <c r="H743" s="744"/>
      <c r="I743" s="131"/>
      <c r="J743" s="131"/>
      <c r="K743" s="608"/>
      <c r="L743" s="608"/>
      <c r="M743" s="121"/>
      <c r="N743" s="122" t="s">
        <v>82</v>
      </c>
      <c r="O743" s="123"/>
      <c r="P743" s="124"/>
      <c r="Q743" s="841" t="s">
        <v>125</v>
      </c>
      <c r="R743" s="841"/>
      <c r="S743" s="841"/>
      <c r="T743" s="841"/>
      <c r="U743" s="841"/>
      <c r="V743" s="841"/>
      <c r="W743" s="100"/>
      <c r="X743" s="100"/>
      <c r="Y743" s="201"/>
      <c r="Z743" s="829" t="str">
        <f t="shared" si="1829"/>
        <v/>
      </c>
      <c r="AA743" s="829"/>
      <c r="AB743" s="830" t="str">
        <f>IF(G743=0,"",IF(AD743="free","re-planting",IF(AD743="me","not NVP, by",IF($AD$8="yes",(VLOOKUP(A743,'Discount Lookup'!J:K,2)*G743*(1-$AC$1786)*(1+$AC$1788)),IF(AD743="NVP",(VLOOKUP(A743,'Discount Lookup'!J:K,2)*G743*(1-$AC$1786)*(1+$AC$1788)),IF(AD743="free","re-planting",IF(G743=0,"",IF($AD$8="",IF(AD743="me","not NVP, by",IF(AD743="",IF(G743&gt;0,(VLOOKUP(A743,'Discount Lookup'!J:K,2)*G743*(1-$AC$1786)*(1+$AC$1788)),""),"")),"not NVP, by"))))))))</f>
        <v/>
      </c>
      <c r="AC743" s="830"/>
      <c r="AD743" s="375" t="str">
        <f t="shared" si="1853"/>
        <v/>
      </c>
      <c r="AE743" s="833" t="str">
        <f t="shared" si="1778"/>
        <v/>
      </c>
      <c r="AF743" s="833"/>
      <c r="AG743" s="833"/>
      <c r="AH743" s="91">
        <f>IF(AD743="free",0,IF(AD743="me",0,IF(G743&gt;0,(VLOOKUP(A743,'Discount Lookup'!J:K,2)*G743),0)))</f>
        <v>0</v>
      </c>
      <c r="AI743" s="92" t="str">
        <f t="shared" si="1909"/>
        <v/>
      </c>
      <c r="AJ743" s="828" t="str">
        <f t="shared" si="1831"/>
        <v/>
      </c>
      <c r="AK743" s="828"/>
      <c r="AL743" s="313" t="str">
        <f t="shared" si="1847"/>
        <v/>
      </c>
      <c r="AM743" s="312"/>
      <c r="AN743" s="101"/>
      <c r="AO743" s="101"/>
      <c r="AP743" s="101"/>
      <c r="AQ743" s="101"/>
      <c r="AR743" s="101"/>
      <c r="AS743" s="101"/>
      <c r="AT743" s="101"/>
    </row>
    <row r="744" spans="1:46" ht="12.95" customHeight="1">
      <c r="A744" s="863" t="s">
        <v>465</v>
      </c>
      <c r="B744" s="864"/>
      <c r="C744" s="864"/>
      <c r="D744" s="864"/>
      <c r="E744" s="864"/>
      <c r="F744" s="864"/>
      <c r="G744" s="864"/>
      <c r="H744" s="776" t="s">
        <v>424</v>
      </c>
      <c r="I744" s="88" t="s">
        <v>174</v>
      </c>
      <c r="J744" s="86"/>
      <c r="K744" s="603" t="s">
        <v>45</v>
      </c>
      <c r="L744" s="601" t="s">
        <v>46</v>
      </c>
      <c r="M744" s="86"/>
      <c r="N744" s="87" t="s">
        <v>75</v>
      </c>
      <c r="O744" s="87"/>
      <c r="P744" s="88"/>
      <c r="Q744" s="88"/>
      <c r="R744" s="86"/>
      <c r="S744" s="125"/>
      <c r="T744" s="543"/>
      <c r="U744" s="112"/>
      <c r="V744" s="100" t="b">
        <f>IF(G744&gt;0,IF(AD744="me","",G744))</f>
        <v>0</v>
      </c>
      <c r="W744" s="100"/>
      <c r="X744" s="100"/>
      <c r="Y744" s="201"/>
      <c r="Z744" s="829" t="str">
        <f t="shared" si="1829"/>
        <v/>
      </c>
      <c r="AA744" s="829"/>
      <c r="AB744" s="830" t="str">
        <f>IF(G744=0,"",IF(AD744="free","re-planting",IF(AD744="me","not NVP, by",IF($AD$8="yes",(VLOOKUP(A744,'Discount Lookup'!J:K,2)*G744*(1-$AC$1786)*(1+$AC$1788)),IF(AD744="NVP",(VLOOKUP(A744,'Discount Lookup'!J:K,2)*G744*(1-$AC$1786)*(1+$AC$1788)),IF(AD744="free","re-planting",IF(G744=0,"",IF($AD$8="",IF(AD744="me","not NVP, by",IF(AD744="",IF(G744&gt;0,(VLOOKUP(A744,'Discount Lookup'!J:K,2)*G744*(1-$AC$1786)*(1+$AC$1788)),""),"")),"not NVP, by"))))))))</f>
        <v/>
      </c>
      <c r="AC744" s="830"/>
      <c r="AD744" s="375" t="str">
        <f t="shared" si="1853"/>
        <v/>
      </c>
      <c r="AE744" s="833" t="str">
        <f t="shared" si="1778"/>
        <v/>
      </c>
      <c r="AF744" s="833"/>
      <c r="AG744" s="833"/>
      <c r="AH744" s="91">
        <f>IF(AD744="free",0,IF(AD744="me",0,IF(G744&gt;0,(VLOOKUP(A744,'Discount Lookup'!J:K,2)*G744),0)))</f>
        <v>0</v>
      </c>
      <c r="AI744" s="92" t="str">
        <f t="shared" si="1909"/>
        <v/>
      </c>
      <c r="AJ744" s="828" t="str">
        <f t="shared" si="1831"/>
        <v/>
      </c>
      <c r="AK744" s="828"/>
      <c r="AL744" s="313" t="str">
        <f t="shared" si="1847"/>
        <v/>
      </c>
      <c r="AM744" s="312"/>
      <c r="AN744" s="101"/>
      <c r="AO744" s="101"/>
      <c r="AP744" s="101"/>
      <c r="AQ744" s="101"/>
      <c r="AR744" s="101"/>
      <c r="AS744" s="101"/>
      <c r="AT744" s="101"/>
    </row>
    <row r="745" spans="1:46" ht="12.95" customHeight="1">
      <c r="A745" s="419">
        <v>3</v>
      </c>
      <c r="B745" s="87" t="s">
        <v>50</v>
      </c>
      <c r="C745" s="128" t="s">
        <v>135</v>
      </c>
      <c r="D745" s="129" t="s">
        <v>87</v>
      </c>
      <c r="E745" s="98">
        <v>34.950000000000003</v>
      </c>
      <c r="F745" s="705" t="s">
        <v>1306</v>
      </c>
      <c r="G745" s="357">
        <v>0</v>
      </c>
      <c r="H745" s="704" t="str">
        <f t="shared" ref="H745:H749" si="1929">IF(G745=0,"",IF(F745="Qty=",IF(G745=1,"plant","plants"),IF(F745&gt;0.0001,"warranty","Error")))</f>
        <v/>
      </c>
      <c r="I745" s="98">
        <f t="shared" ref="I745:I749" si="1930">IF(F745="Qty=",(E745*G745),((E745*(1-F745))*G745))</f>
        <v>0</v>
      </c>
      <c r="J745" s="98">
        <f>IF(H745="warranty",0,(I745*($J$1782)))</f>
        <v>0</v>
      </c>
      <c r="K745" s="831">
        <f t="shared" ref="K745:K749" si="1931">I745+J745</f>
        <v>0</v>
      </c>
      <c r="L745" s="831"/>
      <c r="M745" s="832" t="str">
        <f>IF($H$1784=0,"",IF(G745=0,"",IF(F745="Qty=",CONCATENATE("$",ROUND(K745*(1-$H$1784),2)," with ",($H$1784*100),"% discount"),CONCATENATE("$",ROUND(K745*(1-$H$1784),2)," with ",(($H$1784*100+F745*100)-($H$1784*100*F745)),IF(F745&gt;0,"% discounts",IF($H$1781&gt;0,"% discounts","% discount"))))))</f>
        <v/>
      </c>
      <c r="N745" s="832"/>
      <c r="O745" s="832"/>
      <c r="P745" s="832"/>
      <c r="Q745" s="832"/>
      <c r="R745" s="832"/>
      <c r="S745" s="303">
        <f t="shared" ref="S745" si="1932">E745*G745</f>
        <v>0</v>
      </c>
      <c r="T745" s="541">
        <f>VLOOKUP(A745,'Discount Lookup'!D:E,2,FALSE)*G745</f>
        <v>0</v>
      </c>
      <c r="U745" s="83">
        <f>VLOOKUP(A745,'Discount Lookup'!G:H,2,FALSE)*G745</f>
        <v>0</v>
      </c>
      <c r="V745" s="100">
        <f>E745*($J$1782)*G745</f>
        <v>0</v>
      </c>
      <c r="W745" s="100">
        <f t="shared" ref="W745" si="1933">I745</f>
        <v>0</v>
      </c>
      <c r="X745" s="100" t="b">
        <f t="shared" ref="X745:X749" si="1934">IF(G745&gt;0,IF(AD745="me","",G745))</f>
        <v>0</v>
      </c>
      <c r="Y745" s="201"/>
      <c r="Z745" s="829" t="str">
        <f t="shared" si="1829"/>
        <v/>
      </c>
      <c r="AA745" s="829"/>
      <c r="AB745" s="830" t="str">
        <f>IF(G745=0,"",IF(AD745="free","re-planting",IF(AD745="me","not NVP, by",IF($AD$8="yes",(VLOOKUP(A745,'Discount Lookup'!J:K,2)*G745*(1-$AC$1786)*(1+$AC$1788)),IF(AD745="NVP",(VLOOKUP(A745,'Discount Lookup'!J:K,2)*G745*(1-$AC$1786)*(1+$AC$1788)),IF(AD745="free","re-planting",IF(G745=0,"",IF($AD$8="",IF(AD745="me","not NVP, by",IF(AD745="",IF(G745&gt;0,(VLOOKUP(A745,'Discount Lookup'!J:K,2)*G745*(1-$AC$1786)*(1+$AC$1788)),""),"")),"not NVP, by"))))))))</f>
        <v/>
      </c>
      <c r="AC745" s="830"/>
      <c r="AD745" s="375" t="str">
        <f t="shared" si="1853"/>
        <v/>
      </c>
      <c r="AE745" s="833" t="str">
        <f t="shared" ref="AE745" si="1935">IF(G745&gt;0,(CONCATENATE((G745)," quantity, ",(A745)," ",B745)),"")</f>
        <v/>
      </c>
      <c r="AF745" s="833"/>
      <c r="AG745" s="833"/>
      <c r="AH745" s="91">
        <f>IF(AD745="free",0,IF(AD745="me",0,IF(G745&gt;0,(VLOOKUP(A745,'Discount Lookup'!J:K,2)*G745),0)))</f>
        <v>0</v>
      </c>
      <c r="AI745" s="92" t="str">
        <f t="shared" si="1909"/>
        <v/>
      </c>
      <c r="AJ745" s="828" t="str">
        <f t="shared" si="1831"/>
        <v/>
      </c>
      <c r="AK745" s="828"/>
      <c r="AL745" s="313" t="str">
        <f t="shared" si="1847"/>
        <v/>
      </c>
      <c r="AM745" s="312"/>
      <c r="AN745" s="101"/>
      <c r="AO745" s="101"/>
      <c r="AP745" s="101"/>
      <c r="AQ745" s="101"/>
      <c r="AR745" s="101"/>
      <c r="AS745" s="101"/>
      <c r="AT745" s="101"/>
    </row>
    <row r="746" spans="1:46" ht="12.75" customHeight="1">
      <c r="A746" s="419">
        <v>7</v>
      </c>
      <c r="B746" s="87" t="s">
        <v>50</v>
      </c>
      <c r="C746" s="140" t="s">
        <v>153</v>
      </c>
      <c r="D746" s="129" t="s">
        <v>54</v>
      </c>
      <c r="E746" s="98">
        <v>104.95</v>
      </c>
      <c r="F746" s="705" t="s">
        <v>1306</v>
      </c>
      <c r="G746" s="357">
        <v>0</v>
      </c>
      <c r="H746" s="704" t="str">
        <f t="shared" si="1929"/>
        <v/>
      </c>
      <c r="I746" s="98">
        <f t="shared" si="1930"/>
        <v>0</v>
      </c>
      <c r="J746" s="98">
        <f>IF(H746="warranty",0,(I746*($J$1782)))</f>
        <v>0</v>
      </c>
      <c r="K746" s="831">
        <f t="shared" si="1931"/>
        <v>0</v>
      </c>
      <c r="L746" s="831"/>
      <c r="M746" s="832" t="str">
        <f>IF($H$1784=0,"",IF(G746=0,"",IF(F746="Qty=",CONCATENATE("$",ROUND(K746*(1-$H$1784),2)," with ",($H$1784*100),"% discount"),CONCATENATE("$",ROUND(K746*(1-$H$1784),2)," with ",(($H$1784*100+F746*100)-($H$1784*100*F746)),IF(F746&gt;0,"% discounts",IF($H$1781&gt;0,"% discounts","% discount"))))))</f>
        <v/>
      </c>
      <c r="N746" s="832"/>
      <c r="O746" s="832"/>
      <c r="P746" s="832"/>
      <c r="Q746" s="832"/>
      <c r="R746" s="832"/>
      <c r="S746" s="303">
        <f t="shared" ref="S746:S748" si="1936">E746*G746</f>
        <v>0</v>
      </c>
      <c r="T746" s="541">
        <f>VLOOKUP(A746,'Discount Lookup'!D:E,2,FALSE)*G746</f>
        <v>0</v>
      </c>
      <c r="U746" s="83">
        <f>VLOOKUP(A746,'Discount Lookup'!G:H,2,FALSE)*G746</f>
        <v>0</v>
      </c>
      <c r="V746" s="100">
        <f>E746*($J$1782)*G746</f>
        <v>0</v>
      </c>
      <c r="W746" s="100">
        <f t="shared" ref="W746:W748" si="1937">I746</f>
        <v>0</v>
      </c>
      <c r="X746" s="100" t="b">
        <f t="shared" si="1934"/>
        <v>0</v>
      </c>
      <c r="Y746" s="201"/>
      <c r="Z746" s="829" t="str">
        <f t="shared" si="1829"/>
        <v/>
      </c>
      <c r="AA746" s="829"/>
      <c r="AB746" s="830" t="str">
        <f>IF(G746=0,"",IF(AD746="free","re-planting",IF(AD746="me","not NVP, by",IF($AD$8="yes",(VLOOKUP(A746,'Discount Lookup'!J:K,2)*G746*(1-$AC$1786)*(1+$AC$1788)),IF(AD746="NVP",(VLOOKUP(A746,'Discount Lookup'!J:K,2)*G746*(1-$AC$1786)*(1+$AC$1788)),IF(AD746="free","re-planting",IF(G746=0,"",IF($AD$8="",IF(AD746="me","not NVP, by",IF(AD746="",IF(G746&gt;0,(VLOOKUP(A746,'Discount Lookup'!J:K,2)*G746*(1-$AC$1786)*(1+$AC$1788)),""),"")),"not NVP, by"))))))))</f>
        <v/>
      </c>
      <c r="AC746" s="830"/>
      <c r="AD746" s="375" t="str">
        <f t="shared" si="1853"/>
        <v/>
      </c>
      <c r="AE746" s="833" t="str">
        <f t="shared" si="1778"/>
        <v/>
      </c>
      <c r="AF746" s="833"/>
      <c r="AG746" s="833"/>
      <c r="AH746" s="91">
        <f>IF(AD746="free",0,IF(AD746="me",0,IF(G746&gt;0,(VLOOKUP(A746,'Discount Lookup'!J:K,2)*G746),0)))</f>
        <v>0</v>
      </c>
      <c r="AI746" s="92" t="str">
        <f t="shared" si="1909"/>
        <v/>
      </c>
      <c r="AJ746" s="828" t="str">
        <f t="shared" si="1831"/>
        <v/>
      </c>
      <c r="AK746" s="828"/>
      <c r="AL746" s="313" t="str">
        <f t="shared" si="1847"/>
        <v/>
      </c>
      <c r="AM746" s="312"/>
      <c r="AN746" s="101"/>
      <c r="AO746" s="101"/>
      <c r="AP746" s="101"/>
      <c r="AQ746" s="101"/>
      <c r="AR746" s="101"/>
      <c r="AS746" s="101"/>
      <c r="AT746" s="101"/>
    </row>
    <row r="747" spans="1:46" ht="12.95" customHeight="1">
      <c r="A747" s="419">
        <v>10</v>
      </c>
      <c r="B747" s="87" t="s">
        <v>50</v>
      </c>
      <c r="C747" s="140" t="s">
        <v>137</v>
      </c>
      <c r="D747" s="129" t="s">
        <v>90</v>
      </c>
      <c r="E747" s="98">
        <v>195.95</v>
      </c>
      <c r="F747" s="705" t="s">
        <v>1306</v>
      </c>
      <c r="G747" s="357">
        <v>0</v>
      </c>
      <c r="H747" s="704" t="str">
        <f t="shared" si="1929"/>
        <v/>
      </c>
      <c r="I747" s="98">
        <f t="shared" si="1930"/>
        <v>0</v>
      </c>
      <c r="J747" s="98">
        <f>IF(H747="warranty",0,(I747*($J$1782)))</f>
        <v>0</v>
      </c>
      <c r="K747" s="831">
        <f t="shared" si="1931"/>
        <v>0</v>
      </c>
      <c r="L747" s="831"/>
      <c r="M747" s="832" t="str">
        <f>IF($H$1784=0,"",IF(G747=0,"",IF(F747="Qty=",CONCATENATE("$",ROUND(K747*(1-$H$1784),2)," with ",($H$1784*100),"% discount"),CONCATENATE("$",ROUND(K747*(1-$H$1784),2)," with ",(($H$1784*100+F747*100)-($H$1784*100*F747)),IF(F747&gt;0,"% discounts",IF($H$1781&gt;0,"% discounts","% discount"))))))</f>
        <v/>
      </c>
      <c r="N747" s="832"/>
      <c r="O747" s="832"/>
      <c r="P747" s="832"/>
      <c r="Q747" s="832"/>
      <c r="R747" s="832"/>
      <c r="S747" s="303">
        <f t="shared" si="1936"/>
        <v>0</v>
      </c>
      <c r="T747" s="541">
        <f>VLOOKUP(A747,'Discount Lookup'!D:E,2,FALSE)*G747</f>
        <v>0</v>
      </c>
      <c r="U747" s="83">
        <f>VLOOKUP(A747,'Discount Lookup'!G:H,2,FALSE)*G747</f>
        <v>0</v>
      </c>
      <c r="V747" s="100">
        <f>E747*($J$1782)*G747</f>
        <v>0</v>
      </c>
      <c r="W747" s="100">
        <f t="shared" si="1937"/>
        <v>0</v>
      </c>
      <c r="X747" s="100" t="b">
        <f t="shared" si="1934"/>
        <v>0</v>
      </c>
      <c r="Y747" s="201"/>
      <c r="Z747" s="829" t="str">
        <f t="shared" si="1829"/>
        <v/>
      </c>
      <c r="AA747" s="829"/>
      <c r="AB747" s="830" t="str">
        <f>IF(G747=0,"",IF(AD747="free","re-planting",IF(AD747="me","not NVP, by",IF($AD$8="yes",(VLOOKUP(A747,'Discount Lookup'!J:K,2)*G747*(1-$AC$1786)*(1+$AC$1788)),IF(AD747="NVP",(VLOOKUP(A747,'Discount Lookup'!J:K,2)*G747*(1-$AC$1786)*(1+$AC$1788)),IF(AD747="free","re-planting",IF(G747=0,"",IF($AD$8="",IF(AD747="me","not NVP, by",IF(AD747="",IF(G747&gt;0,(VLOOKUP(A747,'Discount Lookup'!J:K,2)*G747*(1-$AC$1786)*(1+$AC$1788)),""),"")),"not NVP, by"))))))))</f>
        <v/>
      </c>
      <c r="AC747" s="830"/>
      <c r="AD747" s="375" t="str">
        <f t="shared" si="1853"/>
        <v/>
      </c>
      <c r="AE747" s="833" t="str">
        <f t="shared" si="1778"/>
        <v/>
      </c>
      <c r="AF747" s="833"/>
      <c r="AG747" s="833"/>
      <c r="AH747" s="91">
        <f>IF(AD747="free",0,IF(AD747="me",0,IF(G747&gt;0,(VLOOKUP(A747,'Discount Lookup'!J:K,2)*G747),0)))</f>
        <v>0</v>
      </c>
      <c r="AI747" s="92" t="str">
        <f t="shared" si="1909"/>
        <v/>
      </c>
      <c r="AJ747" s="828" t="str">
        <f t="shared" si="1831"/>
        <v/>
      </c>
      <c r="AK747" s="828"/>
      <c r="AL747" s="313" t="str">
        <f t="shared" si="1847"/>
        <v/>
      </c>
      <c r="AM747" s="312"/>
      <c r="AN747" s="101"/>
      <c r="AO747" s="101"/>
      <c r="AP747" s="101"/>
      <c r="AQ747" s="101"/>
      <c r="AR747" s="101"/>
      <c r="AS747" s="101"/>
      <c r="AT747" s="101"/>
    </row>
    <row r="748" spans="1:46" ht="12.75" customHeight="1">
      <c r="A748" s="419">
        <v>15</v>
      </c>
      <c r="B748" s="87" t="s">
        <v>50</v>
      </c>
      <c r="C748" s="140" t="s">
        <v>223</v>
      </c>
      <c r="D748" s="129" t="s">
        <v>54</v>
      </c>
      <c r="E748" s="98">
        <v>217.95</v>
      </c>
      <c r="F748" s="705" t="s">
        <v>1306</v>
      </c>
      <c r="G748" s="357">
        <v>0</v>
      </c>
      <c r="H748" s="704" t="str">
        <f t="shared" ref="H748" si="1938">IF(G748=0,"",IF(F748="Qty=",IF(G748=1,"plant","plants"),IF(F748&gt;0.0001,"warranty","Error")))</f>
        <v/>
      </c>
      <c r="I748" s="98">
        <f t="shared" ref="I748" si="1939">IF(F748="Qty=",(E748*G748),((E748*(1-F748))*G748))</f>
        <v>0</v>
      </c>
      <c r="J748" s="98">
        <f>IF(H748="warranty",0,(I748*($J$1782)))</f>
        <v>0</v>
      </c>
      <c r="K748" s="831">
        <f t="shared" si="1931"/>
        <v>0</v>
      </c>
      <c r="L748" s="831"/>
      <c r="M748" s="832" t="str">
        <f>IF($H$1784=0,"",IF(G748=0,"",IF(F748="Qty=",CONCATENATE("$",ROUND(K748*(1-$H$1784),2)," with ",($H$1784*100),"% discount"),CONCATENATE("$",ROUND(K748*(1-$H$1784),2)," with ",(($H$1784*100+F748*100)-($H$1784*100*F748)),IF(F748&gt;0,"% discounts",IF($H$1781&gt;0,"% discounts","% discount"))))))</f>
        <v/>
      </c>
      <c r="N748" s="832"/>
      <c r="O748" s="832"/>
      <c r="P748" s="832"/>
      <c r="Q748" s="832"/>
      <c r="R748" s="832"/>
      <c r="S748" s="303">
        <f t="shared" si="1936"/>
        <v>0</v>
      </c>
      <c r="T748" s="541">
        <f>VLOOKUP(A748,'Discount Lookup'!D:E,2,FALSE)*G748</f>
        <v>0</v>
      </c>
      <c r="U748" s="83">
        <f>VLOOKUP(A748,'Discount Lookup'!G:H,2,FALSE)*G748</f>
        <v>0</v>
      </c>
      <c r="V748" s="100">
        <f>E748*($J$1782)*G748</f>
        <v>0</v>
      </c>
      <c r="W748" s="100">
        <f t="shared" si="1937"/>
        <v>0</v>
      </c>
      <c r="X748" s="100" t="b">
        <f t="shared" ref="X748" si="1940">IF(G748&gt;0,IF(AD748="me","",G748))</f>
        <v>0</v>
      </c>
      <c r="Y748" s="201"/>
      <c r="Z748" s="829" t="str">
        <f t="shared" ref="Z748" si="1941">IF(G748=0,"",IF(AD748="me","",IF($AD$8="me","",IF(AD748="free","warranty",IF($AD$8="yes","NVP planting:","to NVP install:")))))</f>
        <v/>
      </c>
      <c r="AA748" s="829"/>
      <c r="AB748" s="830" t="str">
        <f>IF(G748=0,"",IF(AD748="free","re-planting",IF(AD748="me","not NVP, by",IF($AD$8="yes",(VLOOKUP(A748,'Discount Lookup'!J:K,2)*G748*(1-$AC$1786)*(1+$AC$1788)),IF(AD748="NVP",(VLOOKUP(A748,'Discount Lookup'!J:K,2)*G748*(1-$AC$1786)*(1+$AC$1788)),IF(AD748="free","re-planting",IF(G748=0,"",IF($AD$8="",IF(AD748="me","not NVP, by",IF(AD748="",IF(G748&gt;0,(VLOOKUP(A748,'Discount Lookup'!J:K,2)*G748*(1-$AC$1786)*(1+$AC$1788)),""),"")),"not NVP, by"))))))))</f>
        <v/>
      </c>
      <c r="AC748" s="830"/>
      <c r="AD748" s="375" t="str">
        <f t="shared" si="1853"/>
        <v/>
      </c>
      <c r="AE748" s="833" t="str">
        <f t="shared" si="1778"/>
        <v/>
      </c>
      <c r="AF748" s="833"/>
      <c r="AG748" s="833"/>
      <c r="AH748" s="91">
        <f>IF(AD748="free",0,IF(AD748="me",0,IF(G748&gt;0,(VLOOKUP(A748,'Discount Lookup'!J:K,2)*G748),0)))</f>
        <v>0</v>
      </c>
      <c r="AI748" s="92" t="str">
        <f t="shared" si="1909"/>
        <v/>
      </c>
      <c r="AJ748" s="828" t="str">
        <f t="shared" ref="AJ748" si="1942">IF(G748=0,"",IF(AD748="me","  delivery-only",IF($AD$8="me","  delivery-only",CONCATENATE(" $",ROUND(AI748/G748,2)," each"))))</f>
        <v/>
      </c>
      <c r="AK748" s="828"/>
      <c r="AL748" s="313" t="str">
        <f t="shared" si="1847"/>
        <v/>
      </c>
      <c r="AM748" s="312"/>
      <c r="AN748" s="101"/>
      <c r="AO748" s="101"/>
      <c r="AP748" s="101"/>
      <c r="AQ748" s="101"/>
      <c r="AR748" s="101"/>
      <c r="AS748" s="101"/>
      <c r="AT748" s="101"/>
    </row>
    <row r="749" spans="1:46" ht="12.75" customHeight="1">
      <c r="A749" s="419">
        <v>25</v>
      </c>
      <c r="B749" s="87" t="s">
        <v>50</v>
      </c>
      <c r="C749" s="140" t="s">
        <v>64</v>
      </c>
      <c r="D749" s="129" t="s">
        <v>54</v>
      </c>
      <c r="E749" s="98">
        <v>445.95</v>
      </c>
      <c r="F749" s="705" t="s">
        <v>1306</v>
      </c>
      <c r="G749" s="357">
        <v>0</v>
      </c>
      <c r="H749" s="704" t="str">
        <f t="shared" si="1929"/>
        <v/>
      </c>
      <c r="I749" s="98">
        <f t="shared" si="1930"/>
        <v>0</v>
      </c>
      <c r="J749" s="98">
        <f>IF(H749="warranty",0,(I749*($J$1782)))</f>
        <v>0</v>
      </c>
      <c r="K749" s="831">
        <f t="shared" si="1931"/>
        <v>0</v>
      </c>
      <c r="L749" s="831"/>
      <c r="M749" s="832" t="str">
        <f>IF($H$1784=0,"",IF(G749=0,"",IF(F749="Qty=",CONCATENATE("$",ROUND(K749*(1-$H$1784),2)," with ",($H$1784*100),"% discount"),CONCATENATE("$",ROUND(K749*(1-$H$1784),2)," with ",(($H$1784*100+F749*100)-($H$1784*100*F749)),IF(F749&gt;0,"% discounts",IF($H$1781&gt;0,"% discounts","% discount"))))))</f>
        <v/>
      </c>
      <c r="N749" s="832"/>
      <c r="O749" s="832"/>
      <c r="P749" s="832"/>
      <c r="Q749" s="832"/>
      <c r="R749" s="832"/>
      <c r="S749" s="303">
        <f t="shared" ref="S749" si="1943">E749*G749</f>
        <v>0</v>
      </c>
      <c r="T749" s="541">
        <f>VLOOKUP(A749,'Discount Lookup'!D:E,2,FALSE)*G749</f>
        <v>0</v>
      </c>
      <c r="U749" s="83">
        <f>VLOOKUP(A749,'Discount Lookup'!G:H,2,FALSE)*G749</f>
        <v>0</v>
      </c>
      <c r="V749" s="100">
        <f>E749*($J$1782)*G749</f>
        <v>0</v>
      </c>
      <c r="W749" s="100">
        <f t="shared" ref="W749" si="1944">I749</f>
        <v>0</v>
      </c>
      <c r="X749" s="100" t="b">
        <f t="shared" si="1934"/>
        <v>0</v>
      </c>
      <c r="Y749" s="201"/>
      <c r="Z749" s="829" t="str">
        <f t="shared" si="1829"/>
        <v/>
      </c>
      <c r="AA749" s="829"/>
      <c r="AB749" s="830" t="str">
        <f>IF(G749=0,"",IF(AD749="free","re-planting",IF(AD749="me","not NVP, by",IF($AD$8="yes",(VLOOKUP(A749,'Discount Lookup'!J:K,2)*G749*(1-$AC$1786)*(1+$AC$1788)),IF(AD749="NVP",(VLOOKUP(A749,'Discount Lookup'!J:K,2)*G749*(1-$AC$1786)*(1+$AC$1788)),IF(AD749="free","re-planting",IF(G749=0,"",IF($AD$8="",IF(AD749="me","not NVP, by",IF(AD749="",IF(G749&gt;0,(VLOOKUP(A749,'Discount Lookup'!J:K,2)*G749*(1-$AC$1786)*(1+$AC$1788)),""),"")),"not NVP, by"))))))))</f>
        <v/>
      </c>
      <c r="AC749" s="830"/>
      <c r="AD749" s="375" t="str">
        <f t="shared" si="1853"/>
        <v/>
      </c>
      <c r="AE749" s="833" t="str">
        <f t="shared" ref="AE749" si="1945">IF(G749&gt;0,(CONCATENATE((G749)," quantity, ",(A749)," ",B749)),"")</f>
        <v/>
      </c>
      <c r="AF749" s="833"/>
      <c r="AG749" s="833"/>
      <c r="AH749" s="91">
        <f>IF(AD749="free",0,IF(AD749="me",0,IF(G749&gt;0,(VLOOKUP(A749,'Discount Lookup'!J:K,2)*G749),0)))</f>
        <v>0</v>
      </c>
      <c r="AI749" s="92" t="str">
        <f t="shared" si="1909"/>
        <v/>
      </c>
      <c r="AJ749" s="828" t="str">
        <f t="shared" si="1831"/>
        <v/>
      </c>
      <c r="AK749" s="828"/>
      <c r="AL749" s="313" t="str">
        <f t="shared" si="1847"/>
        <v/>
      </c>
      <c r="AM749" s="312"/>
      <c r="AN749" s="101"/>
      <c r="AO749" s="101"/>
      <c r="AP749" s="101"/>
      <c r="AQ749" s="101"/>
      <c r="AR749" s="101"/>
      <c r="AS749" s="101"/>
      <c r="AT749" s="101"/>
    </row>
    <row r="750" spans="1:46" ht="12.95" customHeight="1">
      <c r="A750" s="482"/>
      <c r="B750" s="149" t="s">
        <v>467</v>
      </c>
      <c r="D750" s="104"/>
      <c r="E750" s="131"/>
      <c r="G750" s="423"/>
      <c r="H750" s="749"/>
      <c r="I750" s="192"/>
      <c r="K750" s="615"/>
      <c r="L750" s="612"/>
      <c r="M750" s="1018"/>
      <c r="N750" s="1018"/>
      <c r="O750" s="123"/>
      <c r="P750" s="124"/>
      <c r="Q750" s="124"/>
      <c r="R750" s="83"/>
      <c r="S750" s="82">
        <f>E750*G750</f>
        <v>0</v>
      </c>
      <c r="T750" s="540"/>
      <c r="U750" s="83"/>
      <c r="V750" s="100" t="b">
        <f>IF(G750&gt;0,IF(AD750="me","",G750))</f>
        <v>0</v>
      </c>
      <c r="W750" s="100"/>
      <c r="X750" s="100"/>
      <c r="Y750" s="201"/>
      <c r="Z750" s="829" t="str">
        <f t="shared" si="1829"/>
        <v/>
      </c>
      <c r="AA750" s="829"/>
      <c r="AB750" s="830" t="str">
        <f>IF(G750=0,"",IF(AD750="free","re-planting",IF(AD750="me","not NVP, by",IF($AD$8="yes",(VLOOKUP(A750,'Discount Lookup'!J:K,2)*G750*(1-$AC$1786)*(1+$AC$1788)),IF(AD750="NVP",(VLOOKUP(A750,'Discount Lookup'!J:K,2)*G750*(1-$AC$1786)*(1+$AC$1788)),IF(AD750="free","re-planting",IF(G750=0,"",IF($AD$8="",IF(AD750="me","not NVP, by",IF(AD750="",IF(G750&gt;0,(VLOOKUP(A750,'Discount Lookup'!J:K,2)*G750*(1-$AC$1786)*(1+$AC$1788)),""),"")),"not NVP, by"))))))))</f>
        <v/>
      </c>
      <c r="AC750" s="830"/>
      <c r="AD750" s="375" t="str">
        <f t="shared" si="1853"/>
        <v/>
      </c>
      <c r="AE750" s="833" t="str">
        <f t="shared" si="1778"/>
        <v/>
      </c>
      <c r="AF750" s="833"/>
      <c r="AG750" s="833"/>
      <c r="AH750" s="91">
        <f>IF(AD750="free",0,IF(AD750="me",0,IF(G750&gt;0,(VLOOKUP(A750,'Discount Lookup'!J:K,2)*G750),0)))</f>
        <v>0</v>
      </c>
      <c r="AI750" s="92" t="str">
        <f t="shared" si="1909"/>
        <v/>
      </c>
      <c r="AJ750" s="828" t="str">
        <f t="shared" si="1831"/>
        <v/>
      </c>
      <c r="AK750" s="828"/>
      <c r="AL750" s="313" t="str">
        <f t="shared" si="1847"/>
        <v/>
      </c>
      <c r="AM750" s="312"/>
      <c r="AN750" s="101"/>
      <c r="AO750" s="101"/>
      <c r="AP750" s="101"/>
      <c r="AQ750" s="101"/>
      <c r="AR750" s="101"/>
      <c r="AS750" s="101"/>
      <c r="AT750" s="101"/>
    </row>
    <row r="751" spans="1:46" ht="12.95" customHeight="1">
      <c r="A751" s="896" t="s">
        <v>1574</v>
      </c>
      <c r="B751" s="897"/>
      <c r="C751" s="897"/>
      <c r="D751" s="897"/>
      <c r="E751" s="897"/>
      <c r="F751" s="897"/>
      <c r="G751" s="897"/>
      <c r="H751" s="776" t="s">
        <v>232</v>
      </c>
      <c r="I751" s="88" t="s">
        <v>79</v>
      </c>
      <c r="J751" s="86"/>
      <c r="K751" s="664" t="s">
        <v>45</v>
      </c>
      <c r="L751" s="601" t="s">
        <v>46</v>
      </c>
      <c r="M751" s="86"/>
      <c r="N751" s="87" t="s">
        <v>128</v>
      </c>
      <c r="O751" s="87"/>
      <c r="P751" s="88"/>
      <c r="Q751" s="1045" t="s">
        <v>221</v>
      </c>
      <c r="R751" s="1046"/>
      <c r="S751" s="1046"/>
      <c r="T751" s="1046"/>
      <c r="U751" s="1046"/>
      <c r="V751" s="100" t="b">
        <f>IF(G751&gt;0,IF(AD751="me","",G751))</f>
        <v>0</v>
      </c>
      <c r="W751" s="100"/>
      <c r="X751" s="100"/>
      <c r="Y751" s="201"/>
      <c r="Z751" s="829" t="str">
        <f t="shared" si="1829"/>
        <v/>
      </c>
      <c r="AA751" s="829"/>
      <c r="AB751" s="830" t="str">
        <f>IF(G751=0,"",IF(AD751="free","re-planting",IF(AD751="me","not NVP, by",IF($AD$8="yes",(VLOOKUP(A751,'Discount Lookup'!J:K,2)*G751*(1-$AC$1786)*(1+$AC$1788)),IF(AD751="NVP",(VLOOKUP(A751,'Discount Lookup'!J:K,2)*G751*(1-$AC$1786)*(1+$AC$1788)),IF(AD751="free","re-planting",IF(G751=0,"",IF($AD$8="",IF(AD751="me","not NVP, by",IF(AD751="",IF(G751&gt;0,(VLOOKUP(A751,'Discount Lookup'!J:K,2)*G751*(1-$AC$1786)*(1+$AC$1788)),""),"")),"not NVP, by"))))))))</f>
        <v/>
      </c>
      <c r="AC751" s="830"/>
      <c r="AD751" s="375" t="str">
        <f t="shared" si="1853"/>
        <v/>
      </c>
      <c r="AE751" s="833" t="str">
        <f t="shared" ref="AE751:AE755" si="1946">IF(G751&gt;0,(CONCATENATE((G751)," quantity, ",(A751)," ",B751)),"")</f>
        <v/>
      </c>
      <c r="AF751" s="833"/>
      <c r="AG751" s="833"/>
      <c r="AH751" s="91">
        <f>IF(AD751="free",0,IF(AD751="me",0,IF(G751&gt;0,(VLOOKUP(A751,'Discount Lookup'!J:K,2)*G751),0)))</f>
        <v>0</v>
      </c>
      <c r="AI751" s="92" t="str">
        <f t="shared" si="1909"/>
        <v/>
      </c>
      <c r="AJ751" s="828" t="str">
        <f t="shared" si="1831"/>
        <v/>
      </c>
      <c r="AK751" s="828"/>
      <c r="AL751" s="313" t="str">
        <f t="shared" si="1847"/>
        <v/>
      </c>
      <c r="AM751" s="312"/>
      <c r="AN751" s="101"/>
      <c r="AO751" s="101"/>
      <c r="AP751" s="101"/>
      <c r="AQ751" s="101"/>
      <c r="AR751" s="101"/>
      <c r="AS751" s="101"/>
      <c r="AT751" s="101"/>
    </row>
    <row r="752" spans="1:46" ht="12.95" customHeight="1">
      <c r="A752" s="419">
        <v>3</v>
      </c>
      <c r="B752" s="87" t="s">
        <v>50</v>
      </c>
      <c r="C752" s="128" t="s">
        <v>135</v>
      </c>
      <c r="D752" s="129" t="s">
        <v>87</v>
      </c>
      <c r="E752" s="98">
        <v>33.950000000000003</v>
      </c>
      <c r="F752" s="705" t="s">
        <v>1306</v>
      </c>
      <c r="G752" s="357">
        <v>0</v>
      </c>
      <c r="H752" s="704" t="str">
        <f t="shared" ref="H752:H754" si="1947">IF(G752=0,"",IF(F752="Qty=",IF(G752=1,"plant","plants"),IF(F752&gt;0.0001,"warranty","Error")))</f>
        <v/>
      </c>
      <c r="I752" s="98">
        <f t="shared" ref="I752:I754" si="1948">IF(F752="Qty=",(E752*G752),((E752*(1-F752))*G752))</f>
        <v>0</v>
      </c>
      <c r="J752" s="98">
        <f>IF(H752="warranty",0,(I752*($J$1782)))</f>
        <v>0</v>
      </c>
      <c r="K752" s="831">
        <f t="shared" ref="K752:K754" si="1949">I752+J752</f>
        <v>0</v>
      </c>
      <c r="L752" s="831"/>
      <c r="M752" s="832" t="str">
        <f>IF($H$1784=0,"",IF(G752=0,"",IF(F752="Qty=",CONCATENATE("$",ROUND(K752*(1-$H$1784),2)," with ",($H$1784*100),"% discount"),CONCATENATE("$",ROUND(K752*(1-$H$1784),2)," with ",(($H$1784*100+F752*100)-($H$1784*100*F752)),IF(F752&gt;0,"% discounts",IF($H$1781&gt;0,"% discounts","% discount"))))))</f>
        <v/>
      </c>
      <c r="N752" s="832"/>
      <c r="O752" s="832"/>
      <c r="P752" s="832"/>
      <c r="Q752" s="832"/>
      <c r="R752" s="832"/>
      <c r="S752" s="303">
        <f t="shared" ref="S752:S754" si="1950">E752*G752</f>
        <v>0</v>
      </c>
      <c r="T752" s="541">
        <f>VLOOKUP(A752,'Discount Lookup'!D:E,2,FALSE)*G752</f>
        <v>0</v>
      </c>
      <c r="U752" s="83">
        <f>VLOOKUP(A752,'Discount Lookup'!G:H,2,FALSE)*G752</f>
        <v>0</v>
      </c>
      <c r="V752" s="100">
        <f>E752*($J$1782)*G752</f>
        <v>0</v>
      </c>
      <c r="W752" s="100">
        <f t="shared" ref="W752:W754" si="1951">I752</f>
        <v>0</v>
      </c>
      <c r="X752" s="100" t="b">
        <f>IF(G752&gt;0,IF(AD752="me","",G752))</f>
        <v>0</v>
      </c>
      <c r="Y752" s="201"/>
      <c r="Z752" s="829" t="str">
        <f t="shared" si="1829"/>
        <v/>
      </c>
      <c r="AA752" s="829"/>
      <c r="AB752" s="830" t="str">
        <f>IF(G752=0,"",IF(AD752="free","re-planting",IF(AD752="me","not NVP, by",IF($AD$8="yes",(VLOOKUP(A752,'Discount Lookup'!J:K,2)*G752*(1-$AC$1786)*(1+$AC$1788)),IF(AD752="NVP",(VLOOKUP(A752,'Discount Lookup'!J:K,2)*G752*(1-$AC$1786)*(1+$AC$1788)),IF(AD752="free","re-planting",IF(G752=0,"",IF($AD$8="",IF(AD752="me","not NVP, by",IF(AD752="",IF(G752&gt;0,(VLOOKUP(A752,'Discount Lookup'!J:K,2)*G752*(1-$AC$1786)*(1+$AC$1788)),""),"")),"not NVP, by"))))))))</f>
        <v/>
      </c>
      <c r="AC752" s="830"/>
      <c r="AD752" s="375" t="str">
        <f t="shared" si="1853"/>
        <v/>
      </c>
      <c r="AE752" s="833" t="str">
        <f t="shared" si="1946"/>
        <v/>
      </c>
      <c r="AF752" s="833"/>
      <c r="AG752" s="833"/>
      <c r="AH752" s="91">
        <f>IF(AD752="free",0,IF(AD752="me",0,IF(G752&gt;0,(VLOOKUP(A752,'Discount Lookup'!J:K,2)*G752),0)))</f>
        <v>0</v>
      </c>
      <c r="AI752" s="92" t="str">
        <f t="shared" si="1909"/>
        <v/>
      </c>
      <c r="AJ752" s="828" t="str">
        <f t="shared" si="1831"/>
        <v/>
      </c>
      <c r="AK752" s="828"/>
      <c r="AL752" s="313" t="str">
        <f t="shared" si="1847"/>
        <v/>
      </c>
      <c r="AM752" s="312"/>
      <c r="AN752" s="101"/>
      <c r="AO752" s="101"/>
      <c r="AP752" s="101"/>
      <c r="AQ752" s="101"/>
      <c r="AR752" s="101"/>
      <c r="AS752" s="101"/>
      <c r="AT752" s="101"/>
    </row>
    <row r="753" spans="1:46" ht="12.95" customHeight="1">
      <c r="A753" s="419">
        <v>3</v>
      </c>
      <c r="B753" s="87" t="s">
        <v>50</v>
      </c>
      <c r="C753" s="128" t="s">
        <v>556</v>
      </c>
      <c r="D753" s="129" t="s">
        <v>63</v>
      </c>
      <c r="E753" s="98">
        <v>36.950000000000003</v>
      </c>
      <c r="F753" s="705" t="s">
        <v>1306</v>
      </c>
      <c r="G753" s="357">
        <v>0</v>
      </c>
      <c r="H753" s="704" t="str">
        <f t="shared" si="1947"/>
        <v/>
      </c>
      <c r="I753" s="98">
        <f t="shared" si="1948"/>
        <v>0</v>
      </c>
      <c r="J753" s="98">
        <f>IF(H753="warranty",0,(I753*($J$1782)))</f>
        <v>0</v>
      </c>
      <c r="K753" s="831">
        <f t="shared" si="1949"/>
        <v>0</v>
      </c>
      <c r="L753" s="831"/>
      <c r="M753" s="832" t="str">
        <f>IF($H$1784=0,"",IF(G753=0,"",IF(F753="Qty=",CONCATENATE("$",ROUND(K753*(1-$H$1784),2)," with ",($H$1784*100),"% discount"),CONCATENATE("$",ROUND(K753*(1-$H$1784),2)," with ",(($H$1784*100+F753*100)-($H$1784*100*F753)),IF(F753&gt;0,"% discounts",IF($H$1781&gt;0,"% discounts","% discount"))))))</f>
        <v/>
      </c>
      <c r="N753" s="832"/>
      <c r="O753" s="832"/>
      <c r="P753" s="832"/>
      <c r="Q753" s="832"/>
      <c r="R753" s="832"/>
      <c r="S753" s="303">
        <f t="shared" si="1950"/>
        <v>0</v>
      </c>
      <c r="T753" s="541">
        <f>VLOOKUP(A753,'Discount Lookup'!D:E,2,FALSE)*G753</f>
        <v>0</v>
      </c>
      <c r="U753" s="83">
        <f>VLOOKUP(A753,'Discount Lookup'!G:H,2,FALSE)*G753</f>
        <v>0</v>
      </c>
      <c r="V753" s="100">
        <f>E753*($J$1782)*G753</f>
        <v>0</v>
      </c>
      <c r="W753" s="100">
        <f t="shared" si="1951"/>
        <v>0</v>
      </c>
      <c r="X753" s="100" t="b">
        <f>IF(G753&gt;0,IF(AD753="me","",G753))</f>
        <v>0</v>
      </c>
      <c r="Y753" s="201"/>
      <c r="Z753" s="829" t="str">
        <f t="shared" si="1829"/>
        <v/>
      </c>
      <c r="AA753" s="829"/>
      <c r="AB753" s="830" t="str">
        <f>IF(G753=0,"",IF(AD753="free","re-planting",IF(AD753="me","not NVP, by",IF($AD$8="yes",(VLOOKUP(A753,'Discount Lookup'!J:K,2)*G753*(1-$AC$1786)*(1+$AC$1788)),IF(AD753="NVP",(VLOOKUP(A753,'Discount Lookup'!J:K,2)*G753*(1-$AC$1786)*(1+$AC$1788)),IF(AD753="free","re-planting",IF(G753=0,"",IF($AD$8="",IF(AD753="me","not NVP, by",IF(AD753="",IF(G753&gt;0,(VLOOKUP(A753,'Discount Lookup'!J:K,2)*G753*(1-$AC$1786)*(1+$AC$1788)),""),"")),"not NVP, by"))))))))</f>
        <v/>
      </c>
      <c r="AC753" s="830"/>
      <c r="AD753" s="375" t="str">
        <f t="shared" si="1853"/>
        <v/>
      </c>
      <c r="AE753" s="833" t="str">
        <f t="shared" si="1946"/>
        <v/>
      </c>
      <c r="AF753" s="833"/>
      <c r="AG753" s="833"/>
      <c r="AH753" s="91">
        <f>IF(AD753="free",0,IF(AD753="me",0,IF(G753&gt;0,(VLOOKUP(A753,'Discount Lookup'!J:K,2)*G753),0)))</f>
        <v>0</v>
      </c>
      <c r="AI753" s="92" t="str">
        <f t="shared" si="1909"/>
        <v/>
      </c>
      <c r="AJ753" s="828" t="str">
        <f t="shared" si="1831"/>
        <v/>
      </c>
      <c r="AK753" s="828"/>
      <c r="AL753" s="313" t="str">
        <f t="shared" si="1847"/>
        <v/>
      </c>
      <c r="AM753" s="312"/>
      <c r="AN753" s="101"/>
      <c r="AO753" s="101"/>
      <c r="AP753" s="101"/>
      <c r="AQ753" s="101"/>
      <c r="AR753" s="101"/>
      <c r="AS753" s="101"/>
      <c r="AT753" s="101"/>
    </row>
    <row r="754" spans="1:46" ht="12.95" customHeight="1">
      <c r="A754" s="419">
        <v>15</v>
      </c>
      <c r="B754" s="87" t="s">
        <v>50</v>
      </c>
      <c r="C754" s="399" t="s">
        <v>64</v>
      </c>
      <c r="D754" s="129" t="s">
        <v>90</v>
      </c>
      <c r="E754" s="98">
        <v>231.95</v>
      </c>
      <c r="F754" s="705" t="s">
        <v>1306</v>
      </c>
      <c r="G754" s="357">
        <v>0</v>
      </c>
      <c r="H754" s="704" t="str">
        <f t="shared" si="1947"/>
        <v/>
      </c>
      <c r="I754" s="98">
        <f t="shared" si="1948"/>
        <v>0</v>
      </c>
      <c r="J754" s="98">
        <f>IF(H754="warranty",0,(I754*($J$1782)))</f>
        <v>0</v>
      </c>
      <c r="K754" s="831">
        <f t="shared" si="1949"/>
        <v>0</v>
      </c>
      <c r="L754" s="831"/>
      <c r="M754" s="832" t="str">
        <f>IF($H$1784=0,"",IF(G754=0,"",IF(F754="Qty=",CONCATENATE("$",ROUND(K754*(1-$H$1784),2)," with ",($H$1784*100),"% discount"),CONCATENATE("$",ROUND(K754*(1-$H$1784),2)," with ",(($H$1784*100+F754*100)-($H$1784*100*F754)),IF(F754&gt;0,"% discounts",IF($H$1781&gt;0,"% discounts","% discount"))))))</f>
        <v/>
      </c>
      <c r="N754" s="832"/>
      <c r="O754" s="832"/>
      <c r="P754" s="832"/>
      <c r="Q754" s="832"/>
      <c r="R754" s="832"/>
      <c r="S754" s="303">
        <f t="shared" si="1950"/>
        <v>0</v>
      </c>
      <c r="T754" s="541">
        <f>VLOOKUP(A754,'Discount Lookup'!D:E,2,FALSE)*G754</f>
        <v>0</v>
      </c>
      <c r="U754" s="83">
        <f>VLOOKUP(A754,'Discount Lookup'!G:H,2,FALSE)*G754</f>
        <v>0</v>
      </c>
      <c r="V754" s="100">
        <f>E754*($J$1782)*G754</f>
        <v>0</v>
      </c>
      <c r="W754" s="100">
        <f t="shared" si="1951"/>
        <v>0</v>
      </c>
      <c r="X754" s="100" t="b">
        <f>IF(G754&gt;0,IF(AD754="me","",G754))</f>
        <v>0</v>
      </c>
      <c r="Y754" s="201"/>
      <c r="Z754" s="829" t="str">
        <f t="shared" si="1829"/>
        <v/>
      </c>
      <c r="AA754" s="829"/>
      <c r="AB754" s="830" t="str">
        <f>IF(G754=0,"",IF(AD754="free","re-planting",IF(AD754="me","not NVP, by",IF($AD$8="yes",(VLOOKUP(A754,'Discount Lookup'!J:K,2)*G754*(1-$AC$1786)*(1+$AC$1788)),IF(AD754="NVP",(VLOOKUP(A754,'Discount Lookup'!J:K,2)*G754*(1-$AC$1786)*(1+$AC$1788)),IF(AD754="free","re-planting",IF(G754=0,"",IF($AD$8="",IF(AD754="me","not NVP, by",IF(AD754="",IF(G754&gt;0,(VLOOKUP(A754,'Discount Lookup'!J:K,2)*G754*(1-$AC$1786)*(1+$AC$1788)),""),"")),"not NVP, by"))))))))</f>
        <v/>
      </c>
      <c r="AC754" s="830"/>
      <c r="AD754" s="375" t="str">
        <f t="shared" si="1853"/>
        <v/>
      </c>
      <c r="AE754" s="833" t="str">
        <f t="shared" si="1946"/>
        <v/>
      </c>
      <c r="AF754" s="833"/>
      <c r="AG754" s="833"/>
      <c r="AH754" s="91">
        <f>IF(AD754="free",0,IF(AD754="me",0,IF(G754&gt;0,(VLOOKUP(A754,'Discount Lookup'!J:K,2)*G754),0)))</f>
        <v>0</v>
      </c>
      <c r="AI754" s="92" t="str">
        <f t="shared" si="1909"/>
        <v/>
      </c>
      <c r="AJ754" s="828" t="str">
        <f t="shared" si="1831"/>
        <v/>
      </c>
      <c r="AK754" s="828"/>
      <c r="AL754" s="313" t="str">
        <f t="shared" si="1847"/>
        <v/>
      </c>
      <c r="AM754" s="312"/>
      <c r="AN754" s="101"/>
      <c r="AO754" s="101"/>
      <c r="AP754" s="101"/>
      <c r="AQ754" s="101"/>
      <c r="AR754" s="101"/>
      <c r="AS754" s="101"/>
      <c r="AT754" s="101"/>
    </row>
    <row r="755" spans="1:46" ht="12.95" customHeight="1">
      <c r="A755" s="468"/>
      <c r="B755" s="149" t="s">
        <v>1562</v>
      </c>
      <c r="C755" s="118"/>
      <c r="D755" s="118"/>
      <c r="E755" s="119"/>
      <c r="F755" s="711"/>
      <c r="G755" s="358"/>
      <c r="H755" s="745"/>
      <c r="I755" s="119"/>
      <c r="J755" s="119"/>
      <c r="K755" s="609"/>
      <c r="L755" s="609"/>
      <c r="M755" s="121"/>
      <c r="N755" s="145"/>
      <c r="O755" s="123"/>
      <c r="P755" s="124"/>
      <c r="Q755" s="124"/>
      <c r="R755" s="83"/>
      <c r="S755" s="82">
        <f>E755*G755</f>
        <v>0</v>
      </c>
      <c r="T755" s="540"/>
      <c r="U755" s="83"/>
      <c r="V755" s="100" t="b">
        <f>IF(G755&gt;0,IF(AD755="me","",G755))</f>
        <v>0</v>
      </c>
      <c r="W755" s="100"/>
      <c r="X755" s="100"/>
      <c r="Y755" s="201"/>
      <c r="Z755" s="829" t="str">
        <f t="shared" si="1829"/>
        <v/>
      </c>
      <c r="AA755" s="829"/>
      <c r="AB755" s="830" t="str">
        <f>IF(G755=0,"",IF(AD755="free","re-planting",IF(AD755="me","not NVP, by",IF($AD$8="yes",(VLOOKUP(A755,'Discount Lookup'!J:K,2)*G755*(1-$AC$1786)*(1+$AC$1788)),IF(AD755="NVP",(VLOOKUP(A755,'Discount Lookup'!J:K,2)*G755*(1-$AC$1786)*(1+$AC$1788)),IF(AD755="free","re-planting",IF(G755=0,"",IF($AD$8="",IF(AD755="me","not NVP, by",IF(AD755="",IF(G755&gt;0,(VLOOKUP(A755,'Discount Lookup'!J:K,2)*G755*(1-$AC$1786)*(1+$AC$1788)),""),"")),"not NVP, by"))))))))</f>
        <v/>
      </c>
      <c r="AC755" s="830"/>
      <c r="AD755" s="375" t="str">
        <f t="shared" si="1853"/>
        <v/>
      </c>
      <c r="AE755" s="833" t="str">
        <f t="shared" si="1946"/>
        <v/>
      </c>
      <c r="AF755" s="833"/>
      <c r="AG755" s="833"/>
      <c r="AH755" s="91">
        <f>IF(AD755="free",0,IF(AD755="me",0,IF(G755&gt;0,(VLOOKUP(A755,'Discount Lookup'!J:K,2)*G755),0)))</f>
        <v>0</v>
      </c>
      <c r="AI755" s="92" t="str">
        <f t="shared" si="1909"/>
        <v/>
      </c>
      <c r="AJ755" s="828" t="str">
        <f t="shared" si="1831"/>
        <v/>
      </c>
      <c r="AK755" s="828"/>
      <c r="AL755" s="313" t="str">
        <f t="shared" si="1847"/>
        <v/>
      </c>
      <c r="AM755" s="312"/>
      <c r="AN755" s="101"/>
      <c r="AO755" s="101"/>
      <c r="AP755" s="101"/>
      <c r="AQ755" s="101"/>
      <c r="AR755" s="101"/>
      <c r="AS755" s="101"/>
      <c r="AT755" s="101"/>
    </row>
    <row r="756" spans="1:46" ht="12.95" customHeight="1">
      <c r="A756" s="896" t="s">
        <v>468</v>
      </c>
      <c r="B756" s="897"/>
      <c r="C756" s="897"/>
      <c r="D756" s="897"/>
      <c r="E756" s="897"/>
      <c r="F756" s="897"/>
      <c r="G756" s="897"/>
      <c r="H756" s="776" t="s">
        <v>232</v>
      </c>
      <c r="I756" s="88" t="s">
        <v>79</v>
      </c>
      <c r="J756" s="86"/>
      <c r="K756" s="603" t="s">
        <v>45</v>
      </c>
      <c r="L756" s="601" t="s">
        <v>46</v>
      </c>
      <c r="M756" s="86"/>
      <c r="N756" s="87" t="s">
        <v>69</v>
      </c>
      <c r="O756" s="87"/>
      <c r="P756" s="88"/>
      <c r="Q756" s="88"/>
      <c r="R756" s="86"/>
      <c r="S756" s="125"/>
      <c r="T756" s="543"/>
      <c r="U756" s="112"/>
      <c r="V756" s="100" t="b">
        <f>IF(G756&gt;0,IF(AD756="me","",G756))</f>
        <v>0</v>
      </c>
      <c r="W756" s="100"/>
      <c r="X756" s="100"/>
      <c r="Y756" s="201"/>
      <c r="Z756" s="829" t="str">
        <f t="shared" si="1829"/>
        <v/>
      </c>
      <c r="AA756" s="829"/>
      <c r="AB756" s="830" t="str">
        <f>IF(G756=0,"",IF(AD756="free","re-planting",IF(AD756="me","not NVP, by",IF($AD$8="yes",(VLOOKUP(A756,'Discount Lookup'!J:K,2)*G756*(1-$AC$1786)*(1+$AC$1788)),IF(AD756="NVP",(VLOOKUP(A756,'Discount Lookup'!J:K,2)*G756*(1-$AC$1786)*(1+$AC$1788)),IF(AD756="free","re-planting",IF(G756=0,"",IF($AD$8="",IF(AD756="me","not NVP, by",IF(AD756="",IF(G756&gt;0,(VLOOKUP(A756,'Discount Lookup'!J:K,2)*G756*(1-$AC$1786)*(1+$AC$1788)),""),"")),"not NVP, by"))))))))</f>
        <v/>
      </c>
      <c r="AC756" s="830"/>
      <c r="AD756" s="375" t="str">
        <f t="shared" si="1853"/>
        <v/>
      </c>
      <c r="AE756" s="833" t="str">
        <f t="shared" ref="AE756:AE769" si="1952">IF(G756&gt;0,(CONCATENATE((G756)," quantity, ",(A756)," ",B756)),"")</f>
        <v/>
      </c>
      <c r="AF756" s="833"/>
      <c r="AG756" s="833"/>
      <c r="AH756" s="91">
        <f>IF(AD756="free",0,IF(AD756="me",0,IF(G756&gt;0,(VLOOKUP(A756,'Discount Lookup'!J:K,2)*G756),0)))</f>
        <v>0</v>
      </c>
      <c r="AI756" s="92" t="str">
        <f t="shared" si="1909"/>
        <v/>
      </c>
      <c r="AJ756" s="828" t="str">
        <f t="shared" si="1831"/>
        <v/>
      </c>
      <c r="AK756" s="828"/>
      <c r="AL756" s="313" t="str">
        <f t="shared" si="1847"/>
        <v/>
      </c>
      <c r="AM756" s="312"/>
      <c r="AN756" s="101"/>
      <c r="AO756" s="101"/>
      <c r="AP756" s="101"/>
      <c r="AQ756" s="101"/>
      <c r="AR756" s="101"/>
      <c r="AS756" s="101"/>
      <c r="AT756" s="101"/>
    </row>
    <row r="757" spans="1:46" ht="12.95" customHeight="1">
      <c r="A757" s="419">
        <v>7</v>
      </c>
      <c r="B757" s="87" t="s">
        <v>50</v>
      </c>
      <c r="C757" s="140" t="s">
        <v>88</v>
      </c>
      <c r="D757" s="129" t="s">
        <v>90</v>
      </c>
      <c r="E757" s="98">
        <v>121.95</v>
      </c>
      <c r="F757" s="705" t="s">
        <v>1306</v>
      </c>
      <c r="G757" s="357">
        <v>0</v>
      </c>
      <c r="H757" s="704" t="str">
        <f t="shared" ref="H757:H758" si="1953">IF(G757=0,"",IF(F757="Qty=",IF(G757=1,"plant","plants"),IF(F757&gt;0.0001,"warranty","Error")))</f>
        <v/>
      </c>
      <c r="I757" s="98">
        <f t="shared" ref="I757:I758" si="1954">IF(F757="Qty=",(E757*G757),((E757*(1-F757))*G757))</f>
        <v>0</v>
      </c>
      <c r="J757" s="98">
        <f>IF(H757="warranty",0,(I757*($J$1782)))</f>
        <v>0</v>
      </c>
      <c r="K757" s="831">
        <f t="shared" ref="K757:K758" si="1955">I757+J757</f>
        <v>0</v>
      </c>
      <c r="L757" s="831"/>
      <c r="M757" s="832" t="str">
        <f>IF($H$1784=0,"",IF(G757=0,"",IF(F757="Qty=",CONCATENATE("$",ROUND(K757*(1-$H$1784),2)," with ",($H$1784*100),"% discount"),CONCATENATE("$",ROUND(K757*(1-$H$1784),2)," with ",(($H$1784*100+F757*100)-($H$1784*100*F757)),IF(F757&gt;0,"% discounts",IF($H$1781&gt;0,"% discounts","% discount"))))))</f>
        <v/>
      </c>
      <c r="N757" s="832"/>
      <c r="O757" s="832"/>
      <c r="P757" s="832"/>
      <c r="Q757" s="832"/>
      <c r="R757" s="832"/>
      <c r="S757" s="303">
        <f t="shared" ref="S757" si="1956">E757*G757</f>
        <v>0</v>
      </c>
      <c r="T757" s="541">
        <f>VLOOKUP(A757,'Discount Lookup'!D:E,2,FALSE)*G757</f>
        <v>0</v>
      </c>
      <c r="U757" s="83">
        <f>VLOOKUP(A757,'Discount Lookup'!G:H,2,FALSE)*G757</f>
        <v>0</v>
      </c>
      <c r="V757" s="100">
        <f>E757*($J$1782)*G757</f>
        <v>0</v>
      </c>
      <c r="W757" s="100">
        <f t="shared" ref="W757" si="1957">I757</f>
        <v>0</v>
      </c>
      <c r="X757" s="100" t="b">
        <f>IF(G757&gt;0,IF(AD757="me","",G757))</f>
        <v>0</v>
      </c>
      <c r="Y757" s="201"/>
      <c r="Z757" s="829" t="str">
        <f t="shared" si="1829"/>
        <v/>
      </c>
      <c r="AA757" s="829"/>
      <c r="AB757" s="830" t="str">
        <f>IF(G757=0,"",IF(AD757="free","re-planting",IF(AD757="me","not NVP, by",IF($AD$8="yes",(VLOOKUP(A757,'Discount Lookup'!J:K,2)*G757*(1-$AC$1786)*(1+$AC$1788)),IF(AD757="NVP",(VLOOKUP(A757,'Discount Lookup'!J:K,2)*G757*(1-$AC$1786)*(1+$AC$1788)),IF(AD757="free","re-planting",IF(G757=0,"",IF($AD$8="",IF(AD757="me","not NVP, by",IF(AD757="",IF(G757&gt;0,(VLOOKUP(A757,'Discount Lookup'!J:K,2)*G757*(1-$AC$1786)*(1+$AC$1788)),""),"")),"not NVP, by"))))))))</f>
        <v/>
      </c>
      <c r="AC757" s="830"/>
      <c r="AD757" s="375" t="str">
        <f t="shared" si="1853"/>
        <v/>
      </c>
      <c r="AE757" s="833" t="str">
        <f t="shared" ref="AE757" si="1958">IF(G757&gt;0,(CONCATENATE((G757)," quantity, ",(A757)," ",B757)),"")</f>
        <v/>
      </c>
      <c r="AF757" s="833"/>
      <c r="AG757" s="833"/>
      <c r="AH757" s="91">
        <f>IF(AD757="free",0,IF(AD757="me",0,IF(G757&gt;0,(VLOOKUP(A757,'Discount Lookup'!J:K,2)*G757),0)))</f>
        <v>0</v>
      </c>
      <c r="AI757" s="92" t="str">
        <f t="shared" si="1909"/>
        <v/>
      </c>
      <c r="AJ757" s="828" t="str">
        <f t="shared" si="1831"/>
        <v/>
      </c>
      <c r="AK757" s="828"/>
      <c r="AL757" s="313" t="str">
        <f t="shared" si="1847"/>
        <v/>
      </c>
      <c r="AM757" s="312"/>
      <c r="AN757" s="101"/>
      <c r="AO757" s="101"/>
      <c r="AP757" s="101"/>
      <c r="AQ757" s="101"/>
      <c r="AR757" s="101"/>
      <c r="AS757" s="101"/>
      <c r="AT757" s="101"/>
    </row>
    <row r="758" spans="1:46" ht="12.95" customHeight="1">
      <c r="A758" s="419">
        <v>25</v>
      </c>
      <c r="B758" s="87" t="s">
        <v>50</v>
      </c>
      <c r="C758" s="128" t="s">
        <v>53</v>
      </c>
      <c r="D758" s="129" t="s">
        <v>54</v>
      </c>
      <c r="E758" s="98">
        <v>334.95</v>
      </c>
      <c r="F758" s="705" t="s">
        <v>1306</v>
      </c>
      <c r="G758" s="357">
        <v>0</v>
      </c>
      <c r="H758" s="704" t="str">
        <f t="shared" si="1953"/>
        <v/>
      </c>
      <c r="I758" s="98">
        <f t="shared" si="1954"/>
        <v>0</v>
      </c>
      <c r="J758" s="98">
        <f>IF(H758="warranty",0,(I758*($J$1782)))</f>
        <v>0</v>
      </c>
      <c r="K758" s="831">
        <f t="shared" si="1955"/>
        <v>0</v>
      </c>
      <c r="L758" s="831"/>
      <c r="M758" s="832" t="str">
        <f>IF($H$1784=0,"",IF(G758=0,"",IF(F758="Qty=",CONCATENATE("$",ROUND(K758*(1-$H$1784),2)," with ",($H$1784*100),"% discount"),CONCATENATE("$",ROUND(K758*(1-$H$1784),2)," with ",(($H$1784*100+F758*100)-($H$1784*100*F758)),IF(F758&gt;0,"% discounts",IF($H$1781&gt;0,"% discounts","% discount"))))))</f>
        <v/>
      </c>
      <c r="N758" s="832"/>
      <c r="O758" s="832"/>
      <c r="P758" s="832"/>
      <c r="Q758" s="832"/>
      <c r="R758" s="832"/>
      <c r="S758" s="303">
        <f t="shared" ref="S758" si="1959">E758*G758</f>
        <v>0</v>
      </c>
      <c r="T758" s="541">
        <f>VLOOKUP(A758,'Discount Lookup'!D:E,2,FALSE)*G758</f>
        <v>0</v>
      </c>
      <c r="U758" s="83">
        <f>VLOOKUP(A758,'Discount Lookup'!G:H,2,FALSE)*G758</f>
        <v>0</v>
      </c>
      <c r="V758" s="100">
        <f>E758*($J$1782)*G758</f>
        <v>0</v>
      </c>
      <c r="W758" s="100">
        <f t="shared" ref="W758" si="1960">I758</f>
        <v>0</v>
      </c>
      <c r="X758" s="100" t="b">
        <f>IF(G758&gt;0,IF(AD758="me","",G758))</f>
        <v>0</v>
      </c>
      <c r="Y758" s="201"/>
      <c r="Z758" s="829" t="str">
        <f t="shared" si="1829"/>
        <v/>
      </c>
      <c r="AA758" s="829"/>
      <c r="AB758" s="830" t="str">
        <f>IF(G758=0,"",IF(AD758="free","re-planting",IF(AD758="me","not NVP, by",IF($AD$8="yes",(VLOOKUP(A758,'Discount Lookup'!J:K,2)*G758*(1-$AC$1786)*(1+$AC$1788)),IF(AD758="NVP",(VLOOKUP(A758,'Discount Lookup'!J:K,2)*G758*(1-$AC$1786)*(1+$AC$1788)),IF(AD758="free","re-planting",IF(G758=0,"",IF($AD$8="",IF(AD758="me","not NVP, by",IF(AD758="",IF(G758&gt;0,(VLOOKUP(A758,'Discount Lookup'!J:K,2)*G758*(1-$AC$1786)*(1+$AC$1788)),""),"")),"not NVP, by"))))))))</f>
        <v/>
      </c>
      <c r="AC758" s="830"/>
      <c r="AD758" s="375" t="str">
        <f t="shared" si="1853"/>
        <v/>
      </c>
      <c r="AE758" s="833" t="str">
        <f t="shared" si="1952"/>
        <v/>
      </c>
      <c r="AF758" s="833"/>
      <c r="AG758" s="833"/>
      <c r="AH758" s="91">
        <f>IF(AD758="free",0,IF(AD758="me",0,IF(G758&gt;0,(VLOOKUP(A758,'Discount Lookup'!J:K,2)*G758),0)))</f>
        <v>0</v>
      </c>
      <c r="AI758" s="92" t="str">
        <f t="shared" si="1909"/>
        <v/>
      </c>
      <c r="AJ758" s="828" t="str">
        <f t="shared" si="1831"/>
        <v/>
      </c>
      <c r="AK758" s="828"/>
      <c r="AL758" s="313" t="str">
        <f t="shared" si="1847"/>
        <v/>
      </c>
      <c r="AM758" s="312"/>
      <c r="AN758" s="101"/>
      <c r="AO758" s="101"/>
      <c r="AP758" s="101"/>
      <c r="AQ758" s="101"/>
      <c r="AR758" s="101"/>
      <c r="AS758" s="101"/>
      <c r="AT758" s="101"/>
    </row>
    <row r="759" spans="1:46" ht="12.95" customHeight="1">
      <c r="A759" s="468"/>
      <c r="B759" s="149" t="s">
        <v>469</v>
      </c>
      <c r="C759" s="118"/>
      <c r="D759" s="118"/>
      <c r="E759" s="119"/>
      <c r="F759" s="711"/>
      <c r="G759" s="358"/>
      <c r="H759" s="745"/>
      <c r="I759" s="119"/>
      <c r="J759" s="119"/>
      <c r="K759" s="609"/>
      <c r="L759" s="609"/>
      <c r="M759" s="121"/>
      <c r="N759" s="122" t="s">
        <v>460</v>
      </c>
      <c r="O759" s="123"/>
      <c r="P759" s="124"/>
      <c r="Q759" s="124"/>
      <c r="R759" s="83"/>
      <c r="S759" s="82">
        <f>E759*G759</f>
        <v>0</v>
      </c>
      <c r="T759" s="540"/>
      <c r="U759" s="83"/>
      <c r="V759" s="100" t="b">
        <f>IF(G759&gt;0,IF(AD759="me","",G759))</f>
        <v>0</v>
      </c>
      <c r="W759" s="100"/>
      <c r="X759" s="100"/>
      <c r="Y759" s="201"/>
      <c r="Z759" s="829" t="str">
        <f t="shared" si="1829"/>
        <v/>
      </c>
      <c r="AA759" s="829"/>
      <c r="AB759" s="830" t="str">
        <f>IF(G759=0,"",IF(AD759="free","re-planting",IF(AD759="me","not NVP, by",IF($AD$8="yes",(VLOOKUP(A759,'Discount Lookup'!J:K,2)*G759*(1-$AC$1786)*(1+$AC$1788)),IF(AD759="NVP",(VLOOKUP(A759,'Discount Lookup'!J:K,2)*G759*(1-$AC$1786)*(1+$AC$1788)),IF(AD759="free","re-planting",IF(G759=0,"",IF($AD$8="",IF(AD759="me","not NVP, by",IF(AD759="",IF(G759&gt;0,(VLOOKUP(A759,'Discount Lookup'!J:K,2)*G759*(1-$AC$1786)*(1+$AC$1788)),""),"")),"not NVP, by"))))))))</f>
        <v/>
      </c>
      <c r="AC759" s="830"/>
      <c r="AD759" s="375" t="str">
        <f t="shared" si="1853"/>
        <v/>
      </c>
      <c r="AE759" s="833" t="str">
        <f t="shared" si="1952"/>
        <v/>
      </c>
      <c r="AF759" s="833"/>
      <c r="AG759" s="833"/>
      <c r="AH759" s="91">
        <f>IF(AD759="free",0,IF(AD759="me",0,IF(G759&gt;0,(VLOOKUP(A759,'Discount Lookup'!J:K,2)*G759),0)))</f>
        <v>0</v>
      </c>
      <c r="AI759" s="92" t="str">
        <f t="shared" si="1909"/>
        <v/>
      </c>
      <c r="AJ759" s="828" t="str">
        <f t="shared" si="1831"/>
        <v/>
      </c>
      <c r="AK759" s="828"/>
      <c r="AL759" s="313" t="str">
        <f t="shared" si="1847"/>
        <v/>
      </c>
      <c r="AM759" s="312"/>
      <c r="AN759" s="101"/>
      <c r="AO759" s="101"/>
      <c r="AP759" s="101"/>
      <c r="AQ759" s="101"/>
      <c r="AR759" s="101"/>
      <c r="AS759" s="101"/>
      <c r="AT759" s="101"/>
    </row>
    <row r="760" spans="1:46" ht="12.95" customHeight="1">
      <c r="A760" s="852" t="s">
        <v>470</v>
      </c>
      <c r="B760" s="844"/>
      <c r="C760" s="844"/>
      <c r="D760" s="844"/>
      <c r="E760" s="844"/>
      <c r="F760" s="844"/>
      <c r="G760" s="844"/>
      <c r="H760" s="777" t="s">
        <v>239</v>
      </c>
      <c r="I760" s="88" t="s">
        <v>235</v>
      </c>
      <c r="J760" s="126"/>
      <c r="K760" s="603" t="s">
        <v>45</v>
      </c>
      <c r="L760" s="601" t="s">
        <v>46</v>
      </c>
      <c r="M760" s="86"/>
      <c r="N760" s="87" t="s">
        <v>69</v>
      </c>
      <c r="O760" s="87"/>
      <c r="P760" s="88"/>
      <c r="Q760" s="88"/>
      <c r="R760" s="86"/>
      <c r="S760" s="125"/>
      <c r="T760" s="543"/>
      <c r="U760" s="112"/>
      <c r="V760" s="100" t="b">
        <f>IF(G760&gt;0,IF(AD760="me","",G760))</f>
        <v>0</v>
      </c>
      <c r="W760" s="100"/>
      <c r="X760" s="100"/>
      <c r="Y760" s="201"/>
      <c r="Z760" s="829" t="str">
        <f t="shared" si="1829"/>
        <v/>
      </c>
      <c r="AA760" s="829"/>
      <c r="AB760" s="830" t="str">
        <f>IF(G760=0,"",IF(AD760="free","re-planting",IF(AD760="me","not NVP, by",IF($AD$8="yes",(VLOOKUP(A760,'Discount Lookup'!J:K,2)*G760*(1-$AC$1786)*(1+$AC$1788)),IF(AD760="NVP",(VLOOKUP(A760,'Discount Lookup'!J:K,2)*G760*(1-$AC$1786)*(1+$AC$1788)),IF(AD760="free","re-planting",IF(G760=0,"",IF($AD$8="",IF(AD760="me","not NVP, by",IF(AD760="",IF(G760&gt;0,(VLOOKUP(A760,'Discount Lookup'!J:K,2)*G760*(1-$AC$1786)*(1+$AC$1788)),""),"")),"not NVP, by"))))))))</f>
        <v/>
      </c>
      <c r="AC760" s="830"/>
      <c r="AD760" s="375" t="str">
        <f t="shared" si="1853"/>
        <v/>
      </c>
      <c r="AE760" s="833" t="str">
        <f t="shared" si="1952"/>
        <v/>
      </c>
      <c r="AF760" s="833"/>
      <c r="AG760" s="833"/>
      <c r="AH760" s="91">
        <f>IF(AD760="free",0,IF(AD760="me",0,IF(G760&gt;0,(VLOOKUP(A760,'Discount Lookup'!J:K,2)*G760),0)))</f>
        <v>0</v>
      </c>
      <c r="AI760" s="92" t="str">
        <f t="shared" si="1909"/>
        <v/>
      </c>
      <c r="AJ760" s="828" t="str">
        <f t="shared" si="1831"/>
        <v/>
      </c>
      <c r="AK760" s="828"/>
      <c r="AL760" s="313" t="str">
        <f t="shared" si="1847"/>
        <v/>
      </c>
      <c r="AM760" s="312"/>
      <c r="AN760" s="101"/>
      <c r="AO760" s="101"/>
      <c r="AP760" s="101"/>
      <c r="AQ760" s="101"/>
      <c r="AR760" s="101"/>
      <c r="AS760" s="101"/>
      <c r="AT760" s="101"/>
    </row>
    <row r="761" spans="1:46" ht="12.95" customHeight="1">
      <c r="A761" s="419">
        <v>3</v>
      </c>
      <c r="B761" s="87" t="s">
        <v>50</v>
      </c>
      <c r="C761" s="128" t="s">
        <v>99</v>
      </c>
      <c r="D761" s="129" t="s">
        <v>94</v>
      </c>
      <c r="E761" s="98">
        <v>25.95</v>
      </c>
      <c r="F761" s="705" t="s">
        <v>1306</v>
      </c>
      <c r="G761" s="357">
        <v>0</v>
      </c>
      <c r="H761" s="704" t="str">
        <f t="shared" ref="H761" si="1961">IF(G761=0,"",IF(F761="Qty=",IF(G761=1,"plant","plants"),IF(F761&gt;0.0001,"warranty","Error")))</f>
        <v/>
      </c>
      <c r="I761" s="98">
        <f t="shared" ref="I761" si="1962">IF(F761="Qty=",(E761*G761),((E761*(1-F761))*G761))</f>
        <v>0</v>
      </c>
      <c r="J761" s="98">
        <f>IF(H761="warranty",0,(I761*($J$1782)))</f>
        <v>0</v>
      </c>
      <c r="K761" s="831">
        <f t="shared" ref="K761" si="1963">I761+J761</f>
        <v>0</v>
      </c>
      <c r="L761" s="831"/>
      <c r="M761" s="832" t="str">
        <f>IF($H$1784=0,"",IF(G761=0,"",IF(F761="Qty=",CONCATENATE("$",ROUND(K761*(1-$H$1784),2)," with ",($H$1784*100),"% discount"),CONCATENATE("$",ROUND(K761*(1-$H$1784),2)," with ",(($H$1784*100+F761*100)-($H$1784*100*F761)),IF(F761&gt;0,"% discounts",IF($H$1781&gt;0,"% discounts","% discount"))))))</f>
        <v/>
      </c>
      <c r="N761" s="832"/>
      <c r="O761" s="832"/>
      <c r="P761" s="832"/>
      <c r="Q761" s="832"/>
      <c r="R761" s="832"/>
      <c r="S761" s="303">
        <f t="shared" ref="S761" si="1964">E761*G761</f>
        <v>0</v>
      </c>
      <c r="T761" s="541">
        <f>VLOOKUP(A761,'Discount Lookup'!D:E,2,FALSE)*G761</f>
        <v>0</v>
      </c>
      <c r="U761" s="83">
        <f>VLOOKUP(A761,'Discount Lookup'!G:H,2,FALSE)*G761</f>
        <v>0</v>
      </c>
      <c r="V761" s="100">
        <f>E761*($J$1782)*G761</f>
        <v>0</v>
      </c>
      <c r="W761" s="100">
        <f t="shared" ref="W761" si="1965">I761</f>
        <v>0</v>
      </c>
      <c r="X761" s="100" t="b">
        <f>IF(G761&gt;0,IF(AD761="me","",G761))</f>
        <v>0</v>
      </c>
      <c r="Y761" s="201"/>
      <c r="Z761" s="829" t="str">
        <f t="shared" si="1829"/>
        <v/>
      </c>
      <c r="AA761" s="829"/>
      <c r="AB761" s="830" t="str">
        <f>IF(G761=0,"",IF(AD761="free","re-planting",IF(AD761="me","not NVP, by",IF($AD$8="yes",(VLOOKUP(A761,'Discount Lookup'!J:K,2)*G761*(1-$AC$1786)*(1+$AC$1788)),IF(AD761="NVP",(VLOOKUP(A761,'Discount Lookup'!J:K,2)*G761*(1-$AC$1786)*(1+$AC$1788)),IF(AD761="free","re-planting",IF(G761=0,"",IF($AD$8="",IF(AD761="me","not NVP, by",IF(AD761="",IF(G761&gt;0,(VLOOKUP(A761,'Discount Lookup'!J:K,2)*G761*(1-$AC$1786)*(1+$AC$1788)),""),"")),"not NVP, by"))))))))</f>
        <v/>
      </c>
      <c r="AC761" s="830"/>
      <c r="AD761" s="375" t="str">
        <f t="shared" si="1853"/>
        <v/>
      </c>
      <c r="AE761" s="833" t="str">
        <f t="shared" si="1952"/>
        <v/>
      </c>
      <c r="AF761" s="833"/>
      <c r="AG761" s="833"/>
      <c r="AH761" s="91">
        <f>IF(AD761="free",0,IF(AD761="me",0,IF(G761&gt;0,(VLOOKUP(A761,'Discount Lookup'!J:K,2)*G761),0)))</f>
        <v>0</v>
      </c>
      <c r="AI761" s="92" t="str">
        <f t="shared" si="1909"/>
        <v/>
      </c>
      <c r="AJ761" s="828" t="str">
        <f t="shared" si="1831"/>
        <v/>
      </c>
      <c r="AK761" s="828"/>
      <c r="AL761" s="313" t="str">
        <f t="shared" si="1847"/>
        <v/>
      </c>
      <c r="AM761" s="312"/>
      <c r="AN761" s="101"/>
      <c r="AO761" s="101"/>
      <c r="AP761" s="101"/>
      <c r="AQ761" s="101"/>
      <c r="AR761" s="101"/>
      <c r="AS761" s="101"/>
      <c r="AT761" s="101"/>
    </row>
    <row r="762" spans="1:46" ht="12.95" customHeight="1">
      <c r="A762" s="465"/>
      <c r="B762" s="149" t="s">
        <v>471</v>
      </c>
      <c r="C762" s="104"/>
      <c r="D762" s="104"/>
      <c r="E762" s="131"/>
      <c r="F762" s="710"/>
      <c r="G762" s="358"/>
      <c r="H762" s="744"/>
      <c r="I762" s="131"/>
      <c r="J762" s="131"/>
      <c r="K762" s="608"/>
      <c r="L762" s="608"/>
      <c r="M762" s="121"/>
      <c r="N762" s="121"/>
      <c r="O762" s="123"/>
      <c r="P762" s="124"/>
      <c r="Q762" s="124"/>
      <c r="R762" s="83"/>
      <c r="S762" s="82">
        <f>E762*G762</f>
        <v>0</v>
      </c>
      <c r="T762" s="540"/>
      <c r="U762" s="83"/>
      <c r="V762" s="100" t="b">
        <f>IF(G762&gt;0,IF(AD762="me","",G762))</f>
        <v>0</v>
      </c>
      <c r="W762" s="100"/>
      <c r="X762" s="100"/>
      <c r="Y762" s="201"/>
      <c r="Z762" s="829" t="str">
        <f t="shared" si="1829"/>
        <v/>
      </c>
      <c r="AA762" s="829"/>
      <c r="AB762" s="830" t="str">
        <f>IF(G762=0,"",IF(AD762="free","re-planting",IF(AD762="me","not NVP, by",IF($AD$8="yes",(VLOOKUP(A762,'Discount Lookup'!J:K,2)*G762*(1-$AC$1786)*(1+$AC$1788)),IF(AD762="NVP",(VLOOKUP(A762,'Discount Lookup'!J:K,2)*G762*(1-$AC$1786)*(1+$AC$1788)),IF(AD762="free","re-planting",IF(G762=0,"",IF($AD$8="",IF(AD762="me","not NVP, by",IF(AD762="",IF(G762&gt;0,(VLOOKUP(A762,'Discount Lookup'!J:K,2)*G762*(1-$AC$1786)*(1+$AC$1788)),""),"")),"not NVP, by"))))))))</f>
        <v/>
      </c>
      <c r="AC762" s="830"/>
      <c r="AD762" s="375" t="str">
        <f t="shared" si="1853"/>
        <v/>
      </c>
      <c r="AE762" s="833" t="str">
        <f t="shared" si="1952"/>
        <v/>
      </c>
      <c r="AF762" s="833"/>
      <c r="AG762" s="833"/>
      <c r="AH762" s="91">
        <f>IF(AD762="free",0,IF(AD762="me",0,IF(G762&gt;0,(VLOOKUP(A762,'Discount Lookup'!J:K,2)*G762),0)))</f>
        <v>0</v>
      </c>
      <c r="AI762" s="92" t="str">
        <f t="shared" si="1909"/>
        <v/>
      </c>
      <c r="AJ762" s="828" t="str">
        <f t="shared" si="1831"/>
        <v/>
      </c>
      <c r="AK762" s="828"/>
      <c r="AL762" s="313" t="str">
        <f t="shared" si="1847"/>
        <v/>
      </c>
      <c r="AM762" s="312"/>
      <c r="AN762" s="101"/>
      <c r="AO762" s="101"/>
      <c r="AP762" s="101"/>
      <c r="AQ762" s="101"/>
      <c r="AR762" s="101"/>
      <c r="AS762" s="101"/>
      <c r="AT762" s="101"/>
    </row>
    <row r="763" spans="1:46" ht="12.95" customHeight="1">
      <c r="A763" s="852" t="s">
        <v>472</v>
      </c>
      <c r="B763" s="844"/>
      <c r="C763" s="844"/>
      <c r="D763" s="844"/>
      <c r="E763" s="844"/>
      <c r="F763" s="844"/>
      <c r="G763" s="844"/>
      <c r="H763" s="777" t="s">
        <v>239</v>
      </c>
      <c r="I763" s="88" t="s">
        <v>235</v>
      </c>
      <c r="J763" s="126"/>
      <c r="K763" s="600" t="s">
        <v>45</v>
      </c>
      <c r="L763" s="601" t="s">
        <v>46</v>
      </c>
      <c r="M763" s="86"/>
      <c r="N763" s="87" t="s">
        <v>69</v>
      </c>
      <c r="O763" s="87"/>
      <c r="P763" s="88"/>
      <c r="Q763" s="88"/>
      <c r="R763" s="86"/>
      <c r="S763" s="125"/>
      <c r="T763" s="543"/>
      <c r="U763" s="112"/>
      <c r="V763" s="100" t="b">
        <f>IF(G763&gt;0,IF(AD763="me","",G763))</f>
        <v>0</v>
      </c>
      <c r="W763" s="100"/>
      <c r="X763" s="100"/>
      <c r="Y763" s="201"/>
      <c r="Z763" s="829" t="str">
        <f t="shared" si="1829"/>
        <v/>
      </c>
      <c r="AA763" s="829"/>
      <c r="AB763" s="830" t="str">
        <f>IF(G763=0,"",IF(AD763="free","re-planting",IF(AD763="me","not NVP, by",IF($AD$8="yes",(VLOOKUP(A763,'Discount Lookup'!J:K,2)*G763*(1-$AC$1786)*(1+$AC$1788)),IF(AD763="NVP",(VLOOKUP(A763,'Discount Lookup'!J:K,2)*G763*(1-$AC$1786)*(1+$AC$1788)),IF(AD763="free","re-planting",IF(G763=0,"",IF($AD$8="",IF(AD763="me","not NVP, by",IF(AD763="",IF(G763&gt;0,(VLOOKUP(A763,'Discount Lookup'!J:K,2)*G763*(1-$AC$1786)*(1+$AC$1788)),""),"")),"not NVP, by"))))))))</f>
        <v/>
      </c>
      <c r="AC763" s="830"/>
      <c r="AD763" s="375" t="str">
        <f t="shared" si="1853"/>
        <v/>
      </c>
      <c r="AE763" s="833" t="str">
        <f t="shared" si="1952"/>
        <v/>
      </c>
      <c r="AF763" s="833"/>
      <c r="AG763" s="833"/>
      <c r="AH763" s="91">
        <f>IF(AD763="free",0,IF(AD763="me",0,IF(G763&gt;0,(VLOOKUP(A763,'Discount Lookup'!J:K,2)*G763),0)))</f>
        <v>0</v>
      </c>
      <c r="AI763" s="92" t="str">
        <f t="shared" si="1909"/>
        <v/>
      </c>
      <c r="AJ763" s="828" t="str">
        <f t="shared" si="1831"/>
        <v/>
      </c>
      <c r="AK763" s="828"/>
      <c r="AL763" s="313" t="str">
        <f t="shared" si="1847"/>
        <v/>
      </c>
      <c r="AM763" s="312"/>
      <c r="AN763" s="101"/>
      <c r="AO763" s="101"/>
      <c r="AP763" s="101"/>
      <c r="AQ763" s="101"/>
      <c r="AR763" s="101"/>
      <c r="AS763" s="101"/>
      <c r="AT763" s="101"/>
    </row>
    <row r="764" spans="1:46" ht="12.95" customHeight="1">
      <c r="A764" s="419">
        <v>3</v>
      </c>
      <c r="B764" s="87" t="s">
        <v>50</v>
      </c>
      <c r="C764" s="399" t="s">
        <v>136</v>
      </c>
      <c r="D764" s="129" t="s">
        <v>86</v>
      </c>
      <c r="E764" s="98">
        <v>24.95</v>
      </c>
      <c r="F764" s="705" t="s">
        <v>1306</v>
      </c>
      <c r="G764" s="357">
        <v>0</v>
      </c>
      <c r="H764" s="704" t="str">
        <f t="shared" ref="H764:H766" si="1966">IF(G764=0,"",IF(F764="Qty=",IF(G764=1,"plant","plants"),IF(F764&gt;0.0001,"warranty","Error")))</f>
        <v/>
      </c>
      <c r="I764" s="98">
        <f t="shared" ref="I764:I766" si="1967">IF(F764="Qty=",(E764*G764),((E764*(1-F764))*G764))</f>
        <v>0</v>
      </c>
      <c r="J764" s="98">
        <f>IF(H764="warranty",0,(I764*($J$1782)))</f>
        <v>0</v>
      </c>
      <c r="K764" s="831">
        <f t="shared" ref="K764:K766" si="1968">I764+J764</f>
        <v>0</v>
      </c>
      <c r="L764" s="831"/>
      <c r="M764" s="832" t="str">
        <f>IF($H$1784=0,"",IF(G764=0,"",IF(F764="Qty=",CONCATENATE("$",ROUND(K764*(1-$H$1784),2)," with ",($H$1784*100),"% discount"),CONCATENATE("$",ROUND(K764*(1-$H$1784),2)," with ",(($H$1784*100+F764*100)-($H$1784*100*F764)),IF(F764&gt;0,"% discounts",IF($H$1781&gt;0,"% discounts","% discount"))))))</f>
        <v/>
      </c>
      <c r="N764" s="832"/>
      <c r="O764" s="832"/>
      <c r="P764" s="832"/>
      <c r="Q764" s="832"/>
      <c r="R764" s="832"/>
      <c r="S764" s="303">
        <f t="shared" ref="S764:S766" si="1969">E764*G764</f>
        <v>0</v>
      </c>
      <c r="T764" s="541">
        <f>VLOOKUP(A764,'Discount Lookup'!D:E,2,FALSE)*G764</f>
        <v>0</v>
      </c>
      <c r="U764" s="83">
        <f>VLOOKUP(A764,'Discount Lookup'!G:H,2,FALSE)*G764</f>
        <v>0</v>
      </c>
      <c r="V764" s="100">
        <f>E764*($J$1782)*G764</f>
        <v>0</v>
      </c>
      <c r="W764" s="100">
        <f t="shared" ref="W764:W766" si="1970">I764</f>
        <v>0</v>
      </c>
      <c r="X764" s="100" t="b">
        <f>IF(G764&gt;0,IF(AD764="me","",G764))</f>
        <v>0</v>
      </c>
      <c r="Y764" s="201"/>
      <c r="Z764" s="829" t="str">
        <f t="shared" si="1829"/>
        <v/>
      </c>
      <c r="AA764" s="829"/>
      <c r="AB764" s="830" t="str">
        <f>IF(G764=0,"",IF(AD764="free","re-planting",IF(AD764="me","not NVP, by",IF($AD$8="yes",(VLOOKUP(A764,'Discount Lookup'!J:K,2)*G764*(1-$AC$1786)*(1+$AC$1788)),IF(AD764="NVP",(VLOOKUP(A764,'Discount Lookup'!J:K,2)*G764*(1-$AC$1786)*(1+$AC$1788)),IF(AD764="free","re-planting",IF(G764=0,"",IF($AD$8="",IF(AD764="me","not NVP, by",IF(AD764="",IF(G764&gt;0,(VLOOKUP(A764,'Discount Lookup'!J:K,2)*G764*(1-$AC$1786)*(1+$AC$1788)),""),"")),"not NVP, by"))))))))</f>
        <v/>
      </c>
      <c r="AC764" s="830"/>
      <c r="AD764" s="375" t="str">
        <f t="shared" si="1853"/>
        <v/>
      </c>
      <c r="AE764" s="833" t="str">
        <f t="shared" si="1952"/>
        <v/>
      </c>
      <c r="AF764" s="833"/>
      <c r="AG764" s="833"/>
      <c r="AH764" s="91">
        <f>IF(AD764="free",0,IF(AD764="me",0,IF(G764&gt;0,(VLOOKUP(A764,'Discount Lookup'!J:K,2)*G764),0)))</f>
        <v>0</v>
      </c>
      <c r="AI764" s="92" t="str">
        <f t="shared" si="1909"/>
        <v/>
      </c>
      <c r="AJ764" s="828" t="str">
        <f t="shared" si="1831"/>
        <v/>
      </c>
      <c r="AK764" s="828"/>
      <c r="AL764" s="313" t="str">
        <f t="shared" si="1847"/>
        <v/>
      </c>
      <c r="AM764" s="312"/>
      <c r="AN764" s="101"/>
      <c r="AO764" s="101"/>
      <c r="AP764" s="101"/>
      <c r="AQ764" s="101"/>
      <c r="AR764" s="101"/>
      <c r="AS764" s="101"/>
      <c r="AT764" s="101"/>
    </row>
    <row r="765" spans="1:46" ht="12.95" customHeight="1">
      <c r="A765" s="419">
        <v>3</v>
      </c>
      <c r="B765" s="87" t="s">
        <v>50</v>
      </c>
      <c r="C765" s="128" t="s">
        <v>135</v>
      </c>
      <c r="D765" s="129" t="s">
        <v>87</v>
      </c>
      <c r="E765" s="98">
        <v>30.95</v>
      </c>
      <c r="F765" s="705" t="s">
        <v>1306</v>
      </c>
      <c r="G765" s="357">
        <v>0</v>
      </c>
      <c r="H765" s="704" t="str">
        <f t="shared" si="1966"/>
        <v/>
      </c>
      <c r="I765" s="98">
        <f t="shared" si="1967"/>
        <v>0</v>
      </c>
      <c r="J765" s="98">
        <f>IF(H765="warranty",0,(I765*($J$1782)))</f>
        <v>0</v>
      </c>
      <c r="K765" s="831">
        <f t="shared" si="1968"/>
        <v>0</v>
      </c>
      <c r="L765" s="831"/>
      <c r="M765" s="832" t="str">
        <f>IF($H$1784=0,"",IF(G765=0,"",IF(F765="Qty=",CONCATENATE("$",ROUND(K765*(1-$H$1784),2)," with ",($H$1784*100),"% discount"),CONCATENATE("$",ROUND(K765*(1-$H$1784),2)," with ",(($H$1784*100+F765*100)-($H$1784*100*F765)),IF(F765&gt;0,"% discounts",IF($H$1781&gt;0,"% discounts","% discount"))))))</f>
        <v/>
      </c>
      <c r="N765" s="832"/>
      <c r="O765" s="832"/>
      <c r="P765" s="832"/>
      <c r="Q765" s="832"/>
      <c r="R765" s="832"/>
      <c r="S765" s="303">
        <f t="shared" si="1969"/>
        <v>0</v>
      </c>
      <c r="T765" s="541">
        <f>VLOOKUP(A765,'Discount Lookup'!D:E,2,FALSE)*G765</f>
        <v>0</v>
      </c>
      <c r="U765" s="83">
        <f>VLOOKUP(A765,'Discount Lookup'!G:H,2,FALSE)*G765</f>
        <v>0</v>
      </c>
      <c r="V765" s="100">
        <f>E765*($J$1782)*G765</f>
        <v>0</v>
      </c>
      <c r="W765" s="100">
        <f t="shared" si="1970"/>
        <v>0</v>
      </c>
      <c r="X765" s="100" t="b">
        <f>IF(G765&gt;0,IF(AD765="me","",G765))</f>
        <v>0</v>
      </c>
      <c r="Y765" s="201"/>
      <c r="Z765" s="829" t="str">
        <f t="shared" si="1829"/>
        <v/>
      </c>
      <c r="AA765" s="829"/>
      <c r="AB765" s="830" t="str">
        <f>IF(G765=0,"",IF(AD765="free","re-planting",IF(AD765="me","not NVP, by",IF($AD$8="yes",(VLOOKUP(A765,'Discount Lookup'!J:K,2)*G765*(1-$AC$1786)*(1+$AC$1788)),IF(AD765="NVP",(VLOOKUP(A765,'Discount Lookup'!J:K,2)*G765*(1-$AC$1786)*(1+$AC$1788)),IF(AD765="free","re-planting",IF(G765=0,"",IF($AD$8="",IF(AD765="me","not NVP, by",IF(AD765="",IF(G765&gt;0,(VLOOKUP(A765,'Discount Lookup'!J:K,2)*G765*(1-$AC$1786)*(1+$AC$1788)),""),"")),"not NVP, by"))))))))</f>
        <v/>
      </c>
      <c r="AC765" s="830"/>
      <c r="AD765" s="375" t="str">
        <f t="shared" si="1853"/>
        <v/>
      </c>
      <c r="AE765" s="833" t="str">
        <f t="shared" si="1952"/>
        <v/>
      </c>
      <c r="AF765" s="833"/>
      <c r="AG765" s="833"/>
      <c r="AH765" s="91">
        <f>IF(AD765="free",0,IF(AD765="me",0,IF(G765&gt;0,(VLOOKUP(A765,'Discount Lookup'!J:K,2)*G765),0)))</f>
        <v>0</v>
      </c>
      <c r="AI765" s="92" t="str">
        <f t="shared" si="1909"/>
        <v/>
      </c>
      <c r="AJ765" s="828" t="str">
        <f t="shared" si="1831"/>
        <v/>
      </c>
      <c r="AK765" s="828"/>
      <c r="AL765" s="313" t="str">
        <f t="shared" si="1847"/>
        <v/>
      </c>
      <c r="AM765" s="312"/>
      <c r="AN765" s="101"/>
      <c r="AO765" s="101"/>
      <c r="AP765" s="101"/>
      <c r="AQ765" s="101"/>
      <c r="AR765" s="101"/>
      <c r="AS765" s="101"/>
      <c r="AT765" s="101"/>
    </row>
    <row r="766" spans="1:46" ht="12.95" customHeight="1">
      <c r="A766" s="419">
        <v>3</v>
      </c>
      <c r="B766" s="87" t="s">
        <v>50</v>
      </c>
      <c r="C766" s="128" t="s">
        <v>556</v>
      </c>
      <c r="D766" s="129" t="s">
        <v>54</v>
      </c>
      <c r="E766" s="98">
        <v>31.95</v>
      </c>
      <c r="F766" s="705" t="s">
        <v>1306</v>
      </c>
      <c r="G766" s="357">
        <v>0</v>
      </c>
      <c r="H766" s="704" t="str">
        <f t="shared" si="1966"/>
        <v/>
      </c>
      <c r="I766" s="98">
        <f t="shared" si="1967"/>
        <v>0</v>
      </c>
      <c r="J766" s="98">
        <f>IF(H766="warranty",0,(I766*($J$1782)))</f>
        <v>0</v>
      </c>
      <c r="K766" s="831">
        <f t="shared" si="1968"/>
        <v>0</v>
      </c>
      <c r="L766" s="831"/>
      <c r="M766" s="832" t="str">
        <f>IF($H$1784=0,"",IF(G766=0,"",IF(F766="Qty=",CONCATENATE("$",ROUND(K766*(1-$H$1784),2)," with ",($H$1784*100),"% discount"),CONCATENATE("$",ROUND(K766*(1-$H$1784),2)," with ",(($H$1784*100+F766*100)-($H$1784*100*F766)),IF(F766&gt;0,"% discounts",IF($H$1781&gt;0,"% discounts","% discount"))))))</f>
        <v/>
      </c>
      <c r="N766" s="832"/>
      <c r="O766" s="832"/>
      <c r="P766" s="832"/>
      <c r="Q766" s="832"/>
      <c r="R766" s="832"/>
      <c r="S766" s="303">
        <f t="shared" si="1969"/>
        <v>0</v>
      </c>
      <c r="T766" s="541">
        <f>VLOOKUP(A766,'Discount Lookup'!D:E,2,FALSE)*G766</f>
        <v>0</v>
      </c>
      <c r="U766" s="83">
        <f>VLOOKUP(A766,'Discount Lookup'!G:H,2,FALSE)*G766</f>
        <v>0</v>
      </c>
      <c r="V766" s="100">
        <f>E766*($J$1782)*G766</f>
        <v>0</v>
      </c>
      <c r="W766" s="100">
        <f t="shared" si="1970"/>
        <v>0</v>
      </c>
      <c r="X766" s="100" t="b">
        <f>IF(G766&gt;0,IF(AD766="me","",G766))</f>
        <v>0</v>
      </c>
      <c r="Y766" s="201"/>
      <c r="Z766" s="829" t="str">
        <f t="shared" si="1829"/>
        <v/>
      </c>
      <c r="AA766" s="829"/>
      <c r="AB766" s="830" t="str">
        <f>IF(G766=0,"",IF(AD766="free","re-planting",IF(AD766="me","not NVP, by",IF($AD$8="yes",(VLOOKUP(A766,'Discount Lookup'!J:K,2)*G766*(1-$AC$1786)*(1+$AC$1788)),IF(AD766="NVP",(VLOOKUP(A766,'Discount Lookup'!J:K,2)*G766*(1-$AC$1786)*(1+$AC$1788)),IF(AD766="free","re-planting",IF(G766=0,"",IF($AD$8="",IF(AD766="me","not NVP, by",IF(AD766="",IF(G766&gt;0,(VLOOKUP(A766,'Discount Lookup'!J:K,2)*G766*(1-$AC$1786)*(1+$AC$1788)),""),"")),"not NVP, by"))))))))</f>
        <v/>
      </c>
      <c r="AC766" s="830"/>
      <c r="AD766" s="375" t="str">
        <f t="shared" si="1853"/>
        <v/>
      </c>
      <c r="AE766" s="833" t="str">
        <f t="shared" ref="AE766" si="1971">IF(G766&gt;0,(CONCATENATE((G766)," quantity, ",(A766)," ",B766)),"")</f>
        <v/>
      </c>
      <c r="AF766" s="833"/>
      <c r="AG766" s="833"/>
      <c r="AH766" s="91">
        <f>IF(AD766="free",0,IF(AD766="me",0,IF(G766&gt;0,(VLOOKUP(A766,'Discount Lookup'!J:K,2)*G766),0)))</f>
        <v>0</v>
      </c>
      <c r="AI766" s="92" t="str">
        <f t="shared" si="1909"/>
        <v/>
      </c>
      <c r="AJ766" s="828" t="str">
        <f t="shared" si="1831"/>
        <v/>
      </c>
      <c r="AK766" s="828"/>
      <c r="AL766" s="313" t="str">
        <f t="shared" si="1847"/>
        <v/>
      </c>
      <c r="AM766" s="312"/>
      <c r="AN766" s="101"/>
      <c r="AO766" s="101"/>
      <c r="AP766" s="101"/>
      <c r="AQ766" s="101"/>
      <c r="AR766" s="101"/>
      <c r="AS766" s="101"/>
      <c r="AT766" s="101"/>
    </row>
    <row r="767" spans="1:46" ht="12.95" customHeight="1">
      <c r="A767" s="469"/>
      <c r="B767" s="149" t="s">
        <v>473</v>
      </c>
      <c r="G767" s="359"/>
      <c r="H767" s="746"/>
      <c r="M767" s="108"/>
      <c r="N767" s="108"/>
      <c r="O767" s="123"/>
      <c r="P767" s="124">
        <f>VLOOKUP(A767,'Discount Lookup'!G:H,2,FALSE)*G767</f>
        <v>0</v>
      </c>
      <c r="Q767" s="124"/>
      <c r="R767" s="83">
        <f>IF(F767=0,E767*($J$1782)*G767,0)</f>
        <v>0</v>
      </c>
      <c r="S767" s="82">
        <f>E767*G767</f>
        <v>0</v>
      </c>
      <c r="T767" s="540"/>
      <c r="U767" s="83"/>
      <c r="V767" s="100" t="b">
        <f>IF(G767&gt;0,IF(AD767="me","",G767))</f>
        <v>0</v>
      </c>
      <c r="W767" s="100"/>
      <c r="X767" s="100"/>
      <c r="Y767" s="201"/>
      <c r="Z767" s="829" t="str">
        <f t="shared" si="1829"/>
        <v/>
      </c>
      <c r="AA767" s="829"/>
      <c r="AB767" s="830" t="str">
        <f>IF(G767=0,"",IF(AD767="free","re-planting",IF(AD767="me","not NVP, by",IF($AD$8="yes",(VLOOKUP(A767,'Discount Lookup'!J:K,2)*G767*(1-$AC$1786)*(1+$AC$1788)),IF(AD767="NVP",(VLOOKUP(A767,'Discount Lookup'!J:K,2)*G767*(1-$AC$1786)*(1+$AC$1788)),IF(AD767="free","re-planting",IF(G767=0,"",IF($AD$8="",IF(AD767="me","not NVP, by",IF(AD767="",IF(G767&gt;0,(VLOOKUP(A767,'Discount Lookup'!J:K,2)*G767*(1-$AC$1786)*(1+$AC$1788)),""),"")),"not NVP, by"))))))))</f>
        <v/>
      </c>
      <c r="AC767" s="830"/>
      <c r="AD767" s="375" t="str">
        <f t="shared" si="1853"/>
        <v/>
      </c>
      <c r="AE767" s="833" t="str">
        <f t="shared" si="1952"/>
        <v/>
      </c>
      <c r="AF767" s="833"/>
      <c r="AG767" s="833"/>
      <c r="AH767" s="91">
        <f>IF(AD767="free",0,IF(AD767="me",0,IF(G767&gt;0,(VLOOKUP(A767,'Discount Lookup'!J:K,2)*G767),0)))</f>
        <v>0</v>
      </c>
      <c r="AI767" s="92" t="str">
        <f t="shared" si="1909"/>
        <v/>
      </c>
      <c r="AJ767" s="828" t="str">
        <f t="shared" si="1831"/>
        <v/>
      </c>
      <c r="AK767" s="828"/>
      <c r="AL767" s="313" t="str">
        <f t="shared" si="1847"/>
        <v/>
      </c>
      <c r="AM767" s="312"/>
      <c r="AN767" s="101"/>
      <c r="AO767" s="101"/>
      <c r="AP767" s="101"/>
      <c r="AQ767" s="101"/>
      <c r="AR767" s="101"/>
      <c r="AS767" s="101"/>
      <c r="AT767" s="101"/>
    </row>
    <row r="768" spans="1:46" ht="12.95" customHeight="1">
      <c r="A768" s="863" t="s">
        <v>474</v>
      </c>
      <c r="B768" s="864"/>
      <c r="C768" s="864"/>
      <c r="D768" s="864"/>
      <c r="E768" s="864"/>
      <c r="F768" s="864"/>
      <c r="G768" s="864"/>
      <c r="H768" s="776" t="s">
        <v>239</v>
      </c>
      <c r="I768" s="88" t="s">
        <v>174</v>
      </c>
      <c r="J768" s="86"/>
      <c r="K768" s="603" t="s">
        <v>45</v>
      </c>
      <c r="L768" s="601" t="s">
        <v>46</v>
      </c>
      <c r="M768" s="86"/>
      <c r="N768" s="87" t="s">
        <v>75</v>
      </c>
      <c r="O768" s="87"/>
      <c r="P768" s="88"/>
      <c r="Q768" s="88"/>
      <c r="R768" s="86"/>
      <c r="S768" s="125"/>
      <c r="T768" s="543"/>
      <c r="U768" s="112"/>
      <c r="V768" s="100" t="b">
        <f>IF(G768&gt;0,IF(AD768="me","",G768))</f>
        <v>0</v>
      </c>
      <c r="W768" s="100"/>
      <c r="X768" s="100"/>
      <c r="Y768" s="201"/>
      <c r="Z768" s="829" t="str">
        <f t="shared" si="1829"/>
        <v/>
      </c>
      <c r="AA768" s="829"/>
      <c r="AB768" s="830" t="str">
        <f>IF(G768=0,"",IF(AD768="free","re-planting",IF(AD768="me","not NVP, by",IF($AD$8="yes",(VLOOKUP(A768,'Discount Lookup'!J:K,2)*G768*(1-$AC$1786)*(1+$AC$1788)),IF(AD768="NVP",(VLOOKUP(A768,'Discount Lookup'!J:K,2)*G768*(1-$AC$1786)*(1+$AC$1788)),IF(AD768="free","re-planting",IF(G768=0,"",IF($AD$8="",IF(AD768="me","not NVP, by",IF(AD768="",IF(G768&gt;0,(VLOOKUP(A768,'Discount Lookup'!J:K,2)*G768*(1-$AC$1786)*(1+$AC$1788)),""),"")),"not NVP, by"))))))))</f>
        <v/>
      </c>
      <c r="AC768" s="830"/>
      <c r="AD768" s="375" t="str">
        <f t="shared" si="1853"/>
        <v/>
      </c>
      <c r="AE768" s="833" t="str">
        <f t="shared" si="1952"/>
        <v/>
      </c>
      <c r="AF768" s="833"/>
      <c r="AG768" s="833"/>
      <c r="AH768" s="91">
        <f>IF(AD768="free",0,IF(AD768="me",0,IF(G768&gt;0,(VLOOKUP(A768,'Discount Lookup'!J:K,2)*G768),0)))</f>
        <v>0</v>
      </c>
      <c r="AI768" s="92" t="str">
        <f t="shared" si="1909"/>
        <v/>
      </c>
      <c r="AJ768" s="828" t="str">
        <f t="shared" si="1831"/>
        <v/>
      </c>
      <c r="AK768" s="828"/>
      <c r="AL768" s="313" t="str">
        <f t="shared" si="1847"/>
        <v/>
      </c>
      <c r="AM768" s="312"/>
      <c r="AN768" s="101"/>
      <c r="AO768" s="101"/>
      <c r="AP768" s="101"/>
      <c r="AQ768" s="101"/>
      <c r="AR768" s="101"/>
      <c r="AS768" s="101"/>
      <c r="AT768" s="101"/>
    </row>
    <row r="769" spans="1:46" ht="12.95" customHeight="1">
      <c r="A769" s="419">
        <v>3</v>
      </c>
      <c r="B769" s="87" t="s">
        <v>50</v>
      </c>
      <c r="C769" s="399" t="s">
        <v>1556</v>
      </c>
      <c r="D769" s="129" t="s">
        <v>87</v>
      </c>
      <c r="E769" s="98">
        <v>34.950000000000003</v>
      </c>
      <c r="F769" s="705" t="s">
        <v>1306</v>
      </c>
      <c r="G769" s="357">
        <v>0</v>
      </c>
      <c r="H769" s="704" t="str">
        <f t="shared" ref="H769" si="1972">IF(G769=0,"",IF(F769="Qty=",IF(G769=1,"plant","plants"),IF(F769&gt;0.0001,"warranty","Error")))</f>
        <v/>
      </c>
      <c r="I769" s="98">
        <f t="shared" ref="I769" si="1973">IF(F769="Qty=",(E769*G769),((E769*(1-F769))*G769))</f>
        <v>0</v>
      </c>
      <c r="J769" s="98">
        <f>IF(H769="warranty",0,(I769*($J$1782)))</f>
        <v>0</v>
      </c>
      <c r="K769" s="831">
        <f t="shared" ref="K769:K771" si="1974">I769+J769</f>
        <v>0</v>
      </c>
      <c r="L769" s="831"/>
      <c r="M769" s="832" t="str">
        <f>IF($H$1784=0,"",IF(G769=0,"",IF(F769="Qty=",CONCATENATE("$",ROUND(K769*(1-$H$1784),2)," with ",($H$1784*100),"% discount"),CONCATENATE("$",ROUND(K769*(1-$H$1784),2)," with ",(($H$1784*100+F769*100)-($H$1784*100*F769)),IF(F769&gt;0,"% discounts",IF($H$1781&gt;0,"% discounts","% discount"))))))</f>
        <v/>
      </c>
      <c r="N769" s="832"/>
      <c r="O769" s="832"/>
      <c r="P769" s="832"/>
      <c r="Q769" s="832"/>
      <c r="R769" s="832"/>
      <c r="S769" s="303">
        <f t="shared" ref="S769" si="1975">E769*G769</f>
        <v>0</v>
      </c>
      <c r="T769" s="541">
        <f>VLOOKUP(A769,'Discount Lookup'!D:E,2,FALSE)*G769</f>
        <v>0</v>
      </c>
      <c r="U769" s="83">
        <f>VLOOKUP(A769,'Discount Lookup'!G:H,2,FALSE)*G769</f>
        <v>0</v>
      </c>
      <c r="V769" s="100">
        <f>E769*($J$1782)*G769</f>
        <v>0</v>
      </c>
      <c r="W769" s="100">
        <f t="shared" ref="W769" si="1976">I769</f>
        <v>0</v>
      </c>
      <c r="X769" s="100" t="b">
        <f>IF(G769&gt;0,IF(AD769="me","",G769))</f>
        <v>0</v>
      </c>
      <c r="Y769" s="201"/>
      <c r="Z769" s="829" t="str">
        <f t="shared" si="1829"/>
        <v/>
      </c>
      <c r="AA769" s="829"/>
      <c r="AB769" s="830" t="str">
        <f>IF(G769=0,"",IF(AD769="free","re-planting",IF(AD769="me","not NVP, by",IF($AD$8="yes",(VLOOKUP(A769,'Discount Lookup'!J:K,2)*G769*(1-$AC$1786)*(1+$AC$1788)),IF(AD769="NVP",(VLOOKUP(A769,'Discount Lookup'!J:K,2)*G769*(1-$AC$1786)*(1+$AC$1788)),IF(AD769="free","re-planting",IF(G769=0,"",IF($AD$8="",IF(AD769="me","not NVP, by",IF(AD769="",IF(G769&gt;0,(VLOOKUP(A769,'Discount Lookup'!J:K,2)*G769*(1-$AC$1786)*(1+$AC$1788)),""),"")),"not NVP, by"))))))))</f>
        <v/>
      </c>
      <c r="AC769" s="830"/>
      <c r="AD769" s="375" t="str">
        <f t="shared" si="1853"/>
        <v/>
      </c>
      <c r="AE769" s="833" t="str">
        <f t="shared" si="1952"/>
        <v/>
      </c>
      <c r="AF769" s="833"/>
      <c r="AG769" s="833"/>
      <c r="AH769" s="91">
        <f>IF(AD769="free",0,IF(AD769="me",0,IF(G769&gt;0,(VLOOKUP(A769,'Discount Lookup'!J:K,2)*G769),0)))</f>
        <v>0</v>
      </c>
      <c r="AI769" s="92" t="str">
        <f t="shared" si="1909"/>
        <v/>
      </c>
      <c r="AJ769" s="828" t="str">
        <f t="shared" si="1831"/>
        <v/>
      </c>
      <c r="AK769" s="828"/>
      <c r="AL769" s="313" t="str">
        <f t="shared" si="1847"/>
        <v/>
      </c>
      <c r="AM769" s="312"/>
      <c r="AN769" s="101"/>
      <c r="AO769" s="101"/>
      <c r="AP769" s="101"/>
      <c r="AQ769" s="101"/>
      <c r="AR769" s="101"/>
      <c r="AS769" s="101"/>
      <c r="AT769" s="101"/>
    </row>
    <row r="770" spans="1:46" ht="12.95" customHeight="1">
      <c r="A770" s="419">
        <v>7</v>
      </c>
      <c r="B770" s="87" t="s">
        <v>50</v>
      </c>
      <c r="C770" s="399" t="s">
        <v>85</v>
      </c>
      <c r="D770" s="129" t="s">
        <v>54</v>
      </c>
      <c r="E770" s="98">
        <v>104.95</v>
      </c>
      <c r="F770" s="705" t="s">
        <v>1306</v>
      </c>
      <c r="G770" s="357">
        <v>0</v>
      </c>
      <c r="H770" s="704" t="str">
        <f t="shared" ref="H770" si="1977">IF(G770=0,"",IF(F770="Qty=",IF(G770=1,"plant","plants"),IF(F770&gt;0.0001,"warranty","Error")))</f>
        <v/>
      </c>
      <c r="I770" s="98">
        <f t="shared" ref="I770" si="1978">IF(F770="Qty=",(E770*G770),((E770*(1-F770))*G770))</f>
        <v>0</v>
      </c>
      <c r="J770" s="98">
        <f>IF(H770="warranty",0,(I770*($J$1782)))</f>
        <v>0</v>
      </c>
      <c r="K770" s="831">
        <f t="shared" si="1974"/>
        <v>0</v>
      </c>
      <c r="L770" s="831"/>
      <c r="M770" s="832" t="str">
        <f>IF($H$1784=0,"",IF(G770=0,"",IF(F770="Qty=",CONCATENATE("$",ROUND(K770*(1-$H$1784),2)," with ",($H$1784*100),"% discount"),CONCATENATE("$",ROUND(K770*(1-$H$1784),2)," with ",(($H$1784*100+F770*100)-($H$1784*100*F770)),IF(F770&gt;0,"% discounts",IF($H$1781&gt;0,"% discounts","% discount"))))))</f>
        <v/>
      </c>
      <c r="N770" s="832"/>
      <c r="O770" s="832"/>
      <c r="P770" s="832"/>
      <c r="Q770" s="832"/>
      <c r="R770" s="832"/>
      <c r="S770" s="303">
        <f t="shared" ref="S770" si="1979">E770*G770</f>
        <v>0</v>
      </c>
      <c r="T770" s="541">
        <f>VLOOKUP(A770,'Discount Lookup'!D:E,2,FALSE)*G770</f>
        <v>0</v>
      </c>
      <c r="U770" s="83">
        <f>VLOOKUP(A770,'Discount Lookup'!G:H,2,FALSE)*G770</f>
        <v>0</v>
      </c>
      <c r="V770" s="100">
        <f>E770*($J$1782)*G770</f>
        <v>0</v>
      </c>
      <c r="W770" s="100">
        <f t="shared" ref="W770" si="1980">I770</f>
        <v>0</v>
      </c>
      <c r="X770" s="100" t="b">
        <f>IF(G770&gt;0,IF(AD770="me","",G770))</f>
        <v>0</v>
      </c>
      <c r="Y770" s="201"/>
      <c r="Z770" s="829" t="str">
        <f t="shared" ref="Z770" si="1981">IF(G770=0,"",IF(AD770="me","",IF($AD$8="me","",IF(AD770="free","warranty",IF($AD$8="yes","NVP planting:","to NVP install:")))))</f>
        <v/>
      </c>
      <c r="AA770" s="829"/>
      <c r="AB770" s="830" t="str">
        <f>IF(G770=0,"",IF(AD770="free","re-planting",IF(AD770="me","not NVP, by",IF($AD$8="yes",(VLOOKUP(A770,'Discount Lookup'!J:K,2)*G770*(1-$AC$1786)*(1+$AC$1788)),IF(AD770="NVP",(VLOOKUP(A770,'Discount Lookup'!J:K,2)*G770*(1-$AC$1786)*(1+$AC$1788)),IF(AD770="free","re-planting",IF(G770=0,"",IF($AD$8="",IF(AD770="me","not NVP, by",IF(AD770="",IF(G770&gt;0,(VLOOKUP(A770,'Discount Lookup'!J:K,2)*G770*(1-$AC$1786)*(1+$AC$1788)),""),"")),"not NVP, by"))))))))</f>
        <v/>
      </c>
      <c r="AC770" s="830"/>
      <c r="AD770" s="375" t="str">
        <f t="shared" si="1853"/>
        <v/>
      </c>
      <c r="AE770" s="833" t="str">
        <f t="shared" ref="AE770" si="1982">IF(G770&gt;0,(CONCATENATE((G770)," quantity, ",(A770)," ",B770)),"")</f>
        <v/>
      </c>
      <c r="AF770" s="833"/>
      <c r="AG770" s="833"/>
      <c r="AH770" s="91">
        <f>IF(AD770="free",0,IF(AD770="me",0,IF(G770&gt;0,(VLOOKUP(A770,'Discount Lookup'!J:K,2)*G770),0)))</f>
        <v>0</v>
      </c>
      <c r="AI770" s="92" t="str">
        <f t="shared" si="1909"/>
        <v/>
      </c>
      <c r="AJ770" s="828" t="str">
        <f t="shared" ref="AJ770" si="1983">IF(G770=0,"",IF(AD770="me","  delivery-only",IF($AD$8="me","  delivery-only",CONCATENATE(" $",ROUND(AI770/G770,2)," each"))))</f>
        <v/>
      </c>
      <c r="AK770" s="828"/>
      <c r="AL770" s="313" t="str">
        <f t="shared" si="1847"/>
        <v/>
      </c>
      <c r="AM770" s="312"/>
      <c r="AN770" s="101"/>
      <c r="AO770" s="101"/>
      <c r="AP770" s="101"/>
      <c r="AQ770" s="101"/>
      <c r="AR770" s="101"/>
      <c r="AS770" s="101"/>
      <c r="AT770" s="101"/>
    </row>
    <row r="771" spans="1:46" ht="12.75" customHeight="1">
      <c r="A771" s="419">
        <v>25</v>
      </c>
      <c r="B771" s="87" t="s">
        <v>50</v>
      </c>
      <c r="C771" s="140" t="s">
        <v>53</v>
      </c>
      <c r="D771" s="129" t="s">
        <v>54</v>
      </c>
      <c r="E771" s="98">
        <v>445.95</v>
      </c>
      <c r="F771" s="705" t="s">
        <v>1306</v>
      </c>
      <c r="G771" s="357">
        <v>0</v>
      </c>
      <c r="H771" s="704" t="str">
        <f t="shared" ref="H771" si="1984">IF(G771=0,"",IF(F771="Qty=",IF(G771=1,"plant","plants"),IF(F771&gt;0.0001,"warranty","Error")))</f>
        <v/>
      </c>
      <c r="I771" s="98">
        <f t="shared" ref="I771" si="1985">IF(F771="Qty=",(E771*G771),((E771*(1-F771))*G771))</f>
        <v>0</v>
      </c>
      <c r="J771" s="98">
        <f>IF(H771="warranty",0,(I771*($J$1782)))</f>
        <v>0</v>
      </c>
      <c r="K771" s="831">
        <f t="shared" si="1974"/>
        <v>0</v>
      </c>
      <c r="L771" s="831"/>
      <c r="M771" s="832" t="str">
        <f>IF($H$1784=0,"",IF(G771=0,"",IF(F771="Qty=",CONCATENATE("$",ROUND(K771*(1-$H$1784),2)," with ",($H$1784*100),"% discount"),CONCATENATE("$",ROUND(K771*(1-$H$1784),2)," with ",(($H$1784*100+F771*100)-($H$1784*100*F771)),IF(F771&gt;0,"% discounts",IF($H$1781&gt;0,"% discounts","% discount"))))))</f>
        <v/>
      </c>
      <c r="N771" s="832"/>
      <c r="O771" s="832"/>
      <c r="P771" s="832"/>
      <c r="Q771" s="832"/>
      <c r="R771" s="832"/>
      <c r="S771" s="303">
        <f t="shared" ref="S771" si="1986">E771*G771</f>
        <v>0</v>
      </c>
      <c r="T771" s="541">
        <f>VLOOKUP(A771,'Discount Lookup'!D:E,2,FALSE)*G771</f>
        <v>0</v>
      </c>
      <c r="U771" s="83">
        <f>VLOOKUP(A771,'Discount Lookup'!G:H,2,FALSE)*G771</f>
        <v>0</v>
      </c>
      <c r="V771" s="100">
        <f>E771*($J$1782)*G771</f>
        <v>0</v>
      </c>
      <c r="W771" s="100">
        <f t="shared" ref="W771" si="1987">I771</f>
        <v>0</v>
      </c>
      <c r="X771" s="100" t="b">
        <f t="shared" ref="X771" si="1988">IF(G771&gt;0,IF(AD771="me","",G771))</f>
        <v>0</v>
      </c>
      <c r="Y771" s="201"/>
      <c r="Z771" s="829" t="str">
        <f t="shared" ref="Z771" si="1989">IF(G771=0,"",IF(AD771="me","",IF($AD$8="me","",IF(AD771="free","warranty",IF($AD$8="yes","NVP planting:","to NVP install:")))))</f>
        <v/>
      </c>
      <c r="AA771" s="829"/>
      <c r="AB771" s="830" t="str">
        <f>IF(G771=0,"",IF(AD771="free","re-planting",IF(AD771="me","not NVP, by",IF($AD$8="yes",(VLOOKUP(A771,'Discount Lookup'!J:K,2)*G771*(1-$AC$1786)*(1+$AC$1788)),IF(AD771="NVP",(VLOOKUP(A771,'Discount Lookup'!J:K,2)*G771*(1-$AC$1786)*(1+$AC$1788)),IF(AD771="free","re-planting",IF(G771=0,"",IF($AD$8="",IF(AD771="me","not NVP, by",IF(AD771="",IF(G771&gt;0,(VLOOKUP(A771,'Discount Lookup'!J:K,2)*G771*(1-$AC$1786)*(1+$AC$1788)),""),"")),"not NVP, by"))))))))</f>
        <v/>
      </c>
      <c r="AC771" s="830"/>
      <c r="AD771" s="375" t="str">
        <f t="shared" si="1853"/>
        <v/>
      </c>
      <c r="AE771" s="833" t="str">
        <f t="shared" ref="AE771" si="1990">IF(G771&gt;0,(CONCATENATE((G771)," quantity, ",(A771)," ",B771)),"")</f>
        <v/>
      </c>
      <c r="AF771" s="833"/>
      <c r="AG771" s="833"/>
      <c r="AH771" s="91">
        <f>IF(AD771="free",0,IF(AD771="me",0,IF(G771&gt;0,(VLOOKUP(A771,'Discount Lookup'!J:K,2)*G771),0)))</f>
        <v>0</v>
      </c>
      <c r="AI771" s="92" t="str">
        <f t="shared" si="1909"/>
        <v/>
      </c>
      <c r="AJ771" s="828" t="str">
        <f t="shared" ref="AJ771" si="1991">IF(G771=0,"",IF(AD771="me","  delivery-only",IF($AD$8="me","  delivery-only",CONCATENATE(" $",ROUND(AI771/G771,2)," each"))))</f>
        <v/>
      </c>
      <c r="AK771" s="828"/>
      <c r="AL771" s="313" t="str">
        <f t="shared" si="1847"/>
        <v/>
      </c>
      <c r="AM771" s="312"/>
      <c r="AN771" s="101"/>
      <c r="AO771" s="101"/>
      <c r="AP771" s="101"/>
      <c r="AQ771" s="101"/>
      <c r="AR771" s="101"/>
      <c r="AS771" s="101"/>
      <c r="AT771" s="101"/>
    </row>
    <row r="772" spans="1:46" ht="12.95" customHeight="1">
      <c r="A772" s="482"/>
      <c r="B772" s="149" t="s">
        <v>475</v>
      </c>
      <c r="D772" s="104"/>
      <c r="E772" s="131"/>
      <c r="G772" s="423"/>
      <c r="H772" s="749"/>
      <c r="I772" s="192"/>
      <c r="J772" s="183"/>
      <c r="K772" s="900"/>
      <c r="L772" s="900"/>
      <c r="M772" s="121"/>
      <c r="N772" s="121"/>
      <c r="O772" s="123"/>
      <c r="P772" s="124"/>
      <c r="Q772" s="124"/>
      <c r="R772" s="83"/>
      <c r="S772" s="82">
        <f>E772*G772</f>
        <v>0</v>
      </c>
      <c r="T772" s="540"/>
      <c r="U772" s="83"/>
      <c r="V772" s="100" t="b">
        <f>IF(G772&gt;0,IF(AD772="me","",G772))</f>
        <v>0</v>
      </c>
      <c r="W772" s="100"/>
      <c r="X772" s="100"/>
      <c r="Y772" s="201"/>
      <c r="Z772" s="829" t="str">
        <f t="shared" si="1829"/>
        <v/>
      </c>
      <c r="AA772" s="829"/>
      <c r="AB772" s="830" t="str">
        <f>IF(G772=0,"",IF(AD772="free","re-planting",IF(AD772="me","not NVP, by",IF($AD$8="yes",(VLOOKUP(A772,'Discount Lookup'!J:K,2)*G772*(1-$AC$1786)*(1+$AC$1788)),IF(AD772="NVP",(VLOOKUP(A772,'Discount Lookup'!J:K,2)*G772*(1-$AC$1786)*(1+$AC$1788)),IF(AD772="free","re-planting",IF(G772=0,"",IF($AD$8="",IF(AD772="me","not NVP, by",IF(AD772="",IF(G772&gt;0,(VLOOKUP(A772,'Discount Lookup'!J:K,2)*G772*(1-$AC$1786)*(1+$AC$1788)),""),"")),"not NVP, by"))))))))</f>
        <v/>
      </c>
      <c r="AC772" s="830"/>
      <c r="AD772" s="375" t="str">
        <f t="shared" si="1853"/>
        <v/>
      </c>
      <c r="AE772" s="833" t="str">
        <f>IF(G772&gt;0,(CONCATENATE((G772)," quantity, ",(A772)," ",#REF!)),"")</f>
        <v/>
      </c>
      <c r="AF772" s="833"/>
      <c r="AG772" s="833"/>
      <c r="AH772" s="91">
        <f>IF(AD772="free",0,IF(AD772="me",0,IF(G772&gt;0,(VLOOKUP(A772,'Discount Lookup'!J:K,2)*G772),0)))</f>
        <v>0</v>
      </c>
      <c r="AI772" s="92" t="str">
        <f>IF(G772=0,"",IF(AD772="free",(#REF!*(1-$H$1784)),IF($AD$8="me",(#REF!*(1-$H$1784)),IF(AD772="me",(#REF!*(1-$H$1784)),(#REF!*(1-$H$1784))+AB772))))</f>
        <v/>
      </c>
      <c r="AJ772" s="828" t="str">
        <f t="shared" si="1831"/>
        <v/>
      </c>
      <c r="AK772" s="828"/>
      <c r="AL772" s="313" t="str">
        <f t="shared" si="1847"/>
        <v/>
      </c>
      <c r="AM772" s="312"/>
      <c r="AN772" s="101"/>
      <c r="AO772" s="101"/>
      <c r="AP772" s="101"/>
      <c r="AQ772" s="101"/>
      <c r="AR772" s="101"/>
      <c r="AS772" s="101"/>
      <c r="AT772" s="101"/>
    </row>
    <row r="773" spans="1:46" ht="12.75" customHeight="1">
      <c r="A773" s="863" t="s">
        <v>476</v>
      </c>
      <c r="B773" s="864"/>
      <c r="C773" s="864"/>
      <c r="D773" s="864"/>
      <c r="E773" s="864"/>
      <c r="F773" s="864"/>
      <c r="G773" s="864"/>
      <c r="H773" s="776" t="s">
        <v>477</v>
      </c>
      <c r="I773" s="88" t="s">
        <v>79</v>
      </c>
      <c r="J773" s="86"/>
      <c r="K773" s="603" t="s">
        <v>45</v>
      </c>
      <c r="L773" s="601" t="s">
        <v>46</v>
      </c>
      <c r="M773" s="86"/>
      <c r="N773" s="87" t="s">
        <v>128</v>
      </c>
      <c r="O773" s="87"/>
      <c r="P773" s="88"/>
      <c r="Q773" s="88"/>
      <c r="R773" s="86"/>
      <c r="S773" s="125"/>
      <c r="T773" s="543"/>
      <c r="U773" s="89" t="s">
        <v>48</v>
      </c>
      <c r="V773" s="100" t="b">
        <f>IF(G773&gt;0,IF(AD773="me","",G773))</f>
        <v>0</v>
      </c>
      <c r="W773" s="100"/>
      <c r="X773" s="100"/>
      <c r="Y773" s="201"/>
      <c r="Z773" s="829" t="str">
        <f t="shared" ref="Z773:Z836" si="1992">IF(G773=0,"",IF(AD773="me","",IF($AD$8="me","",IF(AD773="free","warranty",IF($AD$8="yes","NVP planting:","to NVP install:")))))</f>
        <v/>
      </c>
      <c r="AA773" s="829"/>
      <c r="AB773" s="830" t="str">
        <f>IF(G773=0,"",IF(AD773="free","re-planting",IF(AD773="me","not NVP, by",IF($AD$8="yes",(VLOOKUP(A773,'Discount Lookup'!J:K,2)*G773*(1-$AC$1786)*(1+$AC$1788)),IF(AD773="NVP",(VLOOKUP(A773,'Discount Lookup'!J:K,2)*G773*(1-$AC$1786)*(1+$AC$1788)),IF(AD773="free","re-planting",IF(G773=0,"",IF($AD$8="",IF(AD773="me","not NVP, by",IF(AD773="",IF(G773&gt;0,(VLOOKUP(A773,'Discount Lookup'!J:K,2)*G773*(1-$AC$1786)*(1+$AC$1788)),""),"")),"not NVP, by"))))))))</f>
        <v/>
      </c>
      <c r="AC773" s="830"/>
      <c r="AD773" s="375" t="str">
        <f t="shared" si="1853"/>
        <v/>
      </c>
      <c r="AE773" s="833" t="str">
        <f t="shared" ref="AE773:AE775" si="1993">IF(G773&gt;0,(CONCATENATE((G773)," quantity, ",(A773)," ",B773)),"")</f>
        <v/>
      </c>
      <c r="AF773" s="833"/>
      <c r="AG773" s="833"/>
      <c r="AH773" s="91">
        <f>IF(AD773="free",0,IF(AD773="me",0,IF(G773&gt;0,(VLOOKUP(A773,'Discount Lookup'!J:K,2)*G773),0)))</f>
        <v>0</v>
      </c>
      <c r="AI773" s="92" t="str">
        <f t="shared" ref="AI773:AI804" si="1994">IF(G773=0,"",IF(AD773="free",(K773*(1-$H$1784)),IF($AD$8="me",(K773*(1-$H$1784)),IF(AD773="me",(K773*(1-$H$1784)),(K773*(1-$H$1784))+AB773))))</f>
        <v/>
      </c>
      <c r="AJ773" s="828" t="str">
        <f t="shared" ref="AJ773:AJ836" si="1995">IF(G773=0,"",IF(AD773="me","  delivery-only",IF($AD$8="me","  delivery-only",CONCATENATE(" $",ROUND(AI773/G773,2)," each"))))</f>
        <v/>
      </c>
      <c r="AK773" s="828"/>
      <c r="AL773" s="313" t="str">
        <f t="shared" si="1847"/>
        <v/>
      </c>
      <c r="AM773" s="312"/>
      <c r="AN773" s="101"/>
      <c r="AO773" s="101"/>
      <c r="AP773" s="101"/>
      <c r="AQ773" s="101"/>
      <c r="AR773" s="101"/>
      <c r="AS773" s="101"/>
      <c r="AT773" s="101"/>
    </row>
    <row r="774" spans="1:46" ht="12.95" customHeight="1">
      <c r="A774" s="419">
        <v>20</v>
      </c>
      <c r="B774" s="87" t="s">
        <v>50</v>
      </c>
      <c r="C774" s="128" t="s">
        <v>1234</v>
      </c>
      <c r="D774" s="129" t="s">
        <v>54</v>
      </c>
      <c r="E774" s="98">
        <v>431.95</v>
      </c>
      <c r="F774" s="705" t="s">
        <v>1306</v>
      </c>
      <c r="G774" s="357">
        <v>0</v>
      </c>
      <c r="H774" s="704" t="str">
        <f t="shared" ref="H774" si="1996">IF(G774=0,"",IF(F774="Qty=",IF(G774=1,"plant","plants"),IF(F774&gt;0.0001,"warranty","Error")))</f>
        <v/>
      </c>
      <c r="I774" s="98">
        <f t="shared" ref="I774" si="1997">IF(F774="Qty=",(E774*G774),((E774*(1-F774))*G774))</f>
        <v>0</v>
      </c>
      <c r="J774" s="98">
        <f>IF(H774="warranty",0,(I774*($J$1782)))</f>
        <v>0</v>
      </c>
      <c r="K774" s="831">
        <f t="shared" ref="K774" si="1998">I774+J774</f>
        <v>0</v>
      </c>
      <c r="L774" s="831"/>
      <c r="M774" s="832" t="str">
        <f>IF($H$1784=0,"",IF(G774=0,"",IF(F774="Qty=",CONCATENATE("$",ROUND(K774*(1-$H$1784),2)," with ",($H$1784*100),"% discount"),CONCATENATE("$",ROUND(K774*(1-$H$1784),2)," with ",(($H$1784*100+F774*100)-($H$1784*100*F774)),IF(F774&gt;0,"% discounts",IF($H$1781&gt;0,"% discounts","% discount"))))))</f>
        <v/>
      </c>
      <c r="N774" s="832"/>
      <c r="O774" s="832"/>
      <c r="P774" s="832"/>
      <c r="Q774" s="832"/>
      <c r="R774" s="832"/>
      <c r="S774" s="303">
        <f t="shared" ref="S774" si="1999">E774*G774</f>
        <v>0</v>
      </c>
      <c r="T774" s="541">
        <f>VLOOKUP(A774,'Discount Lookup'!D:E,2,FALSE)*G774</f>
        <v>0</v>
      </c>
      <c r="U774" s="83">
        <f>VLOOKUP(A774,'Discount Lookup'!G:H,2,FALSE)*G774</f>
        <v>0</v>
      </c>
      <c r="V774" s="100">
        <f>E774*($J$1782)*G774</f>
        <v>0</v>
      </c>
      <c r="W774" s="100">
        <f t="shared" ref="W774" si="2000">I774</f>
        <v>0</v>
      </c>
      <c r="X774" s="100" t="b">
        <f>IF(G774&gt;0,IF(AD774="me","",G774))</f>
        <v>0</v>
      </c>
      <c r="Y774" s="201"/>
      <c r="Z774" s="829" t="str">
        <f t="shared" si="1992"/>
        <v/>
      </c>
      <c r="AA774" s="829"/>
      <c r="AB774" s="830" t="str">
        <f>IF(G774=0,"",IF(AD774="free","re-planting",IF(AD774="me","not NVP, by",IF($AD$8="yes",(VLOOKUP(A774,'Discount Lookup'!J:K,2)*G774*(1-$AC$1786)*(1+$AC$1788)),IF(AD774="NVP",(VLOOKUP(A774,'Discount Lookup'!J:K,2)*G774*(1-$AC$1786)*(1+$AC$1788)),IF(AD774="free","re-planting",IF(G774=0,"",IF($AD$8="",IF(AD774="me","not NVP, by",IF(AD774="",IF(G774&gt;0,(VLOOKUP(A774,'Discount Lookup'!J:K,2)*G774*(1-$AC$1786)*(1+$AC$1788)),""),"")),"not NVP, by"))))))))</f>
        <v/>
      </c>
      <c r="AC774" s="830"/>
      <c r="AD774" s="375" t="str">
        <f t="shared" ref="AD774:AD826" si="2001">IF(G774=0,"",IF($AD$8="me","me",IF(H774="warranty","free",IF($AD$8="yes","NVP",""))))</f>
        <v/>
      </c>
      <c r="AE774" s="833" t="str">
        <f t="shared" si="1993"/>
        <v/>
      </c>
      <c r="AF774" s="833"/>
      <c r="AG774" s="833"/>
      <c r="AH774" s="91">
        <f>IF(AD774="free",0,IF(AD774="me",0,IF(G774&gt;0,(VLOOKUP(A774,'Discount Lookup'!J:K,2)*G774),0)))</f>
        <v>0</v>
      </c>
      <c r="AI774" s="92" t="str">
        <f t="shared" si="1994"/>
        <v/>
      </c>
      <c r="AJ774" s="828" t="str">
        <f t="shared" si="1995"/>
        <v/>
      </c>
      <c r="AK774" s="828"/>
      <c r="AL774" s="313" t="str">
        <f t="shared" si="1847"/>
        <v/>
      </c>
      <c r="AM774" s="312"/>
      <c r="AN774" s="101"/>
      <c r="AO774" s="101"/>
      <c r="AP774" s="101"/>
      <c r="AQ774" s="101"/>
      <c r="AR774" s="101"/>
      <c r="AS774" s="101"/>
      <c r="AT774" s="101"/>
    </row>
    <row r="775" spans="1:46" ht="12.95" customHeight="1">
      <c r="A775" s="469"/>
      <c r="B775" s="149" t="s">
        <v>478</v>
      </c>
      <c r="C775" s="130"/>
      <c r="D775" s="104"/>
      <c r="E775" s="131"/>
      <c r="G775" s="362"/>
      <c r="H775" s="749"/>
      <c r="M775" s="121"/>
      <c r="N775" s="121"/>
      <c r="O775" s="123"/>
      <c r="P775" s="124"/>
      <c r="Q775" s="124"/>
      <c r="R775" s="83"/>
      <c r="S775" s="82">
        <f>E775*G775</f>
        <v>0</v>
      </c>
      <c r="T775" s="540"/>
      <c r="U775" s="83"/>
      <c r="V775" s="100" t="b">
        <f>IF(G775&gt;0,IF(AD775="me","",G775))</f>
        <v>0</v>
      </c>
      <c r="W775" s="100"/>
      <c r="X775" s="100"/>
      <c r="Y775" s="201"/>
      <c r="Z775" s="829" t="str">
        <f t="shared" si="1992"/>
        <v/>
      </c>
      <c r="AA775" s="829"/>
      <c r="AB775" s="830" t="str">
        <f>IF(G775=0,"",IF(AD775="free","re-planting",IF(AD775="me","not NVP, by",IF($AD$8="yes",(VLOOKUP(A775,'Discount Lookup'!J:K,2)*G775*(1-$AC$1786)*(1+$AC$1788)),IF(AD775="NVP",(VLOOKUP(A775,'Discount Lookup'!J:K,2)*G775*(1-$AC$1786)*(1+$AC$1788)),IF(AD775="free","re-planting",IF(G775=0,"",IF($AD$8="",IF(AD775="me","not NVP, by",IF(AD775="",IF(G775&gt;0,(VLOOKUP(A775,'Discount Lookup'!J:K,2)*G775*(1-$AC$1786)*(1+$AC$1788)),""),"")),"not NVP, by"))))))))</f>
        <v/>
      </c>
      <c r="AC775" s="830"/>
      <c r="AD775" s="375" t="str">
        <f t="shared" si="2001"/>
        <v/>
      </c>
      <c r="AE775" s="833" t="str">
        <f t="shared" si="1993"/>
        <v/>
      </c>
      <c r="AF775" s="833"/>
      <c r="AG775" s="833"/>
      <c r="AH775" s="91">
        <f>IF(AD775="free",0,IF(AD775="me",0,IF(G775&gt;0,(VLOOKUP(A775,'Discount Lookup'!J:K,2)*G775),0)))</f>
        <v>0</v>
      </c>
      <c r="AI775" s="92" t="str">
        <f t="shared" si="1994"/>
        <v/>
      </c>
      <c r="AJ775" s="828" t="str">
        <f t="shared" si="1995"/>
        <v/>
      </c>
      <c r="AK775" s="828"/>
      <c r="AL775" s="313" t="str">
        <f t="shared" si="1847"/>
        <v/>
      </c>
      <c r="AM775" s="312"/>
      <c r="AN775" s="101"/>
      <c r="AO775" s="101"/>
      <c r="AP775" s="101"/>
      <c r="AQ775" s="101"/>
      <c r="AR775" s="101"/>
      <c r="AS775" s="101"/>
      <c r="AT775" s="101"/>
    </row>
    <row r="776" spans="1:46" ht="12.95" customHeight="1">
      <c r="A776" s="896" t="s">
        <v>1557</v>
      </c>
      <c r="B776" s="897"/>
      <c r="C776" s="897"/>
      <c r="D776" s="897"/>
      <c r="E776" s="897"/>
      <c r="F776" s="897"/>
      <c r="G776" s="897"/>
      <c r="H776" s="776" t="s">
        <v>479</v>
      </c>
      <c r="I776" s="88" t="s">
        <v>79</v>
      </c>
      <c r="J776" s="86"/>
      <c r="K776" s="603" t="s">
        <v>45</v>
      </c>
      <c r="L776" s="601" t="s">
        <v>46</v>
      </c>
      <c r="M776" s="86"/>
      <c r="N776" s="87" t="s">
        <v>128</v>
      </c>
      <c r="O776" s="87"/>
      <c r="P776" s="88"/>
      <c r="Q776" s="1045" t="s">
        <v>221</v>
      </c>
      <c r="R776" s="1046"/>
      <c r="S776" s="1046"/>
      <c r="T776" s="1046"/>
      <c r="U776" s="1046"/>
      <c r="V776" s="100" t="b">
        <f>IF(G776&gt;0,IF(AD776="me","",G776))</f>
        <v>0</v>
      </c>
      <c r="W776" s="100"/>
      <c r="X776" s="100"/>
      <c r="Y776" s="201"/>
      <c r="Z776" s="829" t="str">
        <f t="shared" si="1992"/>
        <v/>
      </c>
      <c r="AA776" s="829"/>
      <c r="AB776" s="830" t="str">
        <f>IF(G776=0,"",IF(AD776="free","re-planting",IF(AD776="me","not NVP, by",IF($AD$8="yes",(VLOOKUP(A776,'Discount Lookup'!J:K,2)*G776*(1-$AC$1786)*(1+$AC$1788)),IF(AD776="NVP",(VLOOKUP(A776,'Discount Lookup'!J:K,2)*G776*(1-$AC$1786)*(1+$AC$1788)),IF(AD776="free","re-planting",IF(G776=0,"",IF($AD$8="",IF(AD776="me","not NVP, by",IF(AD776="",IF(G776&gt;0,(VLOOKUP(A776,'Discount Lookup'!J:K,2)*G776*(1-$AC$1786)*(1+$AC$1788)),""),"")),"not NVP, by"))))))))</f>
        <v/>
      </c>
      <c r="AC776" s="830"/>
      <c r="AD776" s="375" t="str">
        <f t="shared" si="2001"/>
        <v/>
      </c>
      <c r="AE776" s="833" t="str">
        <f t="shared" ref="AE776:AE844" si="2002">IF(G776&gt;0,(CONCATENATE((G776)," quantity, ",(A776)," ",B776)),"")</f>
        <v/>
      </c>
      <c r="AF776" s="833"/>
      <c r="AG776" s="833"/>
      <c r="AH776" s="91">
        <f>IF(AD776="free",0,IF(AD776="me",0,IF(G776&gt;0,(VLOOKUP(A776,'Discount Lookup'!J:K,2)*G776),0)))</f>
        <v>0</v>
      </c>
      <c r="AI776" s="92" t="str">
        <f t="shared" si="1994"/>
        <v/>
      </c>
      <c r="AJ776" s="828" t="str">
        <f t="shared" si="1995"/>
        <v/>
      </c>
      <c r="AK776" s="828"/>
      <c r="AL776" s="313" t="str">
        <f t="shared" si="1847"/>
        <v/>
      </c>
      <c r="AM776" s="312"/>
      <c r="AN776" s="101"/>
      <c r="AO776" s="101"/>
      <c r="AP776" s="101"/>
      <c r="AQ776" s="101"/>
      <c r="AR776" s="101"/>
      <c r="AS776" s="101"/>
      <c r="AT776" s="101"/>
    </row>
    <row r="777" spans="1:46" ht="12.95" customHeight="1">
      <c r="A777" s="419">
        <v>3</v>
      </c>
      <c r="B777" s="87" t="s">
        <v>50</v>
      </c>
      <c r="C777" s="128" t="s">
        <v>51</v>
      </c>
      <c r="D777" s="129" t="s">
        <v>87</v>
      </c>
      <c r="E777" s="98">
        <v>33.950000000000003</v>
      </c>
      <c r="F777" s="705" t="s">
        <v>1306</v>
      </c>
      <c r="G777" s="357">
        <v>0</v>
      </c>
      <c r="H777" s="704" t="str">
        <f t="shared" ref="H777:H778" si="2003">IF(G777=0,"",IF(F777="Qty=",IF(G777=1,"plant","plants"),IF(F777&gt;0.0001,"warranty","Error")))</f>
        <v/>
      </c>
      <c r="I777" s="98">
        <f t="shared" ref="I777:I778" si="2004">IF(F777="Qty=",(E777*G777),((E777*(1-F777))*G777))</f>
        <v>0</v>
      </c>
      <c r="J777" s="98">
        <f>IF(H777="warranty",0,(I777*($J$1782)))</f>
        <v>0</v>
      </c>
      <c r="K777" s="831">
        <f t="shared" ref="K777:K778" si="2005">I777+J777</f>
        <v>0</v>
      </c>
      <c r="L777" s="831"/>
      <c r="M777" s="832" t="str">
        <f>IF($H$1784=0,"",IF(G777=0,"",IF(F777="Qty=",CONCATENATE("$",ROUND(K777*(1-$H$1784),2)," with ",($H$1784*100),"% discount"),CONCATENATE("$",ROUND(K777*(1-$H$1784),2)," with ",(($H$1784*100+F777*100)-($H$1784*100*F777)),IF(F777&gt;0,"% discounts",IF($H$1781&gt;0,"% discounts","% discount"))))))</f>
        <v/>
      </c>
      <c r="N777" s="832"/>
      <c r="O777" s="832"/>
      <c r="P777" s="832"/>
      <c r="Q777" s="832"/>
      <c r="R777" s="832"/>
      <c r="S777" s="303">
        <f t="shared" ref="S777" si="2006">E777*G777</f>
        <v>0</v>
      </c>
      <c r="T777" s="541">
        <f>VLOOKUP(A777,'Discount Lookup'!D:E,2,FALSE)*G777</f>
        <v>0</v>
      </c>
      <c r="U777" s="83">
        <f>VLOOKUP(A777,'Discount Lookup'!G:H,2,FALSE)*G777</f>
        <v>0</v>
      </c>
      <c r="V777" s="100">
        <f>E777*($J$1782)*G777</f>
        <v>0</v>
      </c>
      <c r="W777" s="100">
        <f t="shared" ref="W777" si="2007">I777</f>
        <v>0</v>
      </c>
      <c r="X777" s="100" t="b">
        <f>IF(G777&gt;0,IF(AD777="me","",G777))</f>
        <v>0</v>
      </c>
      <c r="Y777" s="201"/>
      <c r="Z777" s="829" t="str">
        <f t="shared" si="1992"/>
        <v/>
      </c>
      <c r="AA777" s="829"/>
      <c r="AB777" s="830" t="str">
        <f>IF(G777=0,"",IF(AD777="free","re-planting",IF(AD777="me","not NVP, by",IF($AD$8="yes",(VLOOKUP(A777,'Discount Lookup'!J:K,2)*G777*(1-$AC$1786)*(1+$AC$1788)),IF(AD777="NVP",(VLOOKUP(A777,'Discount Lookup'!J:K,2)*G777*(1-$AC$1786)*(1+$AC$1788)),IF(AD777="free","re-planting",IF(G777=0,"",IF($AD$8="",IF(AD777="me","not NVP, by",IF(AD777="",IF(G777&gt;0,(VLOOKUP(A777,'Discount Lookup'!J:K,2)*G777*(1-$AC$1786)*(1+$AC$1788)),""),"")),"not NVP, by"))))))))</f>
        <v/>
      </c>
      <c r="AC777" s="830"/>
      <c r="AD777" s="375" t="str">
        <f t="shared" si="2001"/>
        <v/>
      </c>
      <c r="AE777" s="833" t="str">
        <f t="shared" si="2002"/>
        <v/>
      </c>
      <c r="AF777" s="833"/>
      <c r="AG777" s="833"/>
      <c r="AH777" s="91">
        <f>IF(AD777="free",0,IF(AD777="me",0,IF(G777&gt;0,(VLOOKUP(A777,'Discount Lookup'!J:K,2)*G777),0)))</f>
        <v>0</v>
      </c>
      <c r="AI777" s="92" t="str">
        <f t="shared" si="1994"/>
        <v/>
      </c>
      <c r="AJ777" s="828" t="str">
        <f t="shared" si="1995"/>
        <v/>
      </c>
      <c r="AK777" s="828"/>
      <c r="AL777" s="313" t="str">
        <f t="shared" si="1847"/>
        <v/>
      </c>
      <c r="AM777" s="312"/>
      <c r="AN777" s="101"/>
      <c r="AO777" s="101"/>
      <c r="AP777" s="101"/>
      <c r="AQ777" s="101"/>
      <c r="AR777" s="101"/>
      <c r="AS777" s="101"/>
      <c r="AT777" s="101"/>
    </row>
    <row r="778" spans="1:46" ht="12.95" customHeight="1">
      <c r="A778" s="419">
        <v>3</v>
      </c>
      <c r="B778" s="87" t="s">
        <v>50</v>
      </c>
      <c r="C778" s="128" t="s">
        <v>51</v>
      </c>
      <c r="D778" s="129" t="s">
        <v>63</v>
      </c>
      <c r="E778" s="98">
        <v>36.950000000000003</v>
      </c>
      <c r="F778" s="705" t="s">
        <v>1306</v>
      </c>
      <c r="G778" s="357">
        <v>0</v>
      </c>
      <c r="H778" s="704" t="str">
        <f t="shared" si="2003"/>
        <v/>
      </c>
      <c r="I778" s="98">
        <f t="shared" si="2004"/>
        <v>0</v>
      </c>
      <c r="J778" s="98">
        <f>IF(H778="warranty",0,(I778*($J$1782)))</f>
        <v>0</v>
      </c>
      <c r="K778" s="831">
        <f t="shared" si="2005"/>
        <v>0</v>
      </c>
      <c r="L778" s="831"/>
      <c r="M778" s="832" t="str">
        <f>IF($H$1784=0,"",IF(G778=0,"",IF(F778="Qty=",CONCATENATE("$",ROUND(K778*(1-$H$1784),2)," with ",($H$1784*100),"% discount"),CONCATENATE("$",ROUND(K778*(1-$H$1784),2)," with ",(($H$1784*100+F778*100)-($H$1784*100*F778)),IF(F778&gt;0,"% discounts",IF($H$1781&gt;0,"% discounts","% discount"))))))</f>
        <v/>
      </c>
      <c r="N778" s="832"/>
      <c r="O778" s="832"/>
      <c r="P778" s="832"/>
      <c r="Q778" s="832"/>
      <c r="R778" s="832"/>
      <c r="S778" s="303">
        <f t="shared" ref="S778" si="2008">E778*G778</f>
        <v>0</v>
      </c>
      <c r="T778" s="541">
        <f>VLOOKUP(A778,'Discount Lookup'!D:E,2,FALSE)*G778</f>
        <v>0</v>
      </c>
      <c r="U778" s="83">
        <f>VLOOKUP(A778,'Discount Lookup'!G:H,2,FALSE)*G778</f>
        <v>0</v>
      </c>
      <c r="V778" s="100">
        <f>E778*($J$1782)*G778</f>
        <v>0</v>
      </c>
      <c r="W778" s="100">
        <f t="shared" ref="W778" si="2009">I778</f>
        <v>0</v>
      </c>
      <c r="X778" s="100" t="b">
        <f>IF(G778&gt;0,IF(AD778="me","",G778))</f>
        <v>0</v>
      </c>
      <c r="Y778" s="201"/>
      <c r="Z778" s="829" t="str">
        <f t="shared" si="1992"/>
        <v/>
      </c>
      <c r="AA778" s="829"/>
      <c r="AB778" s="830" t="str">
        <f>IF(G778=0,"",IF(AD778="free","re-planting",IF(AD778="me","not NVP, by",IF($AD$8="yes",(VLOOKUP(A778,'Discount Lookup'!J:K,2)*G778*(1-$AC$1786)*(1+$AC$1788)),IF(AD778="NVP",(VLOOKUP(A778,'Discount Lookup'!J:K,2)*G778*(1-$AC$1786)*(1+$AC$1788)),IF(AD778="free","re-planting",IF(G778=0,"",IF($AD$8="",IF(AD778="me","not NVP, by",IF(AD778="",IF(G778&gt;0,(VLOOKUP(A778,'Discount Lookup'!J:K,2)*G778*(1-$AC$1786)*(1+$AC$1788)),""),"")),"not NVP, by"))))))))</f>
        <v/>
      </c>
      <c r="AC778" s="830"/>
      <c r="AD778" s="375" t="str">
        <f t="shared" si="2001"/>
        <v/>
      </c>
      <c r="AE778" s="833" t="str">
        <f t="shared" si="2002"/>
        <v/>
      </c>
      <c r="AF778" s="833"/>
      <c r="AG778" s="833"/>
      <c r="AH778" s="91">
        <f>IF(AD778="free",0,IF(AD778="me",0,IF(G778&gt;0,(VLOOKUP(A778,'Discount Lookup'!J:K,2)*G778),0)))</f>
        <v>0</v>
      </c>
      <c r="AI778" s="92" t="str">
        <f t="shared" si="1994"/>
        <v/>
      </c>
      <c r="AJ778" s="828" t="str">
        <f t="shared" si="1995"/>
        <v/>
      </c>
      <c r="AK778" s="828"/>
      <c r="AL778" s="313" t="str">
        <f t="shared" si="1847"/>
        <v/>
      </c>
      <c r="AM778" s="312"/>
      <c r="AN778" s="101"/>
      <c r="AO778" s="101"/>
      <c r="AP778" s="101"/>
      <c r="AQ778" s="101"/>
      <c r="AR778" s="101"/>
      <c r="AS778" s="101"/>
      <c r="AT778" s="101"/>
    </row>
    <row r="779" spans="1:46" ht="12.95" customHeight="1">
      <c r="A779" s="468"/>
      <c r="B779" s="149" t="s">
        <v>480</v>
      </c>
      <c r="C779" s="118"/>
      <c r="D779" s="118"/>
      <c r="E779" s="119"/>
      <c r="F779" s="711"/>
      <c r="G779" s="358"/>
      <c r="H779" s="745"/>
      <c r="I779" s="119"/>
      <c r="J779" s="119"/>
      <c r="K779" s="609"/>
      <c r="L779" s="609"/>
      <c r="M779" s="121"/>
      <c r="N779" s="145"/>
      <c r="O779" s="123"/>
      <c r="P779" s="124"/>
      <c r="Q779" s="124"/>
      <c r="R779" s="83"/>
      <c r="S779" s="82">
        <f>E779*G779</f>
        <v>0</v>
      </c>
      <c r="T779" s="540"/>
      <c r="U779" s="83"/>
      <c r="V779" s="100" t="b">
        <f>IF(G779&gt;0,IF(AD779="me","",G779))</f>
        <v>0</v>
      </c>
      <c r="W779" s="100"/>
      <c r="X779" s="100"/>
      <c r="Y779" s="201"/>
      <c r="Z779" s="829" t="str">
        <f t="shared" si="1992"/>
        <v/>
      </c>
      <c r="AA779" s="829"/>
      <c r="AB779" s="830" t="str">
        <f>IF(G779=0,"",IF(AD779="free","re-planting",IF(AD779="me","not NVP, by",IF($AD$8="yes",(VLOOKUP(A779,'Discount Lookup'!J:K,2)*G779*(1-$AC$1786)*(1+$AC$1788)),IF(AD779="NVP",(VLOOKUP(A779,'Discount Lookup'!J:K,2)*G779*(1-$AC$1786)*(1+$AC$1788)),IF(AD779="free","re-planting",IF(G779=0,"",IF($AD$8="",IF(AD779="me","not NVP, by",IF(AD779="",IF(G779&gt;0,(VLOOKUP(A779,'Discount Lookup'!J:K,2)*G779*(1-$AC$1786)*(1+$AC$1788)),""),"")),"not NVP, by"))))))))</f>
        <v/>
      </c>
      <c r="AC779" s="830"/>
      <c r="AD779" s="375" t="str">
        <f t="shared" si="2001"/>
        <v/>
      </c>
      <c r="AE779" s="833" t="str">
        <f t="shared" si="2002"/>
        <v/>
      </c>
      <c r="AF779" s="833"/>
      <c r="AG779" s="833"/>
      <c r="AH779" s="91">
        <f>IF(AD779="free",0,IF(AD779="me",0,IF(G779&gt;0,(VLOOKUP(A779,'Discount Lookup'!J:K,2)*G779),0)))</f>
        <v>0</v>
      </c>
      <c r="AI779" s="92" t="str">
        <f t="shared" si="1994"/>
        <v/>
      </c>
      <c r="AJ779" s="828" t="str">
        <f t="shared" si="1995"/>
        <v/>
      </c>
      <c r="AK779" s="828"/>
      <c r="AL779" s="313" t="str">
        <f t="shared" ref="AL779:AL842" si="2010">IF(AD779="free","      ~ discounts included, no tax or planting fee applies ~",IF(G779=0,"",IF($AD$8="me",CONCATENATE(" $",ROUND(AI779/G779,2)," per plant, with tax &amp; discount"),IF(AD779="me",CONCATENATE(" $",ROUND(AI779/G779,2)," per plant, with tax &amp; discount"),CONCATENATE("= $",ROUND((K779*(1-$H$1784))/G779,2)," per plant + $",AB779/G779,(" per planting      ~ includes tax &amp; discounts ~"))))))</f>
        <v/>
      </c>
      <c r="AM779" s="312"/>
      <c r="AN779" s="101"/>
      <c r="AO779" s="101"/>
      <c r="AP779" s="101"/>
      <c r="AQ779" s="101"/>
      <c r="AR779" s="101"/>
      <c r="AS779" s="101"/>
      <c r="AT779" s="101"/>
    </row>
    <row r="780" spans="1:46" ht="13.5" customHeight="1">
      <c r="A780" s="896" t="s">
        <v>534</v>
      </c>
      <c r="B780" s="897"/>
      <c r="C780" s="897"/>
      <c r="D780" s="897"/>
      <c r="E780" s="897"/>
      <c r="F780" s="897"/>
      <c r="G780" s="897"/>
      <c r="H780" s="776" t="s">
        <v>253</v>
      </c>
      <c r="I780" s="88" t="s">
        <v>79</v>
      </c>
      <c r="J780" s="86"/>
      <c r="K780" s="603" t="s">
        <v>45</v>
      </c>
      <c r="L780" s="601" t="s">
        <v>46</v>
      </c>
      <c r="M780" s="86"/>
      <c r="N780" s="87" t="s">
        <v>69</v>
      </c>
      <c r="O780" s="87"/>
      <c r="P780" s="88"/>
      <c r="Q780" s="88"/>
      <c r="R780" s="86"/>
      <c r="S780" s="125"/>
      <c r="T780" s="543"/>
      <c r="U780" s="112"/>
      <c r="V780" s="100" t="b">
        <f>IF(G780&gt;0,IF(AD780="me","",G780))</f>
        <v>0</v>
      </c>
      <c r="W780" s="100"/>
      <c r="X780" s="100"/>
      <c r="Y780" s="201"/>
      <c r="Z780" s="829" t="str">
        <f t="shared" ref="Z780:Z785" si="2011">IF(G780=0,"",IF(AD780="me","",IF($AD$8="me","",IF(AD780="free","warranty",IF($AD$8="yes","NVP planting:","to NVP install:")))))</f>
        <v/>
      </c>
      <c r="AA780" s="829"/>
      <c r="AB780" s="830" t="str">
        <f>IF(G780=0,"",IF(AD780="free","re-planting",IF(AD780="me","not NVP, by",IF($AD$8="yes",(VLOOKUP(A780,'Discount Lookup'!J:K,2)*G780*(1-$AC$1786)*(1+$AC$1788)),IF(AD780="NVP",(VLOOKUP(A780,'Discount Lookup'!J:K,2)*G780*(1-$AC$1786)*(1+$AC$1788)),IF(AD780="free","re-planting",IF(G780=0,"",IF($AD$8="",IF(AD780="me","not NVP, by",IF(AD780="",IF(G780&gt;0,(VLOOKUP(A780,'Discount Lookup'!J:K,2)*G780*(1-$AC$1786)*(1+$AC$1788)),""),"")),"not NVP, by"))))))))</f>
        <v/>
      </c>
      <c r="AC780" s="830"/>
      <c r="AD780" s="375" t="str">
        <f t="shared" si="2001"/>
        <v/>
      </c>
      <c r="AE780" s="833" t="str">
        <f>IF(G780&gt;0,(CONCATENATE((G780)," quantity, ",(A780)," ",B780)),"")</f>
        <v/>
      </c>
      <c r="AF780" s="833"/>
      <c r="AG780" s="833"/>
      <c r="AH780" s="91">
        <f>IF(AD780="free",0,IF(AD780="me",0,IF(G780&gt;0,(VLOOKUP(A780,'Discount Lookup'!J:K,2)*G780),0)))</f>
        <v>0</v>
      </c>
      <c r="AI780" s="92" t="str">
        <f t="shared" si="1994"/>
        <v/>
      </c>
      <c r="AJ780" s="828" t="str">
        <f t="shared" ref="AJ780:AJ785" si="2012">IF(G780=0,"",IF(AD780="me","  delivery-only",IF($AD$8="me","  delivery-only",CONCATENATE(" $",ROUND(AI780/G780,2)," each"))))</f>
        <v/>
      </c>
      <c r="AK780" s="828"/>
      <c r="AL780" s="313" t="str">
        <f t="shared" si="2010"/>
        <v/>
      </c>
      <c r="AM780" s="312"/>
      <c r="AN780" s="101"/>
      <c r="AO780" s="101"/>
      <c r="AP780" s="101"/>
      <c r="AQ780" s="101"/>
      <c r="AR780" s="101"/>
      <c r="AS780" s="101"/>
      <c r="AT780" s="101"/>
    </row>
    <row r="781" spans="1:46" ht="12.95" customHeight="1">
      <c r="A781" s="419">
        <v>3</v>
      </c>
      <c r="B781" s="87" t="s">
        <v>50</v>
      </c>
      <c r="C781" s="128" t="s">
        <v>505</v>
      </c>
      <c r="D781" s="129" t="s">
        <v>63</v>
      </c>
      <c r="E781" s="98">
        <v>33.950000000000003</v>
      </c>
      <c r="F781" s="705" t="s">
        <v>1306</v>
      </c>
      <c r="G781" s="357">
        <v>0</v>
      </c>
      <c r="H781" s="704" t="str">
        <f t="shared" ref="H781:H784" si="2013">IF(G781=0,"",IF(F781="Qty=",IF(G781=1,"plant","plants"),IF(F781&gt;0.0001,"warranty","Error")))</f>
        <v/>
      </c>
      <c r="I781" s="98">
        <f t="shared" ref="I781:I784" si="2014">IF(F781="Qty=",(E781*G781),((E781*(1-F781))*G781))</f>
        <v>0</v>
      </c>
      <c r="J781" s="98">
        <f>IF(H781="warranty",0,(I781*($J$1782)))</f>
        <v>0</v>
      </c>
      <c r="K781" s="831">
        <f t="shared" ref="K781:K784" si="2015">I781+J781</f>
        <v>0</v>
      </c>
      <c r="L781" s="831"/>
      <c r="M781" s="832" t="str">
        <f>IF($H$1784=0,"",IF(G781=0,"",IF(F781="Qty=",CONCATENATE("$",ROUND(K781*(1-$H$1784),2)," with ",($H$1784*100),"% discount"),CONCATENATE("$",ROUND(K781*(1-$H$1784),2)," with ",(($H$1784*100+F781*100)-($H$1784*100*F781)),IF(F781&gt;0,"% discounts",IF($H$1781&gt;0,"% discounts","% discount"))))))</f>
        <v/>
      </c>
      <c r="N781" s="832"/>
      <c r="O781" s="832"/>
      <c r="P781" s="832"/>
      <c r="Q781" s="832"/>
      <c r="R781" s="832"/>
      <c r="S781" s="303">
        <f t="shared" ref="S781" si="2016">E781*G781</f>
        <v>0</v>
      </c>
      <c r="T781" s="541">
        <f>VLOOKUP(A781,'Discount Lookup'!D:E,2,FALSE)*G781</f>
        <v>0</v>
      </c>
      <c r="U781" s="83">
        <f>VLOOKUP(A781,'Discount Lookup'!G:H,2,FALSE)*G781</f>
        <v>0</v>
      </c>
      <c r="V781" s="100">
        <f>E781*($J$1782)*G781</f>
        <v>0</v>
      </c>
      <c r="W781" s="100">
        <f t="shared" ref="W781" si="2017">I781</f>
        <v>0</v>
      </c>
      <c r="X781" s="100" t="b">
        <f>IF(G781&gt;0,IF(AD781="me","",G781))</f>
        <v>0</v>
      </c>
      <c r="Y781" s="201"/>
      <c r="Z781" s="829" t="str">
        <f t="shared" si="2011"/>
        <v/>
      </c>
      <c r="AA781" s="829"/>
      <c r="AB781" s="830" t="str">
        <f>IF(G781=0,"",IF(AD781="free","re-planting",IF(AD781="me","not NVP, by",IF($AD$8="yes",(VLOOKUP(A781,'Discount Lookup'!J:K,2)*G781*(1-$AC$1786)*(1+$AC$1788)),IF(AD781="NVP",(VLOOKUP(A781,'Discount Lookup'!J:K,2)*G781*(1-$AC$1786)*(1+$AC$1788)),IF(AD781="free","re-planting",IF(G781=0,"",IF($AD$8="",IF(AD781="me","not NVP, by",IF(AD781="",IF(G781&gt;0,(VLOOKUP(A781,'Discount Lookup'!J:K,2)*G781*(1-$AC$1786)*(1+$AC$1788)),""),"")),"not NVP, by"))))))))</f>
        <v/>
      </c>
      <c r="AC781" s="830"/>
      <c r="AD781" s="375" t="str">
        <f t="shared" si="2001"/>
        <v/>
      </c>
      <c r="AE781" s="833" t="str">
        <f t="shared" ref="AE781" si="2018">IF(G781&gt;0,(CONCATENATE((G781)," quantity, ",(A781)," ",B781)),"")</f>
        <v/>
      </c>
      <c r="AF781" s="833"/>
      <c r="AG781" s="833"/>
      <c r="AH781" s="91">
        <f>IF(AD781="free",0,IF(AD781="me",0,IF(G781&gt;0,(VLOOKUP(A781,'Discount Lookup'!J:K,2)*G781),0)))</f>
        <v>0</v>
      </c>
      <c r="AI781" s="92" t="str">
        <f t="shared" si="1994"/>
        <v/>
      </c>
      <c r="AJ781" s="828" t="str">
        <f t="shared" si="2012"/>
        <v/>
      </c>
      <c r="AK781" s="828"/>
      <c r="AL781" s="313" t="str">
        <f t="shared" si="2010"/>
        <v/>
      </c>
      <c r="AM781" s="312"/>
      <c r="AN781" s="101"/>
      <c r="AO781" s="101"/>
      <c r="AP781" s="101"/>
      <c r="AQ781" s="101"/>
      <c r="AR781" s="101"/>
      <c r="AS781" s="101"/>
      <c r="AT781" s="101"/>
    </row>
    <row r="782" spans="1:46" ht="12.95" customHeight="1">
      <c r="A782" s="419">
        <v>7</v>
      </c>
      <c r="B782" s="87" t="s">
        <v>50</v>
      </c>
      <c r="C782" s="128" t="s">
        <v>1462</v>
      </c>
      <c r="D782" s="129" t="s">
        <v>54</v>
      </c>
      <c r="E782" s="98">
        <v>95.95</v>
      </c>
      <c r="F782" s="705" t="s">
        <v>1306</v>
      </c>
      <c r="G782" s="357">
        <v>0</v>
      </c>
      <c r="H782" s="704" t="str">
        <f t="shared" si="2013"/>
        <v/>
      </c>
      <c r="I782" s="98">
        <f t="shared" si="2014"/>
        <v>0</v>
      </c>
      <c r="J782" s="98">
        <f>IF(H782="warranty",0,(I782*($J$1782)))</f>
        <v>0</v>
      </c>
      <c r="K782" s="831">
        <f t="shared" si="2015"/>
        <v>0</v>
      </c>
      <c r="L782" s="831"/>
      <c r="M782" s="832" t="str">
        <f>IF($H$1784=0,"",IF(G782=0,"",IF(F782="Qty=",CONCATENATE("$",ROUND(K782*(1-$H$1784),2)," with ",($H$1784*100),"% discount"),CONCATENATE("$",ROUND(K782*(1-$H$1784),2)," with ",(($H$1784*100+F782*100)-($H$1784*100*F782)),IF(F782&gt;0,"% discounts",IF($H$1781&gt;0,"% discounts","% discount"))))))</f>
        <v/>
      </c>
      <c r="N782" s="832"/>
      <c r="O782" s="832"/>
      <c r="P782" s="832"/>
      <c r="Q782" s="832"/>
      <c r="R782" s="832"/>
      <c r="S782" s="303">
        <f t="shared" ref="S782" si="2019">E782*G782</f>
        <v>0</v>
      </c>
      <c r="T782" s="541">
        <f>VLOOKUP(A782,'Discount Lookup'!D:E,2,FALSE)*G782</f>
        <v>0</v>
      </c>
      <c r="U782" s="83">
        <f>VLOOKUP(A782,'Discount Lookup'!G:H,2,FALSE)*G782</f>
        <v>0</v>
      </c>
      <c r="V782" s="100">
        <f>E782*($J$1782)*G782</f>
        <v>0</v>
      </c>
      <c r="W782" s="100">
        <f t="shared" ref="W782" si="2020">I782</f>
        <v>0</v>
      </c>
      <c r="X782" s="100" t="b">
        <f>IF(G782&gt;0,IF(AD782="me","",G782))</f>
        <v>0</v>
      </c>
      <c r="Y782" s="201"/>
      <c r="Z782" s="829" t="str">
        <f t="shared" si="2011"/>
        <v/>
      </c>
      <c r="AA782" s="829"/>
      <c r="AB782" s="830" t="str">
        <f>IF(G782=0,"",IF(AD782="free","re-planting",IF(AD782="me","not NVP, by",IF($AD$8="yes",(VLOOKUP(A782,'Discount Lookup'!J:K,2)*G782*(1-$AC$1786)*(1+$AC$1788)),IF(AD782="NVP",(VLOOKUP(A782,'Discount Lookup'!J:K,2)*G782*(1-$AC$1786)*(1+$AC$1788)),IF(AD782="free","re-planting",IF(G782=0,"",IF($AD$8="",IF(AD782="me","not NVP, by",IF(AD782="",IF(G782&gt;0,(VLOOKUP(A782,'Discount Lookup'!J:K,2)*G782*(1-$AC$1786)*(1+$AC$1788)),""),"")),"not NVP, by"))))))))</f>
        <v/>
      </c>
      <c r="AC782" s="830"/>
      <c r="AD782" s="375" t="str">
        <f t="shared" si="2001"/>
        <v/>
      </c>
      <c r="AE782" s="833" t="str">
        <f t="shared" ref="AE782" si="2021">IF(G782&gt;0,(CONCATENATE((G782)," quantity, ",(A782)," ",B782)),"")</f>
        <v/>
      </c>
      <c r="AF782" s="833"/>
      <c r="AG782" s="833"/>
      <c r="AH782" s="91">
        <f>IF(AD782="free",0,IF(AD782="me",0,IF(G782&gt;0,(VLOOKUP(A782,'Discount Lookup'!J:K,2)*G782),0)))</f>
        <v>0</v>
      </c>
      <c r="AI782" s="92" t="str">
        <f t="shared" si="1994"/>
        <v/>
      </c>
      <c r="AJ782" s="828" t="str">
        <f t="shared" si="2012"/>
        <v/>
      </c>
      <c r="AK782" s="828"/>
      <c r="AL782" s="313" t="str">
        <f t="shared" si="2010"/>
        <v/>
      </c>
      <c r="AM782" s="312"/>
      <c r="AN782" s="101"/>
      <c r="AO782" s="101"/>
      <c r="AP782" s="101"/>
      <c r="AQ782" s="101"/>
      <c r="AR782" s="101"/>
      <c r="AS782" s="101"/>
      <c r="AT782" s="101"/>
    </row>
    <row r="783" spans="1:46" ht="12.95" customHeight="1">
      <c r="A783" s="419">
        <v>7</v>
      </c>
      <c r="B783" s="87" t="s">
        <v>50</v>
      </c>
      <c r="C783" s="128" t="s">
        <v>1449</v>
      </c>
      <c r="D783" s="129" t="s">
        <v>63</v>
      </c>
      <c r="E783" s="98">
        <v>91.95</v>
      </c>
      <c r="F783" s="705" t="s">
        <v>1306</v>
      </c>
      <c r="G783" s="357">
        <v>0</v>
      </c>
      <c r="H783" s="704" t="str">
        <f t="shared" si="2013"/>
        <v/>
      </c>
      <c r="I783" s="98">
        <f t="shared" si="2014"/>
        <v>0</v>
      </c>
      <c r="J783" s="98">
        <f>IF(H783="warranty",0,(I783*($J$1782)))</f>
        <v>0</v>
      </c>
      <c r="K783" s="831">
        <f t="shared" si="2015"/>
        <v>0</v>
      </c>
      <c r="L783" s="831"/>
      <c r="M783" s="832" t="str">
        <f>IF($H$1784=0,"",IF(G783=0,"",IF(F783="Qty=",CONCATENATE("$",ROUND(K783*(1-$H$1784),2)," with ",($H$1784*100),"% discount"),CONCATENATE("$",ROUND(K783*(1-$H$1784),2)," with ",(($H$1784*100+F783*100)-($H$1784*100*F783)),IF(F783&gt;0,"% discounts",IF($H$1781&gt;0,"% discounts","% discount"))))))</f>
        <v/>
      </c>
      <c r="N783" s="832"/>
      <c r="O783" s="832"/>
      <c r="P783" s="832"/>
      <c r="Q783" s="832"/>
      <c r="R783" s="832"/>
      <c r="S783" s="303">
        <f t="shared" ref="S783" si="2022">E783*G783</f>
        <v>0</v>
      </c>
      <c r="T783" s="541">
        <f>VLOOKUP(A783,'Discount Lookup'!D:E,2,FALSE)*G783</f>
        <v>0</v>
      </c>
      <c r="U783" s="83">
        <f>VLOOKUP(A783,'Discount Lookup'!G:H,2,FALSE)*G783</f>
        <v>0</v>
      </c>
      <c r="V783" s="100">
        <f>E783*($J$1782)*G783</f>
        <v>0</v>
      </c>
      <c r="W783" s="100">
        <f t="shared" ref="W783" si="2023">I783</f>
        <v>0</v>
      </c>
      <c r="X783" s="100" t="b">
        <f>IF(G783&gt;0,IF(AD783="me","",G783))</f>
        <v>0</v>
      </c>
      <c r="Y783" s="201"/>
      <c r="Z783" s="829" t="str">
        <f t="shared" si="2011"/>
        <v/>
      </c>
      <c r="AA783" s="829"/>
      <c r="AB783" s="830" t="str">
        <f>IF(G783=0,"",IF(AD783="free","re-planting",IF(AD783="me","not NVP, by",IF($AD$8="yes",(VLOOKUP(A783,'Discount Lookup'!J:K,2)*G783*(1-$AC$1786)*(1+$AC$1788)),IF(AD783="NVP",(VLOOKUP(A783,'Discount Lookup'!J:K,2)*G783*(1-$AC$1786)*(1+$AC$1788)),IF(AD783="free","re-planting",IF(G783=0,"",IF($AD$8="",IF(AD783="me","not NVP, by",IF(AD783="",IF(G783&gt;0,(VLOOKUP(A783,'Discount Lookup'!J:K,2)*G783*(1-$AC$1786)*(1+$AC$1788)),""),"")),"not NVP, by"))))))))</f>
        <v/>
      </c>
      <c r="AC783" s="830"/>
      <c r="AD783" s="375" t="str">
        <f t="shared" si="2001"/>
        <v/>
      </c>
      <c r="AE783" s="833" t="str">
        <f>IF(G783&gt;0,(CONCATENATE((G783)," quantity, ",(A783)," ",B783)),"")</f>
        <v/>
      </c>
      <c r="AF783" s="833"/>
      <c r="AG783" s="833"/>
      <c r="AH783" s="91">
        <f>IF(AD783="free",0,IF(AD783="me",0,IF(G783&gt;0,(VLOOKUP(A783,'Discount Lookup'!J:K,2)*G783),0)))</f>
        <v>0</v>
      </c>
      <c r="AI783" s="92" t="str">
        <f t="shared" si="1994"/>
        <v/>
      </c>
      <c r="AJ783" s="828" t="str">
        <f t="shared" si="2012"/>
        <v/>
      </c>
      <c r="AK783" s="828"/>
      <c r="AL783" s="313" t="str">
        <f t="shared" si="2010"/>
        <v/>
      </c>
      <c r="AM783" s="312"/>
      <c r="AN783" s="101"/>
      <c r="AO783" s="101"/>
      <c r="AP783" s="101"/>
      <c r="AQ783" s="101"/>
      <c r="AR783" s="101"/>
      <c r="AS783" s="101"/>
      <c r="AT783" s="101"/>
    </row>
    <row r="784" spans="1:46" ht="12.95" customHeight="1">
      <c r="A784" s="419">
        <v>7</v>
      </c>
      <c r="B784" s="87" t="s">
        <v>50</v>
      </c>
      <c r="C784" s="128" t="s">
        <v>1231</v>
      </c>
      <c r="D784" s="129" t="s">
        <v>90</v>
      </c>
      <c r="E784" s="98">
        <v>100.95</v>
      </c>
      <c r="F784" s="705" t="s">
        <v>1306</v>
      </c>
      <c r="G784" s="357">
        <v>0</v>
      </c>
      <c r="H784" s="704" t="str">
        <f t="shared" si="2013"/>
        <v/>
      </c>
      <c r="I784" s="98">
        <f t="shared" si="2014"/>
        <v>0</v>
      </c>
      <c r="J784" s="98">
        <f>IF(H784="warranty",0,(I784*($J$1782)))</f>
        <v>0</v>
      </c>
      <c r="K784" s="831">
        <f t="shared" si="2015"/>
        <v>0</v>
      </c>
      <c r="L784" s="831"/>
      <c r="M784" s="832" t="str">
        <f>IF($H$1784=0,"",IF(G784=0,"",IF(F784="Qty=",CONCATENATE("$",ROUND(K784*(1-$H$1784),2)," with ",($H$1784*100),"% discount"),CONCATENATE("$",ROUND(K784*(1-$H$1784),2)," with ",(($H$1784*100+F784*100)-($H$1784*100*F784)),IF(F784&gt;0,"% discounts",IF($H$1781&gt;0,"% discounts","% discount"))))))</f>
        <v/>
      </c>
      <c r="N784" s="832"/>
      <c r="O784" s="832"/>
      <c r="P784" s="832"/>
      <c r="Q784" s="832"/>
      <c r="R784" s="832"/>
      <c r="S784" s="303">
        <f t="shared" ref="S784" si="2024">E784*G784</f>
        <v>0</v>
      </c>
      <c r="T784" s="541">
        <f>VLOOKUP(A784,'Discount Lookup'!D:E,2,FALSE)*G784</f>
        <v>0</v>
      </c>
      <c r="U784" s="83">
        <f>VLOOKUP(A784,'Discount Lookup'!G:H,2,FALSE)*G784</f>
        <v>0</v>
      </c>
      <c r="V784" s="100">
        <f>E784*($J$1782)*G784</f>
        <v>0</v>
      </c>
      <c r="W784" s="100">
        <f t="shared" ref="W784" si="2025">I784</f>
        <v>0</v>
      </c>
      <c r="X784" s="100" t="b">
        <f>IF(G784&gt;0,IF(AD784="me","",G784))</f>
        <v>0</v>
      </c>
      <c r="Y784" s="201"/>
      <c r="Z784" s="829" t="str">
        <f t="shared" si="2011"/>
        <v/>
      </c>
      <c r="AA784" s="829"/>
      <c r="AB784" s="830" t="str">
        <f>IF(G784=0,"",IF(AD784="free","re-planting",IF(AD784="me","not NVP, by",IF($AD$8="yes",(VLOOKUP(A784,'Discount Lookup'!J:K,2)*G784*(1-$AC$1786)*(1+$AC$1788)),IF(AD784="NVP",(VLOOKUP(A784,'Discount Lookup'!J:K,2)*G784*(1-$AC$1786)*(1+$AC$1788)),IF(AD784="free","re-planting",IF(G784=0,"",IF($AD$8="",IF(AD784="me","not NVP, by",IF(AD784="",IF(G784&gt;0,(VLOOKUP(A784,'Discount Lookup'!J:K,2)*G784*(1-$AC$1786)*(1+$AC$1788)),""),"")),"not NVP, by"))))))))</f>
        <v/>
      </c>
      <c r="AC784" s="830"/>
      <c r="AD784" s="375" t="str">
        <f t="shared" si="2001"/>
        <v/>
      </c>
      <c r="AE784" s="833" t="str">
        <f t="shared" ref="AE784" si="2026">IF(G784&gt;0,(CONCATENATE((G784)," quantity, ",(A784)," ",B784)),"")</f>
        <v/>
      </c>
      <c r="AF784" s="833"/>
      <c r="AG784" s="833"/>
      <c r="AH784" s="91">
        <f>IF(AD784="free",0,IF(AD784="me",0,IF(G784&gt;0,(VLOOKUP(A784,'Discount Lookup'!J:K,2)*G784),0)))</f>
        <v>0</v>
      </c>
      <c r="AI784" s="92" t="str">
        <f t="shared" si="1994"/>
        <v/>
      </c>
      <c r="AJ784" s="828" t="str">
        <f t="shared" si="2012"/>
        <v/>
      </c>
      <c r="AK784" s="828"/>
      <c r="AL784" s="313" t="str">
        <f t="shared" si="2010"/>
        <v/>
      </c>
      <c r="AM784" s="312"/>
      <c r="AN784" s="101"/>
      <c r="AO784" s="101"/>
      <c r="AP784" s="101"/>
      <c r="AQ784" s="101"/>
      <c r="AR784" s="101"/>
      <c r="AS784" s="101"/>
      <c r="AT784" s="101"/>
    </row>
    <row r="785" spans="1:46" ht="12.95" customHeight="1">
      <c r="A785" s="469"/>
      <c r="B785" s="149" t="s">
        <v>537</v>
      </c>
      <c r="G785" s="361"/>
      <c r="H785" s="749"/>
      <c r="M785" s="48"/>
      <c r="N785" s="108"/>
      <c r="O785" s="123">
        <f>VLOOKUP(A785,'Discount Lookup'!D:E,2,FALSE)*G785</f>
        <v>0</v>
      </c>
      <c r="P785" s="124">
        <f>VLOOKUP(A785,'Discount Lookup'!G:H,2,FALSE)*G785</f>
        <v>0</v>
      </c>
      <c r="Q785" s="124"/>
      <c r="R785" s="83">
        <f>IF(F785=0,E785*($J$1782)*G785,0)</f>
        <v>0</v>
      </c>
      <c r="S785" s="82">
        <f t="shared" ref="S785" si="2027">E785*G785</f>
        <v>0</v>
      </c>
      <c r="T785" s="540"/>
      <c r="U785" s="83"/>
      <c r="V785" s="100" t="b">
        <f>IF(G785&gt;0,IF(AD785="me","",G785))</f>
        <v>0</v>
      </c>
      <c r="W785" s="100"/>
      <c r="X785" s="100"/>
      <c r="Y785" s="201"/>
      <c r="Z785" s="829" t="str">
        <f t="shared" si="2011"/>
        <v/>
      </c>
      <c r="AA785" s="829"/>
      <c r="AB785" s="830" t="str">
        <f>IF(G785=0,"",IF(AD785="free","re-planting",IF(AD785="me","not NVP, by",IF($AD$8="yes",(VLOOKUP(A785,'Discount Lookup'!J:K,2)*G785*(1-$AC$1786)*(1+$AC$1788)),IF(AD785="NVP",(VLOOKUP(A785,'Discount Lookup'!J:K,2)*G785*(1-$AC$1786)*(1+$AC$1788)),IF(AD785="free","re-planting",IF(G785=0,"",IF($AD$8="",IF(AD785="me","not NVP, by",IF(AD785="",IF(G785&gt;0,(VLOOKUP(A785,'Discount Lookup'!J:K,2)*G785*(1-$AC$1786)*(1+$AC$1788)),""),"")),"not NVP, by"))))))))</f>
        <v/>
      </c>
      <c r="AC785" s="830"/>
      <c r="AD785" s="375" t="str">
        <f t="shared" si="2001"/>
        <v/>
      </c>
      <c r="AE785" s="833" t="str">
        <f>IF(G785&gt;0,(CONCATENATE((G785)," quantity, ",(A785)," ",B785)),"")</f>
        <v/>
      </c>
      <c r="AF785" s="833"/>
      <c r="AG785" s="833"/>
      <c r="AH785" s="91">
        <f>IF(AD785="free",0,IF(AD785="me",0,IF(G785&gt;0,(VLOOKUP(A785,'Discount Lookup'!J:K,2)*G785),0)))</f>
        <v>0</v>
      </c>
      <c r="AI785" s="92" t="str">
        <f t="shared" si="1994"/>
        <v/>
      </c>
      <c r="AJ785" s="828" t="str">
        <f t="shared" si="2012"/>
        <v/>
      </c>
      <c r="AK785" s="828"/>
      <c r="AL785" s="313" t="str">
        <f t="shared" si="2010"/>
        <v/>
      </c>
      <c r="AM785" s="312"/>
      <c r="AN785" s="101"/>
      <c r="AO785" s="101"/>
      <c r="AP785" s="101"/>
      <c r="AQ785" s="101"/>
      <c r="AR785" s="101"/>
      <c r="AS785" s="101"/>
      <c r="AT785" s="101"/>
    </row>
    <row r="786" spans="1:46" ht="12.95" customHeight="1">
      <c r="A786" s="896" t="s">
        <v>481</v>
      </c>
      <c r="B786" s="897"/>
      <c r="C786" s="897"/>
      <c r="D786" s="897"/>
      <c r="E786" s="897"/>
      <c r="F786" s="897"/>
      <c r="G786" s="897"/>
      <c r="H786" s="776" t="s">
        <v>253</v>
      </c>
      <c r="I786" s="88" t="s">
        <v>79</v>
      </c>
      <c r="J786" s="86"/>
      <c r="K786" s="603" t="s">
        <v>45</v>
      </c>
      <c r="L786" s="601" t="s">
        <v>46</v>
      </c>
      <c r="M786" s="86"/>
      <c r="N786" s="87" t="s">
        <v>69</v>
      </c>
      <c r="O786" s="87"/>
      <c r="P786" s="88"/>
      <c r="Q786" s="88"/>
      <c r="R786" s="86"/>
      <c r="S786" s="125"/>
      <c r="T786" s="543"/>
      <c r="U786" s="112"/>
      <c r="V786" s="100" t="b">
        <f>IF(G786&gt;0,IF(AD786="me","",G786))</f>
        <v>0</v>
      </c>
      <c r="W786" s="100"/>
      <c r="X786" s="100"/>
      <c r="Y786" s="201"/>
      <c r="Z786" s="829" t="str">
        <f t="shared" si="1992"/>
        <v/>
      </c>
      <c r="AA786" s="829"/>
      <c r="AB786" s="830" t="str">
        <f>IF(G786=0,"",IF(AD786="free","re-planting",IF(AD786="me","not NVP, by",IF($AD$8="yes",(VLOOKUP(A786,'Discount Lookup'!J:K,2)*G786*(1-$AC$1786)*(1+$AC$1788)),IF(AD786="NVP",(VLOOKUP(A786,'Discount Lookup'!J:K,2)*G786*(1-$AC$1786)*(1+$AC$1788)),IF(AD786="free","re-planting",IF(G786=0,"",IF($AD$8="",IF(AD786="me","not NVP, by",IF(AD786="",IF(G786&gt;0,(VLOOKUP(A786,'Discount Lookup'!J:K,2)*G786*(1-$AC$1786)*(1+$AC$1788)),""),"")),"not NVP, by"))))))))</f>
        <v/>
      </c>
      <c r="AC786" s="830"/>
      <c r="AD786" s="375" t="str">
        <f t="shared" si="2001"/>
        <v/>
      </c>
      <c r="AE786" s="833" t="str">
        <f t="shared" si="2002"/>
        <v/>
      </c>
      <c r="AF786" s="833"/>
      <c r="AG786" s="833"/>
      <c r="AH786" s="91">
        <f>IF(AD786="free",0,IF(AD786="me",0,IF(G786&gt;0,(VLOOKUP(A786,'Discount Lookup'!J:K,2)*G786),0)))</f>
        <v>0</v>
      </c>
      <c r="AI786" s="92" t="str">
        <f t="shared" si="1994"/>
        <v/>
      </c>
      <c r="AJ786" s="828" t="str">
        <f t="shared" si="1995"/>
        <v/>
      </c>
      <c r="AK786" s="828"/>
      <c r="AL786" s="313" t="str">
        <f t="shared" si="2010"/>
        <v/>
      </c>
      <c r="AM786" s="312"/>
      <c r="AN786" s="101"/>
      <c r="AO786" s="101"/>
      <c r="AP786" s="101"/>
      <c r="AQ786" s="101"/>
      <c r="AR786" s="101"/>
      <c r="AS786" s="101"/>
      <c r="AT786" s="101"/>
    </row>
    <row r="787" spans="1:46" ht="12.95" customHeight="1">
      <c r="A787" s="419">
        <v>3</v>
      </c>
      <c r="B787" s="87" t="s">
        <v>50</v>
      </c>
      <c r="C787" s="424" t="s">
        <v>51</v>
      </c>
      <c r="D787" s="129" t="s">
        <v>86</v>
      </c>
      <c r="E787" s="98">
        <v>26.95</v>
      </c>
      <c r="F787" s="705" t="s">
        <v>1306</v>
      </c>
      <c r="G787" s="357">
        <v>0</v>
      </c>
      <c r="H787" s="704" t="str">
        <f t="shared" ref="H787" si="2028">IF(G787=0,"",IF(F787="Qty=",IF(G787=1,"plant","plants"),IF(F787&gt;0.0001,"warranty","Error")))</f>
        <v/>
      </c>
      <c r="I787" s="98">
        <f t="shared" ref="I787" si="2029">IF(F787="Qty=",(E787*G787),((E787*(1-F787))*G787))</f>
        <v>0</v>
      </c>
      <c r="J787" s="98">
        <f>IF(H787="warranty",0,(I787*($J$1782)))</f>
        <v>0</v>
      </c>
      <c r="K787" s="831">
        <f t="shared" ref="K787:K788" si="2030">I787+J787</f>
        <v>0</v>
      </c>
      <c r="L787" s="831"/>
      <c r="M787" s="832" t="str">
        <f>IF($H$1784=0,"",IF(G787=0,"",IF(F787="Qty=",CONCATENATE("$",ROUND(K787*(1-$H$1784),2)," with ",($H$1784*100),"% discount"),CONCATENATE("$",ROUND(K787*(1-$H$1784),2)," with ",(($H$1784*100+F787*100)-($H$1784*100*F787)),IF(F787&gt;0,"% discounts",IF($H$1781&gt;0,"% discounts","% discount"))))))</f>
        <v/>
      </c>
      <c r="N787" s="832"/>
      <c r="O787" s="832"/>
      <c r="P787" s="832"/>
      <c r="Q787" s="832"/>
      <c r="R787" s="832"/>
      <c r="S787" s="303">
        <f>E787*G787</f>
        <v>0</v>
      </c>
      <c r="T787" s="541">
        <f>VLOOKUP(A787,'Discount Lookup'!D:E,2,FALSE)*G787</f>
        <v>0</v>
      </c>
      <c r="U787" s="83">
        <f>VLOOKUP(A787,'Discount Lookup'!G:H,2,FALSE)*G787</f>
        <v>0</v>
      </c>
      <c r="V787" s="100">
        <f>E787*($J$1782)*G787</f>
        <v>0</v>
      </c>
      <c r="W787" s="100">
        <f>I787</f>
        <v>0</v>
      </c>
      <c r="X787" s="100" t="b">
        <f t="shared" ref="X787" si="2031">IF(G787&gt;0,IF(AD787="me","",G787))</f>
        <v>0</v>
      </c>
      <c r="Y787" s="201"/>
      <c r="Z787" s="829" t="str">
        <f t="shared" si="1992"/>
        <v/>
      </c>
      <c r="AA787" s="829"/>
      <c r="AB787" s="830" t="str">
        <f>IF(G787=0,"",IF(AD787="free","re-planting",IF(AD787="me","not NVP, by",IF($AD$8="yes",(VLOOKUP(A787,'Discount Lookup'!J:K,2)*G787*(1-$AC$1786)*(1+$AC$1788)),IF(AD787="NVP",(VLOOKUP(A787,'Discount Lookup'!J:K,2)*G787*(1-$AC$1786)*(1+$AC$1788)),IF(AD787="free","re-planting",IF(G787=0,"",IF($AD$8="",IF(AD787="me","not NVP, by",IF(AD787="",IF(G787&gt;0,(VLOOKUP(A787,'Discount Lookup'!J:K,2)*G787*(1-$AC$1786)*(1+$AC$1788)),""),"")),"not NVP, by"))))))))</f>
        <v/>
      </c>
      <c r="AC787" s="830"/>
      <c r="AD787" s="375" t="str">
        <f t="shared" si="2001"/>
        <v/>
      </c>
      <c r="AE787" s="833" t="str">
        <f t="shared" si="2002"/>
        <v/>
      </c>
      <c r="AF787" s="833"/>
      <c r="AG787" s="833"/>
      <c r="AH787" s="91">
        <f>IF(AD787="free",0,IF(AD787="me",0,IF(G787&gt;0,(VLOOKUP(A787,'Discount Lookup'!J:K,2)*G787),0)))</f>
        <v>0</v>
      </c>
      <c r="AI787" s="92" t="str">
        <f t="shared" si="1994"/>
        <v/>
      </c>
      <c r="AJ787" s="828" t="str">
        <f t="shared" si="1995"/>
        <v/>
      </c>
      <c r="AK787" s="828"/>
      <c r="AL787" s="313" t="str">
        <f t="shared" si="2010"/>
        <v/>
      </c>
      <c r="AM787" s="312"/>
      <c r="AN787" s="101"/>
      <c r="AO787" s="101"/>
      <c r="AP787" s="101"/>
      <c r="AQ787" s="101"/>
      <c r="AR787" s="101"/>
      <c r="AS787" s="101"/>
      <c r="AT787" s="101"/>
    </row>
    <row r="788" spans="1:46" ht="12.95" customHeight="1">
      <c r="A788" s="419">
        <v>10</v>
      </c>
      <c r="B788" s="87" t="s">
        <v>50</v>
      </c>
      <c r="C788" s="399" t="s">
        <v>70</v>
      </c>
      <c r="D788" s="129" t="s">
        <v>86</v>
      </c>
      <c r="E788" s="98">
        <v>102.95</v>
      </c>
      <c r="F788" s="705" t="s">
        <v>1306</v>
      </c>
      <c r="G788" s="357">
        <v>0</v>
      </c>
      <c r="H788" s="704" t="str">
        <f>IF(G788=0,"",IF(F788="Qty=",IF(G788=1,"plant","plants"),IF(F788&gt;0.0001,"warranty","Error")))</f>
        <v/>
      </c>
      <c r="I788" s="98">
        <f>IF(F788="Qty=",(E788*G788),((E788*(1-F788))*G788))</f>
        <v>0</v>
      </c>
      <c r="J788" s="98">
        <f>IF(H788="warranty",0,(I788*($J$1782)))</f>
        <v>0</v>
      </c>
      <c r="K788" s="831">
        <f t="shared" si="2030"/>
        <v>0</v>
      </c>
      <c r="L788" s="831"/>
      <c r="M788" s="832" t="str">
        <f>IF($H$1784=0,"",IF(G788=0,"",IF(F788="Qty=",CONCATENATE("$",ROUND(K788*(1-$H$1784),2)," with ",($H$1784*100),"% discount"),CONCATENATE("$",ROUND(K788*(1-$H$1784),2)," with ",(($H$1784*100+F788*100)-($H$1784*100*F788)),IF(F788&gt;0,"% discounts",IF($H$1781&gt;0,"% discounts","% discount"))))))</f>
        <v/>
      </c>
      <c r="N788" s="832"/>
      <c r="O788" s="832"/>
      <c r="P788" s="832"/>
      <c r="Q788" s="832"/>
      <c r="R788" s="832"/>
      <c r="S788" s="303">
        <f t="shared" ref="S788" si="2032">E788*G788</f>
        <v>0</v>
      </c>
      <c r="T788" s="541">
        <f>VLOOKUP(A788,'Discount Lookup'!D:E,2,FALSE)*G788</f>
        <v>0</v>
      </c>
      <c r="U788" s="83">
        <f>VLOOKUP(A788,'Discount Lookup'!G:H,2,FALSE)*G788</f>
        <v>0</v>
      </c>
      <c r="V788" s="100">
        <f>E788*($J$1782)*G788</f>
        <v>0</v>
      </c>
      <c r="W788" s="100">
        <f t="shared" ref="W788" si="2033">I788</f>
        <v>0</v>
      </c>
      <c r="X788" s="100" t="b">
        <f>IF(G788&gt;0,IF(AD788="me","",G788))</f>
        <v>0</v>
      </c>
      <c r="Y788" s="201"/>
      <c r="Z788" s="829" t="str">
        <f>IF(G788=0,"",IF(AD788="me","",IF($AD$8="me","",IF(AD788="free","warranty",IF($AD$8="yes","NVP planting:","to NVP install:")))))</f>
        <v/>
      </c>
      <c r="AA788" s="829"/>
      <c r="AB788" s="830" t="str">
        <f>IF(G788=0,"",IF(AD788="free","re-planting",IF(AD788="me","not NVP, by",IF($AD$8="yes",(VLOOKUP(A788,'Discount Lookup'!J:K,2)*G788*(1-$AC$1786)*(1+$AC$1788)),IF(AD788="NVP",(VLOOKUP(A788,'Discount Lookup'!J:K,2)*G788*(1-$AC$1786)*(1+$AC$1788)),IF(AD788="free","re-planting",IF(G788=0,"",IF($AD$8="",IF(AD788="me","not NVP, by",IF(AD788="",IF(G788&gt;0,(VLOOKUP(A788,'Discount Lookup'!J:K,2)*G788*(1-$AC$1786)*(1+$AC$1788)),""),"")),"not NVP, by"))))))))</f>
        <v/>
      </c>
      <c r="AC788" s="830"/>
      <c r="AD788" s="375" t="str">
        <f t="shared" si="2001"/>
        <v/>
      </c>
      <c r="AE788" s="833" t="str">
        <f>IF(G788&gt;0,(CONCATENATE((G788)," quantity, ",(A788)," ",B788)),"")</f>
        <v/>
      </c>
      <c r="AF788" s="833"/>
      <c r="AG788" s="833"/>
      <c r="AH788" s="91">
        <f>IF(AD788="free",0,IF(AD788="me",0,IF(G788&gt;0,(VLOOKUP(A788,'Discount Lookup'!J:K,2)*G788),0)))</f>
        <v>0</v>
      </c>
      <c r="AI788" s="92" t="str">
        <f t="shared" si="1994"/>
        <v/>
      </c>
      <c r="AJ788" s="828" t="str">
        <f>IF(G788=0,"",IF(AD788="me","  delivery-only",IF($AD$8="me","  delivery-only",CONCATENATE(" $",ROUND(AI788/G788,2)," each"))))</f>
        <v/>
      </c>
      <c r="AK788" s="828"/>
      <c r="AL788" s="313" t="str">
        <f t="shared" si="2010"/>
        <v/>
      </c>
      <c r="AM788" s="312"/>
      <c r="AN788" s="101"/>
      <c r="AO788" s="101"/>
      <c r="AP788" s="101"/>
      <c r="AQ788" s="101"/>
      <c r="AR788" s="101"/>
      <c r="AS788" s="101"/>
      <c r="AT788" s="101"/>
    </row>
    <row r="789" spans="1:46" ht="12.95" customHeight="1">
      <c r="A789" s="468"/>
      <c r="B789" s="149" t="s">
        <v>484</v>
      </c>
      <c r="C789" s="118"/>
      <c r="D789" s="118"/>
      <c r="E789" s="119"/>
      <c r="F789" s="711"/>
      <c r="G789" s="358"/>
      <c r="H789" s="745"/>
      <c r="I789" s="119"/>
      <c r="J789" s="119"/>
      <c r="K789" s="609"/>
      <c r="L789" s="609"/>
      <c r="M789" s="121"/>
      <c r="N789" s="108"/>
      <c r="O789" s="123">
        <f>VLOOKUP(A789,'Discount Lookup'!D:E,2,FALSE)*G789</f>
        <v>0</v>
      </c>
      <c r="P789" s="124">
        <f>VLOOKUP(A789,'Discount Lookup'!G:H,2,FALSE)*G789</f>
        <v>0</v>
      </c>
      <c r="Q789" s="124"/>
      <c r="R789" s="83">
        <f>IF(F789=0,E789*($J$1782)*G789,0)</f>
        <v>0</v>
      </c>
      <c r="S789" s="82">
        <f t="shared" ref="S789" si="2034">E789*G789</f>
        <v>0</v>
      </c>
      <c r="T789" s="540"/>
      <c r="U789" s="83"/>
      <c r="V789" s="100" t="b">
        <f>IF(G789&gt;0,IF(AD789="me","",G789))</f>
        <v>0</v>
      </c>
      <c r="W789" s="100"/>
      <c r="X789" s="100"/>
      <c r="Y789" s="201"/>
      <c r="Z789" s="829" t="str">
        <f t="shared" si="1992"/>
        <v/>
      </c>
      <c r="AA789" s="829"/>
      <c r="AB789" s="830" t="str">
        <f>IF(G789=0,"",IF(AD789="free","re-planting",IF(AD789="me","not NVP, by",IF($AD$8="yes",(VLOOKUP(A789,'Discount Lookup'!J:K,2)*G789*(1-$AC$1786)*(1+$AC$1788)),IF(AD789="NVP",(VLOOKUP(A789,'Discount Lookup'!J:K,2)*G789*(1-$AC$1786)*(1+$AC$1788)),IF(AD789="free","re-planting",IF(G789=0,"",IF($AD$8="",IF(AD789="me","not NVP, by",IF(AD789="",IF(G789&gt;0,(VLOOKUP(A789,'Discount Lookup'!J:K,2)*G789*(1-$AC$1786)*(1+$AC$1788)),""),"")),"not NVP, by"))))))))</f>
        <v/>
      </c>
      <c r="AC789" s="830"/>
      <c r="AD789" s="375" t="str">
        <f t="shared" si="2001"/>
        <v/>
      </c>
      <c r="AE789" s="833" t="str">
        <f t="shared" si="2002"/>
        <v/>
      </c>
      <c r="AF789" s="833"/>
      <c r="AG789" s="833"/>
      <c r="AH789" s="91">
        <f>IF(AD789="free",0,IF(AD789="me",0,IF(G789&gt;0,(VLOOKUP(A789,'Discount Lookup'!J:K,2)*G789),0)))</f>
        <v>0</v>
      </c>
      <c r="AI789" s="92" t="str">
        <f t="shared" si="1994"/>
        <v/>
      </c>
      <c r="AJ789" s="828" t="str">
        <f t="shared" si="1995"/>
        <v/>
      </c>
      <c r="AK789" s="828"/>
      <c r="AL789" s="313" t="str">
        <f t="shared" si="2010"/>
        <v/>
      </c>
      <c r="AM789" s="312"/>
      <c r="AN789" s="101"/>
      <c r="AO789" s="101"/>
      <c r="AP789" s="101"/>
      <c r="AQ789" s="101"/>
      <c r="AR789" s="101"/>
      <c r="AS789" s="101"/>
      <c r="AT789" s="101"/>
    </row>
    <row r="790" spans="1:46" ht="12.95" customHeight="1">
      <c r="A790" s="896" t="s">
        <v>485</v>
      </c>
      <c r="B790" s="897"/>
      <c r="C790" s="897"/>
      <c r="D790" s="897"/>
      <c r="E790" s="897"/>
      <c r="F790" s="897"/>
      <c r="G790" s="897"/>
      <c r="H790" s="776" t="s">
        <v>253</v>
      </c>
      <c r="I790" s="88" t="s">
        <v>235</v>
      </c>
      <c r="J790" s="126"/>
      <c r="K790" s="603" t="s">
        <v>45</v>
      </c>
      <c r="L790" s="601" t="s">
        <v>46</v>
      </c>
      <c r="M790" s="86"/>
      <c r="N790" s="87" t="s">
        <v>128</v>
      </c>
      <c r="O790" s="135"/>
      <c r="P790" s="135"/>
      <c r="Q790" s="135"/>
      <c r="R790" s="835" t="s">
        <v>49</v>
      </c>
      <c r="S790" s="835"/>
      <c r="T790" s="835"/>
      <c r="U790" s="835"/>
      <c r="V790" s="100" t="b">
        <f>IF(G790&gt;0,IF(AD790="me","",G790))</f>
        <v>0</v>
      </c>
      <c r="W790" s="100"/>
      <c r="X790" s="100"/>
      <c r="Y790" s="201"/>
      <c r="Z790" s="829" t="str">
        <f t="shared" si="1992"/>
        <v/>
      </c>
      <c r="AA790" s="829"/>
      <c r="AB790" s="830" t="str">
        <f>IF(G790=0,"",IF(AD790="free","re-planting",IF(AD790="me","not NVP, by",IF($AD$8="yes",(VLOOKUP(A790,'Discount Lookup'!J:K,2)*G790*(1-$AC$1786)*(1+$AC$1788)),IF(AD790="NVP",(VLOOKUP(A790,'Discount Lookup'!J:K,2)*G790*(1-$AC$1786)*(1+$AC$1788)),IF(AD790="free","re-planting",IF(G790=0,"",IF($AD$8="",IF(AD790="me","not NVP, by",IF(AD790="",IF(G790&gt;0,(VLOOKUP(A790,'Discount Lookup'!J:K,2)*G790*(1-$AC$1786)*(1+$AC$1788)),""),"")),"not NVP, by"))))))))</f>
        <v/>
      </c>
      <c r="AC790" s="830"/>
      <c r="AD790" s="375" t="str">
        <f t="shared" si="2001"/>
        <v/>
      </c>
      <c r="AE790" s="833" t="str">
        <f t="shared" si="2002"/>
        <v/>
      </c>
      <c r="AF790" s="833"/>
      <c r="AG790" s="833"/>
      <c r="AH790" s="91">
        <f>IF(AD790="free",0,IF(AD790="me",0,IF(G790&gt;0,(VLOOKUP(A790,'Discount Lookup'!J:K,2)*G790),0)))</f>
        <v>0</v>
      </c>
      <c r="AI790" s="92" t="str">
        <f t="shared" si="1994"/>
        <v/>
      </c>
      <c r="AJ790" s="828" t="str">
        <f t="shared" si="1995"/>
        <v/>
      </c>
      <c r="AK790" s="828"/>
      <c r="AL790" s="313" t="str">
        <f t="shared" si="2010"/>
        <v/>
      </c>
      <c r="AM790" s="312"/>
      <c r="AN790" s="101"/>
      <c r="AO790" s="101"/>
      <c r="AP790" s="101"/>
      <c r="AQ790" s="101"/>
      <c r="AR790" s="101"/>
      <c r="AS790" s="101"/>
      <c r="AT790" s="101"/>
    </row>
    <row r="791" spans="1:46" ht="12.95" customHeight="1">
      <c r="A791" s="419">
        <v>3</v>
      </c>
      <c r="B791" s="87" t="s">
        <v>50</v>
      </c>
      <c r="C791" s="399" t="s">
        <v>135</v>
      </c>
      <c r="D791" s="129" t="s">
        <v>63</v>
      </c>
      <c r="E791" s="98">
        <v>36.950000000000003</v>
      </c>
      <c r="F791" s="705" t="s">
        <v>1306</v>
      </c>
      <c r="G791" s="357">
        <v>0</v>
      </c>
      <c r="H791" s="704" t="str">
        <f t="shared" ref="H791:H792" si="2035">IF(G791=0,"",IF(F791="Qty=",IF(G791=1,"plant","plants"),IF(F791&gt;0.0001,"warranty","Error")))</f>
        <v/>
      </c>
      <c r="I791" s="98">
        <f t="shared" ref="I791:I792" si="2036">IF(F791="Qty=",(E791*G791),((E791*(1-F791))*G791))</f>
        <v>0</v>
      </c>
      <c r="J791" s="98">
        <f>IF(H791="warranty",0,(I791*($J$1782)))</f>
        <v>0</v>
      </c>
      <c r="K791" s="831">
        <f t="shared" ref="K791:K792" si="2037">I791+J791</f>
        <v>0</v>
      </c>
      <c r="L791" s="831"/>
      <c r="M791" s="832" t="str">
        <f>IF($H$1784=0,"",IF(G791=0,"",IF(F791="Qty=",CONCATENATE("$",ROUND(K791*(1-$H$1784),2)," with ",($H$1784*100),"% discount"),CONCATENATE("$",ROUND(K791*(1-$H$1784),2)," with ",(($H$1784*100+F791*100)-($H$1784*100*F791)),IF(F791&gt;0,"% discounts",IF($H$1781&gt;0,"% discounts","% discount"))))))</f>
        <v/>
      </c>
      <c r="N791" s="832"/>
      <c r="O791" s="832"/>
      <c r="P791" s="832"/>
      <c r="Q791" s="832"/>
      <c r="R791" s="832"/>
      <c r="S791" s="303">
        <f t="shared" ref="S791:S792" si="2038">E791*G791</f>
        <v>0</v>
      </c>
      <c r="T791" s="541">
        <f>VLOOKUP(A791,'Discount Lookup'!D:E,2,FALSE)*G791</f>
        <v>0</v>
      </c>
      <c r="U791" s="83">
        <f>VLOOKUP(A791,'Discount Lookup'!G:H,2,FALSE)*G791</f>
        <v>0</v>
      </c>
      <c r="V791" s="100">
        <f>E791*($J$1782)*G791</f>
        <v>0</v>
      </c>
      <c r="W791" s="100">
        <f t="shared" ref="W791:W792" si="2039">I791</f>
        <v>0</v>
      </c>
      <c r="X791" s="100" t="b">
        <f t="shared" ref="X791" si="2040">IF(G791&gt;0,IF(AD791="me","",G791))</f>
        <v>0</v>
      </c>
      <c r="Y791" s="201"/>
      <c r="Z791" s="829" t="str">
        <f t="shared" ref="Z791:Z792" si="2041">IF(G791=0,"",IF(AD791="me","",IF($AD$8="me","",IF(AD791="free","warranty",IF($AD$8="yes","NVP planting:","to NVP install:")))))</f>
        <v/>
      </c>
      <c r="AA791" s="829"/>
      <c r="AB791" s="830" t="str">
        <f>IF(G791=0,"",IF(AD791="free","re-planting",IF(AD791="me","not NVP, by",IF($AD$8="yes",(VLOOKUP(A791,'Discount Lookup'!J:K,2)*G791*(1-$AC$1786)*(1+$AC$1788)),IF(AD791="NVP",(VLOOKUP(A791,'Discount Lookup'!J:K,2)*G791*(1-$AC$1786)*(1+$AC$1788)),IF(AD791="free","re-planting",IF(G791=0,"",IF($AD$8="",IF(AD791="me","not NVP, by",IF(AD791="",IF(G791&gt;0,(VLOOKUP(A791,'Discount Lookup'!J:K,2)*G791*(1-$AC$1786)*(1+$AC$1788)),""),"")),"not NVP, by"))))))))</f>
        <v/>
      </c>
      <c r="AC791" s="830"/>
      <c r="AD791" s="375" t="str">
        <f t="shared" si="2001"/>
        <v/>
      </c>
      <c r="AE791" s="833" t="str">
        <f t="shared" ref="AE791:AE792" si="2042">IF(G791&gt;0,(CONCATENATE((G791)," quantity, ",(A791)," ",B791)),"")</f>
        <v/>
      </c>
      <c r="AF791" s="833"/>
      <c r="AG791" s="833"/>
      <c r="AH791" s="91">
        <f>IF(AD791="free",0,IF(AD791="me",0,IF(G791&gt;0,(VLOOKUP(A791,'Discount Lookup'!J:K,2)*G791),0)))</f>
        <v>0</v>
      </c>
      <c r="AI791" s="92" t="str">
        <f t="shared" si="1994"/>
        <v/>
      </c>
      <c r="AJ791" s="828" t="str">
        <f t="shared" ref="AJ791:AJ792" si="2043">IF(G791=0,"",IF(AD791="me","  delivery-only",IF($AD$8="me","  delivery-only",CONCATENATE(" $",ROUND(AI791/G791,2)," each"))))</f>
        <v/>
      </c>
      <c r="AK791" s="828"/>
      <c r="AL791" s="313" t="str">
        <f t="shared" si="2010"/>
        <v/>
      </c>
      <c r="AM791" s="312"/>
      <c r="AN791" s="101"/>
      <c r="AO791" s="101"/>
      <c r="AP791" s="101"/>
      <c r="AQ791" s="101"/>
      <c r="AR791" s="101"/>
      <c r="AS791" s="101"/>
      <c r="AT791" s="101"/>
    </row>
    <row r="792" spans="1:46" ht="12.95" customHeight="1">
      <c r="A792" s="419">
        <v>7</v>
      </c>
      <c r="B792" s="87" t="s">
        <v>50</v>
      </c>
      <c r="C792" s="399" t="s">
        <v>51</v>
      </c>
      <c r="D792" s="129" t="s">
        <v>63</v>
      </c>
      <c r="E792" s="98">
        <v>79.95</v>
      </c>
      <c r="F792" s="705" t="s">
        <v>1306</v>
      </c>
      <c r="G792" s="357">
        <v>0</v>
      </c>
      <c r="H792" s="704" t="str">
        <f t="shared" si="2035"/>
        <v/>
      </c>
      <c r="I792" s="98">
        <f t="shared" si="2036"/>
        <v>0</v>
      </c>
      <c r="J792" s="98">
        <f>IF(H792="warranty",0,(I792*($J$1782)))</f>
        <v>0</v>
      </c>
      <c r="K792" s="831">
        <f t="shared" si="2037"/>
        <v>0</v>
      </c>
      <c r="L792" s="831"/>
      <c r="M792" s="832" t="str">
        <f>IF($H$1784=0,"",IF(G792=0,"",IF(F792="Qty=",CONCATENATE("$",ROUND(K792*(1-$H$1784),2)," with ",($H$1784*100),"% discount"),CONCATENATE("$",ROUND(K792*(1-$H$1784),2)," with ",(($H$1784*100+F792*100)-($H$1784*100*F792)),IF(F792&gt;0,"% discounts",IF($H$1781&gt;0,"% discounts","% discount"))))))</f>
        <v/>
      </c>
      <c r="N792" s="832"/>
      <c r="O792" s="832"/>
      <c r="P792" s="832"/>
      <c r="Q792" s="832"/>
      <c r="R792" s="832"/>
      <c r="S792" s="303">
        <f t="shared" si="2038"/>
        <v>0</v>
      </c>
      <c r="T792" s="541">
        <f>VLOOKUP(A792,'Discount Lookup'!D:E,2,FALSE)*G792</f>
        <v>0</v>
      </c>
      <c r="U792" s="83">
        <f>VLOOKUP(A792,'Discount Lookup'!G:H,2,FALSE)*G792</f>
        <v>0</v>
      </c>
      <c r="V792" s="100">
        <f>E792*($J$1782)*G792</f>
        <v>0</v>
      </c>
      <c r="W792" s="100">
        <f t="shared" si="2039"/>
        <v>0</v>
      </c>
      <c r="X792" s="100" t="b">
        <f>IF(G792&gt;0,IF(AD792="me","",G792))</f>
        <v>0</v>
      </c>
      <c r="Y792" s="201"/>
      <c r="Z792" s="829" t="str">
        <f t="shared" si="2041"/>
        <v/>
      </c>
      <c r="AA792" s="829"/>
      <c r="AB792" s="830" t="str">
        <f>IF(G792=0,"",IF(AD792="free","re-planting",IF(AD792="me","not NVP, by",IF($AD$8="yes",(VLOOKUP(A792,'Discount Lookup'!J:K,2)*G792*(1-$AC$1786)*(1+$AC$1788)),IF(AD792="NVP",(VLOOKUP(A792,'Discount Lookup'!J:K,2)*G792*(1-$AC$1786)*(1+$AC$1788)),IF(AD792="free","re-planting",IF(G792=0,"",IF($AD$8="",IF(AD792="me","not NVP, by",IF(AD792="",IF(G792&gt;0,(VLOOKUP(A792,'Discount Lookup'!J:K,2)*G792*(1-$AC$1786)*(1+$AC$1788)),""),"")),"not NVP, by"))))))))</f>
        <v/>
      </c>
      <c r="AC792" s="830"/>
      <c r="AD792" s="375" t="str">
        <f t="shared" si="2001"/>
        <v/>
      </c>
      <c r="AE792" s="833" t="str">
        <f t="shared" si="2042"/>
        <v/>
      </c>
      <c r="AF792" s="833"/>
      <c r="AG792" s="833"/>
      <c r="AH792" s="91">
        <f>IF(AD792="free",0,IF(AD792="me",0,IF(G792&gt;0,(VLOOKUP(A792,'Discount Lookup'!J:K,2)*G792),0)))</f>
        <v>0</v>
      </c>
      <c r="AI792" s="92" t="str">
        <f t="shared" si="1994"/>
        <v/>
      </c>
      <c r="AJ792" s="828" t="str">
        <f t="shared" si="2043"/>
        <v/>
      </c>
      <c r="AK792" s="828"/>
      <c r="AL792" s="313" t="str">
        <f t="shared" si="2010"/>
        <v/>
      </c>
      <c r="AM792" s="312"/>
      <c r="AN792" s="101"/>
      <c r="AO792" s="101"/>
      <c r="AP792" s="101"/>
      <c r="AQ792" s="101"/>
      <c r="AR792" s="101"/>
      <c r="AS792" s="101"/>
      <c r="AT792" s="101"/>
    </row>
    <row r="793" spans="1:46" ht="12.95" customHeight="1">
      <c r="A793" s="468"/>
      <c r="B793" s="149" t="s">
        <v>486</v>
      </c>
      <c r="C793" s="118"/>
      <c r="D793" s="118"/>
      <c r="E793" s="119"/>
      <c r="F793" s="711"/>
      <c r="G793" s="358"/>
      <c r="H793" s="745"/>
      <c r="I793" s="119"/>
      <c r="J793" s="119"/>
      <c r="K793" s="609"/>
      <c r="L793" s="609"/>
      <c r="M793" s="121"/>
      <c r="N793" s="121"/>
      <c r="O793" s="123"/>
      <c r="P793" s="124"/>
      <c r="Q793" s="124"/>
      <c r="R793" s="83"/>
      <c r="S793" s="82">
        <f>E793*G793</f>
        <v>0</v>
      </c>
      <c r="T793" s="540"/>
      <c r="U793" s="83"/>
      <c r="V793" s="100" t="b">
        <f>IF(G793&gt;0,IF(AD793="me","",G793))</f>
        <v>0</v>
      </c>
      <c r="W793" s="100"/>
      <c r="X793" s="100"/>
      <c r="Y793" s="201"/>
      <c r="Z793" s="829" t="str">
        <f t="shared" si="1992"/>
        <v/>
      </c>
      <c r="AA793" s="829"/>
      <c r="AB793" s="830" t="str">
        <f>IF(G793=0,"",IF(AD793="free","re-planting",IF(AD793="me","not NVP, by",IF($AD$8="yes",(VLOOKUP(A793,'Discount Lookup'!J:K,2)*G793*(1-$AC$1786)*(1+$AC$1788)),IF(AD793="NVP",(VLOOKUP(A793,'Discount Lookup'!J:K,2)*G793*(1-$AC$1786)*(1+$AC$1788)),IF(AD793="free","re-planting",IF(G793=0,"",IF($AD$8="",IF(AD793="me","not NVP, by",IF(AD793="",IF(G793&gt;0,(VLOOKUP(A793,'Discount Lookup'!J:K,2)*G793*(1-$AC$1786)*(1+$AC$1788)),""),"")),"not NVP, by"))))))))</f>
        <v/>
      </c>
      <c r="AC793" s="830"/>
      <c r="AD793" s="375" t="str">
        <f t="shared" si="2001"/>
        <v/>
      </c>
      <c r="AE793" s="833" t="str">
        <f t="shared" si="2002"/>
        <v/>
      </c>
      <c r="AF793" s="833"/>
      <c r="AG793" s="833"/>
      <c r="AH793" s="91">
        <f>IF(AD793="free",0,IF(AD793="me",0,IF(G793&gt;0,(VLOOKUP(A793,'Discount Lookup'!J:K,2)*G793),0)))</f>
        <v>0</v>
      </c>
      <c r="AI793" s="92" t="str">
        <f t="shared" si="1994"/>
        <v/>
      </c>
      <c r="AJ793" s="828" t="str">
        <f t="shared" si="1995"/>
        <v/>
      </c>
      <c r="AK793" s="828"/>
      <c r="AL793" s="313" t="str">
        <f t="shared" si="2010"/>
        <v/>
      </c>
      <c r="AM793" s="312"/>
      <c r="AN793" s="101"/>
      <c r="AO793" s="101"/>
      <c r="AP793" s="101"/>
      <c r="AQ793" s="101"/>
      <c r="AR793" s="101"/>
      <c r="AS793" s="101"/>
      <c r="AT793" s="101"/>
    </row>
    <row r="794" spans="1:46" ht="12.95" customHeight="1">
      <c r="A794" s="896" t="s">
        <v>487</v>
      </c>
      <c r="B794" s="897"/>
      <c r="C794" s="897"/>
      <c r="D794" s="897"/>
      <c r="E794" s="897"/>
      <c r="F794" s="897"/>
      <c r="G794" s="897"/>
      <c r="H794" s="776" t="s">
        <v>488</v>
      </c>
      <c r="I794" s="88" t="s">
        <v>79</v>
      </c>
      <c r="J794" s="86"/>
      <c r="K794" s="603" t="s">
        <v>45</v>
      </c>
      <c r="L794" s="601" t="s">
        <v>46</v>
      </c>
      <c r="M794" s="86"/>
      <c r="N794" s="87" t="s">
        <v>69</v>
      </c>
      <c r="O794" s="87"/>
      <c r="P794" s="88"/>
      <c r="Q794" s="88"/>
      <c r="R794" s="86"/>
      <c r="S794" s="125"/>
      <c r="T794" s="543"/>
      <c r="U794" s="112"/>
      <c r="V794" s="100" t="b">
        <f>IF(G794&gt;0,IF(AD794="me","",G794))</f>
        <v>0</v>
      </c>
      <c r="W794" s="100"/>
      <c r="X794" s="100"/>
      <c r="Y794" s="201"/>
      <c r="Z794" s="829" t="str">
        <f t="shared" si="1992"/>
        <v/>
      </c>
      <c r="AA794" s="829"/>
      <c r="AB794" s="830" t="str">
        <f>IF(G794=0,"",IF(AD794="free","re-planting",IF(AD794="me","not NVP, by",IF($AD$8="yes",(VLOOKUP(A794,'Discount Lookup'!J:K,2)*G794*(1-$AC$1786)*(1+$AC$1788)),IF(AD794="NVP",(VLOOKUP(A794,'Discount Lookup'!J:K,2)*G794*(1-$AC$1786)*(1+$AC$1788)),IF(AD794="free","re-planting",IF(G794=0,"",IF($AD$8="",IF(AD794="me","not NVP, by",IF(AD794="",IF(G794&gt;0,(VLOOKUP(A794,'Discount Lookup'!J:K,2)*G794*(1-$AC$1786)*(1+$AC$1788)),""),"")),"not NVP, by"))))))))</f>
        <v/>
      </c>
      <c r="AC794" s="830"/>
      <c r="AD794" s="375" t="str">
        <f t="shared" si="2001"/>
        <v/>
      </c>
      <c r="AE794" s="833" t="str">
        <f t="shared" si="2002"/>
        <v/>
      </c>
      <c r="AF794" s="833"/>
      <c r="AG794" s="833"/>
      <c r="AH794" s="91">
        <f>IF(AD794="free",0,IF(AD794="me",0,IF(G794&gt;0,(VLOOKUP(A794,'Discount Lookup'!J:K,2)*G794),0)))</f>
        <v>0</v>
      </c>
      <c r="AI794" s="92" t="str">
        <f t="shared" si="1994"/>
        <v/>
      </c>
      <c r="AJ794" s="828" t="str">
        <f t="shared" si="1995"/>
        <v/>
      </c>
      <c r="AK794" s="828"/>
      <c r="AL794" s="313" t="str">
        <f t="shared" si="2010"/>
        <v/>
      </c>
      <c r="AM794" s="312"/>
      <c r="AN794" s="101"/>
      <c r="AO794" s="101"/>
      <c r="AP794" s="101"/>
      <c r="AQ794" s="101"/>
      <c r="AR794" s="101"/>
      <c r="AS794" s="101"/>
      <c r="AT794" s="101"/>
    </row>
    <row r="795" spans="1:46" ht="12.95" customHeight="1">
      <c r="A795" s="419">
        <v>3</v>
      </c>
      <c r="B795" s="87" t="s">
        <v>50</v>
      </c>
      <c r="C795" s="128" t="s">
        <v>102</v>
      </c>
      <c r="D795" s="129" t="s">
        <v>86</v>
      </c>
      <c r="E795" s="98">
        <v>25.95</v>
      </c>
      <c r="F795" s="705" t="s">
        <v>1306</v>
      </c>
      <c r="G795" s="357">
        <v>0</v>
      </c>
      <c r="H795" s="704" t="str">
        <f t="shared" ref="H795:H797" si="2044">IF(G795=0,"",IF(F795="Qty=",IF(G795=1,"plant","plants"),IF(F795&gt;0.0001,"warranty","Error")))</f>
        <v/>
      </c>
      <c r="I795" s="98">
        <f t="shared" ref="I795:I797" si="2045">IF(F795="Qty=",(E795*G795),((E795*(1-F795))*G795))</f>
        <v>0</v>
      </c>
      <c r="J795" s="98">
        <f>IF(H795="warranty",0,(I795*($J$1782)))</f>
        <v>0</v>
      </c>
      <c r="K795" s="831">
        <f t="shared" ref="K795:K797" si="2046">I795+J795</f>
        <v>0</v>
      </c>
      <c r="L795" s="831"/>
      <c r="M795" s="832" t="str">
        <f>IF($H$1784=0,"",IF(G795=0,"",IF(F795="Qty=",CONCATENATE("$",ROUND(K795*(1-$H$1784),2)," with ",($H$1784*100),"% discount"),CONCATENATE("$",ROUND(K795*(1-$H$1784),2)," with ",(($H$1784*100+F795*100)-($H$1784*100*F795)),IF(F795&gt;0,"% discounts",IF($H$1781&gt;0,"% discounts","% discount"))))))</f>
        <v/>
      </c>
      <c r="N795" s="832"/>
      <c r="O795" s="832"/>
      <c r="P795" s="832"/>
      <c r="Q795" s="832"/>
      <c r="R795" s="832"/>
      <c r="S795" s="303">
        <f t="shared" ref="S795:S797" si="2047">E795*G795</f>
        <v>0</v>
      </c>
      <c r="T795" s="541">
        <f>VLOOKUP(A795,'Discount Lookup'!D:E,2,FALSE)*G795</f>
        <v>0</v>
      </c>
      <c r="U795" s="83">
        <f>VLOOKUP(A795,'Discount Lookup'!G:H,2,FALSE)*G795</f>
        <v>0</v>
      </c>
      <c r="V795" s="100">
        <f>E795*($J$1782)*G795</f>
        <v>0</v>
      </c>
      <c r="W795" s="100">
        <f t="shared" ref="W795:W797" si="2048">I795</f>
        <v>0</v>
      </c>
      <c r="X795" s="100" t="b">
        <f>IF(G795&gt;0,IF(AD795="me","",G795))</f>
        <v>0</v>
      </c>
      <c r="Y795" s="201"/>
      <c r="Z795" s="829" t="str">
        <f t="shared" si="1992"/>
        <v/>
      </c>
      <c r="AA795" s="829"/>
      <c r="AB795" s="830" t="str">
        <f>IF(G795=0,"",IF(AD795="free","re-planting",IF(AD795="me","not NVP, by",IF($AD$8="yes",(VLOOKUP(A795,'Discount Lookup'!J:K,2)*G795*(1-$AC$1786)*(1+$AC$1788)),IF(AD795="NVP",(VLOOKUP(A795,'Discount Lookup'!J:K,2)*G795*(1-$AC$1786)*(1+$AC$1788)),IF(AD795="free","re-planting",IF(G795=0,"",IF($AD$8="",IF(AD795="me","not NVP, by",IF(AD795="",IF(G795&gt;0,(VLOOKUP(A795,'Discount Lookup'!J:K,2)*G795*(1-$AC$1786)*(1+$AC$1788)),""),"")),"not NVP, by"))))))))</f>
        <v/>
      </c>
      <c r="AC795" s="830"/>
      <c r="AD795" s="375" t="str">
        <f t="shared" si="2001"/>
        <v/>
      </c>
      <c r="AE795" s="833" t="str">
        <f t="shared" si="2002"/>
        <v/>
      </c>
      <c r="AF795" s="833"/>
      <c r="AG795" s="833"/>
      <c r="AH795" s="91">
        <f>IF(AD795="free",0,IF(AD795="me",0,IF(G795&gt;0,(VLOOKUP(A795,'Discount Lookup'!J:K,2)*G795),0)))</f>
        <v>0</v>
      </c>
      <c r="AI795" s="92" t="str">
        <f t="shared" si="1994"/>
        <v/>
      </c>
      <c r="AJ795" s="828" t="str">
        <f t="shared" si="1995"/>
        <v/>
      </c>
      <c r="AK795" s="828"/>
      <c r="AL795" s="313" t="str">
        <f t="shared" si="2010"/>
        <v/>
      </c>
      <c r="AM795" s="312"/>
      <c r="AN795" s="101"/>
      <c r="AO795" s="101"/>
      <c r="AP795" s="101"/>
      <c r="AQ795" s="101"/>
      <c r="AR795" s="101"/>
      <c r="AS795" s="101"/>
      <c r="AT795" s="101"/>
    </row>
    <row r="796" spans="1:46" ht="12.95" customHeight="1">
      <c r="A796" s="419">
        <v>3</v>
      </c>
      <c r="B796" s="87" t="s">
        <v>50</v>
      </c>
      <c r="C796" s="399" t="s">
        <v>136</v>
      </c>
      <c r="D796" s="129" t="s">
        <v>87</v>
      </c>
      <c r="E796" s="98">
        <v>28.95</v>
      </c>
      <c r="F796" s="705" t="s">
        <v>1306</v>
      </c>
      <c r="G796" s="357">
        <v>0</v>
      </c>
      <c r="H796" s="704" t="str">
        <f t="shared" si="2044"/>
        <v/>
      </c>
      <c r="I796" s="98">
        <f t="shared" si="2045"/>
        <v>0</v>
      </c>
      <c r="J796" s="98">
        <f>IF(H796="warranty",0,(I796*($J$1782)))</f>
        <v>0</v>
      </c>
      <c r="K796" s="831">
        <f t="shared" si="2046"/>
        <v>0</v>
      </c>
      <c r="L796" s="831"/>
      <c r="M796" s="832" t="str">
        <f>IF($H$1784=0,"",IF(G796=0,"",IF(F796="Qty=",CONCATENATE("$",ROUND(K796*(1-$H$1784),2)," with ",($H$1784*100),"% discount"),CONCATENATE("$",ROUND(K796*(1-$H$1784),2)," with ",(($H$1784*100+F796*100)-($H$1784*100*F796)),IF(F796&gt;0,"% discounts",IF($H$1781&gt;0,"% discounts","% discount"))))))</f>
        <v/>
      </c>
      <c r="N796" s="832"/>
      <c r="O796" s="832"/>
      <c r="P796" s="832"/>
      <c r="Q796" s="832"/>
      <c r="R796" s="832"/>
      <c r="S796" s="303">
        <f t="shared" ref="S796" si="2049">E796*G796</f>
        <v>0</v>
      </c>
      <c r="T796" s="541">
        <f>VLOOKUP(A796,'Discount Lookup'!D:E,2,FALSE)*G796</f>
        <v>0</v>
      </c>
      <c r="U796" s="83">
        <f>VLOOKUP(A796,'Discount Lookup'!G:H,2,FALSE)*G796</f>
        <v>0</v>
      </c>
      <c r="V796" s="100">
        <f>E796*($J$1782)*G796</f>
        <v>0</v>
      </c>
      <c r="W796" s="100">
        <f t="shared" ref="W796" si="2050">I796</f>
        <v>0</v>
      </c>
      <c r="X796" s="100" t="b">
        <f>IF(G796&gt;0,IF(AD796="me","",G796))</f>
        <v>0</v>
      </c>
      <c r="Y796" s="201"/>
      <c r="Z796" s="829" t="str">
        <f t="shared" si="1992"/>
        <v/>
      </c>
      <c r="AA796" s="829"/>
      <c r="AB796" s="830" t="str">
        <f>IF(G796=0,"",IF(AD796="free","re-planting",IF(AD796="me","not NVP, by",IF($AD$8="yes",(VLOOKUP(A796,'Discount Lookup'!J:K,2)*G796*(1-$AC$1786)*(1+$AC$1788)),IF(AD796="NVP",(VLOOKUP(A796,'Discount Lookup'!J:K,2)*G796*(1-$AC$1786)*(1+$AC$1788)),IF(AD796="free","re-planting",IF(G796=0,"",IF($AD$8="",IF(AD796="me","not NVP, by",IF(AD796="",IF(G796&gt;0,(VLOOKUP(A796,'Discount Lookup'!J:K,2)*G796*(1-$AC$1786)*(1+$AC$1788)),""),"")),"not NVP, by"))))))))</f>
        <v/>
      </c>
      <c r="AC796" s="830"/>
      <c r="AD796" s="375" t="str">
        <f t="shared" si="2001"/>
        <v/>
      </c>
      <c r="AE796" s="833" t="str">
        <f t="shared" ref="AE796" si="2051">IF(G796&gt;0,(CONCATENATE((G796)," quantity, ",(A796)," ",B796)),"")</f>
        <v/>
      </c>
      <c r="AF796" s="833"/>
      <c r="AG796" s="833"/>
      <c r="AH796" s="91">
        <f>IF(AD796="free",0,IF(AD796="me",0,IF(G796&gt;0,(VLOOKUP(A796,'Discount Lookup'!J:K,2)*G796),0)))</f>
        <v>0</v>
      </c>
      <c r="AI796" s="92" t="str">
        <f t="shared" si="1994"/>
        <v/>
      </c>
      <c r="AJ796" s="828" t="str">
        <f t="shared" si="1995"/>
        <v/>
      </c>
      <c r="AK796" s="828"/>
      <c r="AL796" s="313" t="str">
        <f t="shared" si="2010"/>
        <v/>
      </c>
      <c r="AM796" s="312"/>
      <c r="AN796" s="101"/>
      <c r="AO796" s="101"/>
      <c r="AP796" s="101"/>
      <c r="AQ796" s="101"/>
      <c r="AR796" s="101"/>
      <c r="AS796" s="101"/>
      <c r="AT796" s="101"/>
    </row>
    <row r="797" spans="1:46" ht="12.95" customHeight="1">
      <c r="A797" s="419">
        <v>3</v>
      </c>
      <c r="B797" s="87" t="s">
        <v>50</v>
      </c>
      <c r="C797" s="128" t="s">
        <v>1235</v>
      </c>
      <c r="D797" s="129" t="s">
        <v>62</v>
      </c>
      <c r="E797" s="98">
        <v>22.95</v>
      </c>
      <c r="F797" s="705" t="s">
        <v>1306</v>
      </c>
      <c r="G797" s="357">
        <v>0</v>
      </c>
      <c r="H797" s="704" t="str">
        <f t="shared" si="2044"/>
        <v/>
      </c>
      <c r="I797" s="98">
        <f t="shared" si="2045"/>
        <v>0</v>
      </c>
      <c r="J797" s="98">
        <f>IF(H797="warranty",0,(I797*($J$1782)))</f>
        <v>0</v>
      </c>
      <c r="K797" s="831">
        <f t="shared" si="2046"/>
        <v>0</v>
      </c>
      <c r="L797" s="831"/>
      <c r="M797" s="832" t="str">
        <f>IF($H$1784=0,"",IF(G797=0,"",IF(F797="Qty=",CONCATENATE("$",ROUND(K797*(1-$H$1784),2)," with ",($H$1784*100),"% discount"),CONCATENATE("$",ROUND(K797*(1-$H$1784),2)," with ",(($H$1784*100+F797*100)-($H$1784*100*F797)),IF(F797&gt;0,"% discounts",IF($H$1781&gt;0,"% discounts","% discount"))))))</f>
        <v/>
      </c>
      <c r="N797" s="832"/>
      <c r="O797" s="832"/>
      <c r="P797" s="832"/>
      <c r="Q797" s="832"/>
      <c r="R797" s="832"/>
      <c r="S797" s="303">
        <f t="shared" si="2047"/>
        <v>0</v>
      </c>
      <c r="T797" s="541">
        <f>VLOOKUP(A797,'Discount Lookup'!D:E,2,FALSE)*G797</f>
        <v>0</v>
      </c>
      <c r="U797" s="83">
        <f>VLOOKUP(A797,'Discount Lookup'!G:H,2,FALSE)*G797</f>
        <v>0</v>
      </c>
      <c r="V797" s="100">
        <f>E797*($J$1782)*G797</f>
        <v>0</v>
      </c>
      <c r="W797" s="100">
        <f t="shared" si="2048"/>
        <v>0</v>
      </c>
      <c r="X797" s="100" t="b">
        <f>IF(G797&gt;0,IF(AD797="me","",G797))</f>
        <v>0</v>
      </c>
      <c r="Y797" s="201"/>
      <c r="Z797" s="829" t="str">
        <f t="shared" si="1992"/>
        <v/>
      </c>
      <c r="AA797" s="829"/>
      <c r="AB797" s="830" t="str">
        <f>IF(G797=0,"",IF(AD797="free","re-planting",IF(AD797="me","not NVP, by",IF($AD$8="yes",(VLOOKUP(A797,'Discount Lookup'!J:K,2)*G797*(1-$AC$1786)*(1+$AC$1788)),IF(AD797="NVP",(VLOOKUP(A797,'Discount Lookup'!J:K,2)*G797*(1-$AC$1786)*(1+$AC$1788)),IF(AD797="free","re-planting",IF(G797=0,"",IF($AD$8="",IF(AD797="me","not NVP, by",IF(AD797="",IF(G797&gt;0,(VLOOKUP(A797,'Discount Lookup'!J:K,2)*G797*(1-$AC$1786)*(1+$AC$1788)),""),"")),"not NVP, by"))))))))</f>
        <v/>
      </c>
      <c r="AC797" s="830"/>
      <c r="AD797" s="375" t="str">
        <f t="shared" si="2001"/>
        <v/>
      </c>
      <c r="AE797" s="833" t="str">
        <f t="shared" si="2002"/>
        <v/>
      </c>
      <c r="AF797" s="833"/>
      <c r="AG797" s="833"/>
      <c r="AH797" s="91">
        <f>IF(AD797="free",0,IF(AD797="me",0,IF(G797&gt;0,(VLOOKUP(A797,'Discount Lookup'!J:K,2)*G797),0)))</f>
        <v>0</v>
      </c>
      <c r="AI797" s="92" t="str">
        <f t="shared" si="1994"/>
        <v/>
      </c>
      <c r="AJ797" s="828" t="str">
        <f t="shared" si="1995"/>
        <v/>
      </c>
      <c r="AK797" s="828"/>
      <c r="AL797" s="313" t="str">
        <f t="shared" si="2010"/>
        <v/>
      </c>
      <c r="AM797" s="312"/>
      <c r="AN797" s="101"/>
      <c r="AO797" s="101"/>
      <c r="AP797" s="101"/>
      <c r="AQ797" s="101"/>
      <c r="AR797" s="101"/>
      <c r="AS797" s="101"/>
      <c r="AT797" s="101"/>
    </row>
    <row r="798" spans="1:46" ht="12.95" customHeight="1">
      <c r="A798" s="468"/>
      <c r="B798" s="149" t="s">
        <v>489</v>
      </c>
      <c r="C798" s="118"/>
      <c r="D798" s="118"/>
      <c r="E798" s="119"/>
      <c r="F798" s="711"/>
      <c r="G798" s="358"/>
      <c r="H798" s="745"/>
      <c r="I798" s="119"/>
      <c r="J798" s="119"/>
      <c r="K798" s="609"/>
      <c r="L798" s="609"/>
      <c r="M798" s="121"/>
      <c r="N798" s="122" t="s">
        <v>82</v>
      </c>
      <c r="O798" s="123"/>
      <c r="P798" s="124"/>
      <c r="Q798" s="124"/>
      <c r="R798" s="83"/>
      <c r="S798" s="82">
        <f>E798*G798</f>
        <v>0</v>
      </c>
      <c r="T798" s="540"/>
      <c r="U798" s="83"/>
      <c r="V798" s="100" t="b">
        <f>IF(G798&gt;0,IF(AD798="me","",G798))</f>
        <v>0</v>
      </c>
      <c r="W798" s="100"/>
      <c r="X798" s="100"/>
      <c r="Y798" s="201"/>
      <c r="Z798" s="829" t="str">
        <f t="shared" si="1992"/>
        <v/>
      </c>
      <c r="AA798" s="829"/>
      <c r="AB798" s="830" t="str">
        <f>IF(G798=0,"",IF(AD798="free","re-planting",IF(AD798="me","not NVP, by",IF($AD$8="yes",(VLOOKUP(A798,'Discount Lookup'!J:K,2)*G798*(1-$AC$1786)*(1+$AC$1788)),IF(AD798="NVP",(VLOOKUP(A798,'Discount Lookup'!J:K,2)*G798*(1-$AC$1786)*(1+$AC$1788)),IF(AD798="free","re-planting",IF(G798=0,"",IF($AD$8="",IF(AD798="me","not NVP, by",IF(AD798="",IF(G798&gt;0,(VLOOKUP(A798,'Discount Lookup'!J:K,2)*G798*(1-$AC$1786)*(1+$AC$1788)),""),"")),"not NVP, by"))))))))</f>
        <v/>
      </c>
      <c r="AC798" s="830"/>
      <c r="AD798" s="375" t="str">
        <f t="shared" si="2001"/>
        <v/>
      </c>
      <c r="AE798" s="833" t="str">
        <f t="shared" si="2002"/>
        <v/>
      </c>
      <c r="AF798" s="833"/>
      <c r="AG798" s="833"/>
      <c r="AH798" s="91">
        <f>IF(AD798="free",0,IF(AD798="me",0,IF(G798&gt;0,(VLOOKUP(A798,'Discount Lookup'!J:K,2)*G798),0)))</f>
        <v>0</v>
      </c>
      <c r="AI798" s="92" t="str">
        <f t="shared" si="1994"/>
        <v/>
      </c>
      <c r="AJ798" s="828" t="str">
        <f t="shared" si="1995"/>
        <v/>
      </c>
      <c r="AK798" s="828"/>
      <c r="AL798" s="313" t="str">
        <f t="shared" si="2010"/>
        <v/>
      </c>
      <c r="AM798" s="312"/>
      <c r="AN798" s="101"/>
      <c r="AO798" s="101"/>
      <c r="AP798" s="101"/>
      <c r="AQ798" s="101"/>
      <c r="AR798" s="101"/>
      <c r="AS798" s="101"/>
      <c r="AT798" s="101"/>
    </row>
    <row r="799" spans="1:46" ht="12.95" customHeight="1">
      <c r="A799" s="896" t="s">
        <v>490</v>
      </c>
      <c r="B799" s="897"/>
      <c r="C799" s="897"/>
      <c r="D799" s="897"/>
      <c r="E799" s="897"/>
      <c r="F799" s="897"/>
      <c r="G799" s="897"/>
      <c r="H799" s="776" t="s">
        <v>488</v>
      </c>
      <c r="I799" s="88" t="s">
        <v>79</v>
      </c>
      <c r="J799" s="86"/>
      <c r="K799" s="603" t="s">
        <v>45</v>
      </c>
      <c r="L799" s="601" t="s">
        <v>46</v>
      </c>
      <c r="M799" s="86"/>
      <c r="N799" s="87" t="s">
        <v>75</v>
      </c>
      <c r="O799" s="87"/>
      <c r="P799" s="88"/>
      <c r="Q799" s="88"/>
      <c r="R799" s="86"/>
      <c r="S799" s="125"/>
      <c r="T799" s="543"/>
      <c r="U799" s="112"/>
      <c r="V799" s="100" t="b">
        <f>IF(G799&gt;0,IF(AD799="me","",G799))</f>
        <v>0</v>
      </c>
      <c r="W799" s="100"/>
      <c r="X799" s="100"/>
      <c r="Y799" s="201"/>
      <c r="Z799" s="829" t="str">
        <f t="shared" si="1992"/>
        <v/>
      </c>
      <c r="AA799" s="829"/>
      <c r="AB799" s="830" t="str">
        <f>IF(G799=0,"",IF(AD799="free","re-planting",IF(AD799="me","not NVP, by",IF($AD$8="yes",(VLOOKUP(A799,'Discount Lookup'!J:K,2)*G799*(1-$AC$1786)*(1+$AC$1788)),IF(AD799="NVP",(VLOOKUP(A799,'Discount Lookup'!J:K,2)*G799*(1-$AC$1786)*(1+$AC$1788)),IF(AD799="free","re-planting",IF(G799=0,"",IF($AD$8="",IF(AD799="me","not NVP, by",IF(AD799="",IF(G799&gt;0,(VLOOKUP(A799,'Discount Lookup'!J:K,2)*G799*(1-$AC$1786)*(1+$AC$1788)),""),"")),"not NVP, by"))))))))</f>
        <v/>
      </c>
      <c r="AC799" s="830"/>
      <c r="AD799" s="375" t="str">
        <f t="shared" si="2001"/>
        <v/>
      </c>
      <c r="AE799" s="833" t="str">
        <f t="shared" si="2002"/>
        <v/>
      </c>
      <c r="AF799" s="833"/>
      <c r="AG799" s="833"/>
      <c r="AH799" s="91">
        <f>IF(AD799="free",0,IF(AD799="me",0,IF(G799&gt;0,(VLOOKUP(A799,'Discount Lookup'!J:K,2)*G799),0)))</f>
        <v>0</v>
      </c>
      <c r="AI799" s="92" t="str">
        <f t="shared" si="1994"/>
        <v/>
      </c>
      <c r="AJ799" s="828" t="str">
        <f t="shared" si="1995"/>
        <v/>
      </c>
      <c r="AK799" s="828"/>
      <c r="AL799" s="313" t="str">
        <f t="shared" si="2010"/>
        <v/>
      </c>
      <c r="AM799" s="312"/>
      <c r="AN799" s="101"/>
      <c r="AO799" s="101"/>
      <c r="AP799" s="101"/>
      <c r="AQ799" s="101"/>
      <c r="AR799" s="101"/>
      <c r="AS799" s="101"/>
      <c r="AT799" s="101"/>
    </row>
    <row r="800" spans="1:46" ht="12.95" customHeight="1">
      <c r="A800" s="419">
        <v>3</v>
      </c>
      <c r="B800" s="87" t="s">
        <v>50</v>
      </c>
      <c r="C800" s="399" t="s">
        <v>136</v>
      </c>
      <c r="D800" s="129" t="s">
        <v>86</v>
      </c>
      <c r="E800" s="98">
        <v>24.95</v>
      </c>
      <c r="F800" s="705" t="s">
        <v>1306</v>
      </c>
      <c r="G800" s="357">
        <v>0</v>
      </c>
      <c r="H800" s="704" t="str">
        <f t="shared" ref="H800" si="2052">IF(G800=0,"",IF(F800="Qty=",IF(G800=1,"plant","plants"),IF(F800&gt;0.0001,"warranty","Error")))</f>
        <v/>
      </c>
      <c r="I800" s="98">
        <f t="shared" ref="I800" si="2053">IF(F800="Qty=",(E800*G800),((E800*(1-F800))*G800))</f>
        <v>0</v>
      </c>
      <c r="J800" s="98">
        <f>IF(H800="warranty",0,(I800*($J$1782)))</f>
        <v>0</v>
      </c>
      <c r="K800" s="831">
        <f t="shared" ref="K800" si="2054">I800+J800</f>
        <v>0</v>
      </c>
      <c r="L800" s="831"/>
      <c r="M800" s="832" t="str">
        <f>IF($H$1784=0,"",IF(G800=0,"",IF(F800="Qty=",CONCATENATE("$",ROUND(K800*(1-$H$1784),2)," with ",($H$1784*100),"% discount"),CONCATENATE("$",ROUND(K800*(1-$H$1784),2)," with ",(($H$1784*100+F800*100)-($H$1784*100*F800)),IF(F800&gt;0,"% discounts",IF($H$1781&gt;0,"% discounts","% discount"))))))</f>
        <v/>
      </c>
      <c r="N800" s="832"/>
      <c r="O800" s="832"/>
      <c r="P800" s="832"/>
      <c r="Q800" s="832"/>
      <c r="R800" s="832"/>
      <c r="S800" s="303">
        <f t="shared" ref="S800" si="2055">E800*G800</f>
        <v>0</v>
      </c>
      <c r="T800" s="541">
        <f>VLOOKUP(A800,'Discount Lookup'!D:E,2,FALSE)*G800</f>
        <v>0</v>
      </c>
      <c r="U800" s="83">
        <f>VLOOKUP(A800,'Discount Lookup'!G:H,2,FALSE)*G800</f>
        <v>0</v>
      </c>
      <c r="V800" s="100">
        <f>E800*($J$1782)*G800</f>
        <v>0</v>
      </c>
      <c r="W800" s="100">
        <f t="shared" ref="W800" si="2056">I800</f>
        <v>0</v>
      </c>
      <c r="X800" s="100" t="b">
        <f>IF(G800&gt;0,IF(AD800="me","",G800))</f>
        <v>0</v>
      </c>
      <c r="Y800" s="201"/>
      <c r="Z800" s="829" t="str">
        <f t="shared" si="1992"/>
        <v/>
      </c>
      <c r="AA800" s="829"/>
      <c r="AB800" s="830" t="str">
        <f>IF(G800=0,"",IF(AD800="free","re-planting",IF(AD800="me","not NVP, by",IF($AD$8="yes",(VLOOKUP(A800,'Discount Lookup'!J:K,2)*G800*(1-$AC$1786)*(1+$AC$1788)),IF(AD800="NVP",(VLOOKUP(A800,'Discount Lookup'!J:K,2)*G800*(1-$AC$1786)*(1+$AC$1788)),IF(AD800="free","re-planting",IF(G800=0,"",IF($AD$8="",IF(AD800="me","not NVP, by",IF(AD800="",IF(G800&gt;0,(VLOOKUP(A800,'Discount Lookup'!J:K,2)*G800*(1-$AC$1786)*(1+$AC$1788)),""),"")),"not NVP, by"))))))))</f>
        <v/>
      </c>
      <c r="AC800" s="830"/>
      <c r="AD800" s="375" t="str">
        <f t="shared" si="2001"/>
        <v/>
      </c>
      <c r="AE800" s="833" t="str">
        <f t="shared" si="2002"/>
        <v/>
      </c>
      <c r="AF800" s="833"/>
      <c r="AG800" s="833"/>
      <c r="AH800" s="91">
        <f>IF(AD800="free",0,IF(AD800="me",0,IF(G800&gt;0,(VLOOKUP(A800,'Discount Lookup'!J:K,2)*G800),0)))</f>
        <v>0</v>
      </c>
      <c r="AI800" s="92" t="str">
        <f t="shared" si="1994"/>
        <v/>
      </c>
      <c r="AJ800" s="828" t="str">
        <f t="shared" si="1995"/>
        <v/>
      </c>
      <c r="AK800" s="828"/>
      <c r="AL800" s="313" t="str">
        <f t="shared" si="2010"/>
        <v/>
      </c>
      <c r="AM800" s="312"/>
      <c r="AN800" s="101"/>
      <c r="AO800" s="101"/>
      <c r="AP800" s="101"/>
      <c r="AQ800" s="101"/>
      <c r="AR800" s="101"/>
      <c r="AS800" s="101"/>
      <c r="AT800" s="101"/>
    </row>
    <row r="801" spans="1:46" ht="12.95" customHeight="1">
      <c r="A801" s="465"/>
      <c r="B801" s="149" t="s">
        <v>491</v>
      </c>
      <c r="C801" s="104"/>
      <c r="D801" s="104"/>
      <c r="E801" s="131"/>
      <c r="F801" s="710"/>
      <c r="G801" s="358"/>
      <c r="H801" s="744"/>
      <c r="I801" s="131"/>
      <c r="J801" s="131"/>
      <c r="K801" s="608"/>
      <c r="L801" s="608"/>
      <c r="M801" s="121"/>
      <c r="N801" s="145"/>
      <c r="O801" s="123"/>
      <c r="P801" s="124"/>
      <c r="Q801" s="124"/>
      <c r="R801" s="83"/>
      <c r="S801" s="82"/>
      <c r="T801" s="540"/>
      <c r="U801" s="83"/>
      <c r="V801" s="100" t="b">
        <f>IF(G801&gt;0,IF(AD801="me","",G801))</f>
        <v>0</v>
      </c>
      <c r="W801" s="100"/>
      <c r="X801" s="100"/>
      <c r="Y801" s="201"/>
      <c r="Z801" s="829" t="str">
        <f t="shared" si="1992"/>
        <v/>
      </c>
      <c r="AA801" s="829"/>
      <c r="AB801" s="830" t="str">
        <f>IF(G801=0,"",IF(AD801="free","re-planting",IF(AD801="me","not NVP, by",IF($AD$8="yes",(VLOOKUP(A801,'Discount Lookup'!J:K,2)*G801*(1-$AC$1786)*(1+$AC$1788)),IF(AD801="NVP",(VLOOKUP(A801,'Discount Lookup'!J:K,2)*G801*(1-$AC$1786)*(1+$AC$1788)),IF(AD801="free","re-planting",IF(G801=0,"",IF($AD$8="",IF(AD801="me","not NVP, by",IF(AD801="",IF(G801&gt;0,(VLOOKUP(A801,'Discount Lookup'!J:K,2)*G801*(1-$AC$1786)*(1+$AC$1788)),""),"")),"not NVP, by"))))))))</f>
        <v/>
      </c>
      <c r="AC801" s="830"/>
      <c r="AD801" s="375" t="str">
        <f t="shared" si="2001"/>
        <v/>
      </c>
      <c r="AE801" s="833" t="str">
        <f t="shared" si="2002"/>
        <v/>
      </c>
      <c r="AF801" s="833"/>
      <c r="AG801" s="833"/>
      <c r="AH801" s="91">
        <f>IF(AD801="free",0,IF(AD801="me",0,IF(G801&gt;0,(VLOOKUP(A801,'Discount Lookup'!J:K,2)*G801),0)))</f>
        <v>0</v>
      </c>
      <c r="AI801" s="92" t="str">
        <f t="shared" si="1994"/>
        <v/>
      </c>
      <c r="AJ801" s="828" t="str">
        <f t="shared" si="1995"/>
        <v/>
      </c>
      <c r="AK801" s="828"/>
      <c r="AL801" s="313" t="str">
        <f t="shared" si="2010"/>
        <v/>
      </c>
      <c r="AM801" s="312"/>
      <c r="AN801" s="101"/>
      <c r="AO801" s="101"/>
      <c r="AP801" s="101"/>
      <c r="AQ801" s="101"/>
      <c r="AR801" s="101"/>
      <c r="AS801" s="101"/>
      <c r="AT801" s="101"/>
    </row>
    <row r="802" spans="1:46" ht="12.95" customHeight="1">
      <c r="A802" s="863" t="s">
        <v>492</v>
      </c>
      <c r="B802" s="864"/>
      <c r="C802" s="864"/>
      <c r="D802" s="864"/>
      <c r="E802" s="864"/>
      <c r="F802" s="864"/>
      <c r="G802" s="864"/>
      <c r="H802" s="776" t="s">
        <v>488</v>
      </c>
      <c r="I802" s="88" t="s">
        <v>79</v>
      </c>
      <c r="J802" s="86"/>
      <c r="K802" s="603" t="s">
        <v>45</v>
      </c>
      <c r="L802" s="601" t="s">
        <v>46</v>
      </c>
      <c r="M802" s="86"/>
      <c r="N802" s="87" t="s">
        <v>130</v>
      </c>
      <c r="O802" s="87"/>
      <c r="P802" s="88"/>
      <c r="Q802" s="88"/>
      <c r="R802" s="86"/>
      <c r="S802" s="125"/>
      <c r="T802" s="543"/>
      <c r="U802" s="89" t="s">
        <v>48</v>
      </c>
      <c r="V802" s="100" t="b">
        <f>IF(G802&gt;0,IF(AD802="me","",G802))</f>
        <v>0</v>
      </c>
      <c r="W802" s="100"/>
      <c r="X802" s="100"/>
      <c r="Y802" s="201"/>
      <c r="Z802" s="829" t="str">
        <f t="shared" si="1992"/>
        <v/>
      </c>
      <c r="AA802" s="829"/>
      <c r="AB802" s="830" t="str">
        <f>IF(G802=0,"",IF(AD802="free","re-planting",IF(AD802="me","not NVP, by",IF($AD$8="yes",(VLOOKUP(A802,'Discount Lookup'!J:K,2)*G802*(1-$AC$1786)*(1+$AC$1788)),IF(AD802="NVP",(VLOOKUP(A802,'Discount Lookup'!J:K,2)*G802*(1-$AC$1786)*(1+$AC$1788)),IF(AD802="free","re-planting",IF(G802=0,"",IF($AD$8="",IF(AD802="me","not NVP, by",IF(AD802="",IF(G802&gt;0,(VLOOKUP(A802,'Discount Lookup'!J:K,2)*G802*(1-$AC$1786)*(1+$AC$1788)),""),"")),"not NVP, by"))))))))</f>
        <v/>
      </c>
      <c r="AC802" s="830"/>
      <c r="AD802" s="375" t="str">
        <f t="shared" si="2001"/>
        <v/>
      </c>
      <c r="AE802" s="833" t="str">
        <f t="shared" si="2002"/>
        <v/>
      </c>
      <c r="AF802" s="833"/>
      <c r="AG802" s="833"/>
      <c r="AH802" s="91">
        <f>IF(AD802="free",0,IF(AD802="me",0,IF(G802&gt;0,(VLOOKUP(A802,'Discount Lookup'!J:K,2)*G802),0)))</f>
        <v>0</v>
      </c>
      <c r="AI802" s="92" t="str">
        <f t="shared" si="1994"/>
        <v/>
      </c>
      <c r="AJ802" s="828" t="str">
        <f t="shared" si="1995"/>
        <v/>
      </c>
      <c r="AK802" s="828"/>
      <c r="AL802" s="313" t="str">
        <f t="shared" si="2010"/>
        <v/>
      </c>
      <c r="AM802" s="312"/>
      <c r="AN802" s="101"/>
      <c r="AO802" s="101"/>
      <c r="AP802" s="101"/>
      <c r="AQ802" s="101"/>
      <c r="AR802" s="101"/>
      <c r="AS802" s="101"/>
      <c r="AT802" s="101"/>
    </row>
    <row r="803" spans="1:46" ht="12.95" customHeight="1">
      <c r="A803" s="419">
        <v>3</v>
      </c>
      <c r="B803" s="87" t="s">
        <v>50</v>
      </c>
      <c r="C803" s="399" t="s">
        <v>85</v>
      </c>
      <c r="D803" s="129" t="s">
        <v>86</v>
      </c>
      <c r="E803" s="98">
        <v>24.95</v>
      </c>
      <c r="F803" s="705" t="s">
        <v>1306</v>
      </c>
      <c r="G803" s="357">
        <v>0</v>
      </c>
      <c r="H803" s="704" t="str">
        <f t="shared" ref="H803" si="2057">IF(G803=0,"",IF(F803="Qty=",IF(G803=1,"plant","plants"),IF(F803&gt;0.0001,"warranty","Error")))</f>
        <v/>
      </c>
      <c r="I803" s="98">
        <f t="shared" ref="I803" si="2058">IF(F803="Qty=",(E803*G803),((E803*(1-F803))*G803))</f>
        <v>0</v>
      </c>
      <c r="J803" s="98">
        <f t="shared" ref="J803:J808" si="2059">IF(H803="warranty",0,(I803*($J$1782)))</f>
        <v>0</v>
      </c>
      <c r="K803" s="831">
        <f t="shared" ref="K803:K808" si="2060">I803+J803</f>
        <v>0</v>
      </c>
      <c r="L803" s="831"/>
      <c r="M803" s="832" t="str">
        <f t="shared" ref="M803:M808" si="2061">IF($H$1784=0,"",IF(G803=0,"",IF(F803="Qty=",CONCATENATE("$",ROUND(K803*(1-$H$1784),2)," with ",($H$1784*100),"% discount"),CONCATENATE("$",ROUND(K803*(1-$H$1784),2)," with ",(($H$1784*100+F803*100)-($H$1784*100*F803)),IF(F803&gt;0,"% discounts",IF($H$1781&gt;0,"% discounts","% discount"))))))</f>
        <v/>
      </c>
      <c r="N803" s="832"/>
      <c r="O803" s="832"/>
      <c r="P803" s="832"/>
      <c r="Q803" s="832"/>
      <c r="R803" s="832"/>
      <c r="S803" s="303">
        <f t="shared" ref="S803" si="2062">E803*G803</f>
        <v>0</v>
      </c>
      <c r="T803" s="541">
        <f>VLOOKUP(A803,'Discount Lookup'!D:E,2,FALSE)*G803</f>
        <v>0</v>
      </c>
      <c r="U803" s="83">
        <f>VLOOKUP(A803,'Discount Lookup'!G:H,2,FALSE)*G803</f>
        <v>0</v>
      </c>
      <c r="V803" s="100">
        <f t="shared" ref="V803:V808" si="2063">E803*($J$1782)*G803</f>
        <v>0</v>
      </c>
      <c r="W803" s="100">
        <f t="shared" ref="W803" si="2064">I803</f>
        <v>0</v>
      </c>
      <c r="X803" s="100" t="b">
        <f t="shared" ref="X803" si="2065">IF(G803&gt;0,IF(AD803="me","",G803))</f>
        <v>0</v>
      </c>
      <c r="Y803" s="201"/>
      <c r="Z803" s="829" t="str">
        <f t="shared" ref="Z803" si="2066">IF(G803=0,"",IF(AD803="me","",IF($AD$8="me","",IF(AD803="free","warranty",IF($AD$8="yes","NVP planting:","to NVP install:")))))</f>
        <v/>
      </c>
      <c r="AA803" s="829"/>
      <c r="AB803" s="830" t="str">
        <f>IF(G803=0,"",IF(AD803="free","re-planting",IF(AD803="me","not NVP, by",IF($AD$8="yes",(VLOOKUP(A803,'Discount Lookup'!J:K,2)*G803*(1-$AC$1786)*(1+$AC$1788)),IF(AD803="NVP",(VLOOKUP(A803,'Discount Lookup'!J:K,2)*G803*(1-$AC$1786)*(1+$AC$1788)),IF(AD803="free","re-planting",IF(G803=0,"",IF($AD$8="",IF(AD803="me","not NVP, by",IF(AD803="",IF(G803&gt;0,(VLOOKUP(A803,'Discount Lookup'!J:K,2)*G803*(1-$AC$1786)*(1+$AC$1788)),""),"")),"not NVP, by"))))))))</f>
        <v/>
      </c>
      <c r="AC803" s="830"/>
      <c r="AD803" s="375" t="str">
        <f t="shared" si="2001"/>
        <v/>
      </c>
      <c r="AE803" s="833" t="str">
        <f t="shared" si="2002"/>
        <v/>
      </c>
      <c r="AF803" s="833"/>
      <c r="AG803" s="833"/>
      <c r="AH803" s="91">
        <f>IF(AD803="free",0,IF(AD803="me",0,IF(G803&gt;0,(VLOOKUP(A803,'Discount Lookup'!J:K,2)*G803),0)))</f>
        <v>0</v>
      </c>
      <c r="AI803" s="92" t="str">
        <f t="shared" si="1994"/>
        <v/>
      </c>
      <c r="AJ803" s="828" t="str">
        <f t="shared" ref="AJ803" si="2067">IF(G803=0,"",IF(AD803="me","  delivery-only",IF($AD$8="me","  delivery-only",CONCATENATE(" $",ROUND(AI803/G803,2)," each"))))</f>
        <v/>
      </c>
      <c r="AK803" s="828"/>
      <c r="AL803" s="313" t="str">
        <f t="shared" si="2010"/>
        <v/>
      </c>
      <c r="AM803" s="312"/>
      <c r="AN803" s="101"/>
      <c r="AO803" s="101"/>
      <c r="AP803" s="101"/>
      <c r="AQ803" s="101"/>
      <c r="AR803" s="101"/>
      <c r="AS803" s="101"/>
      <c r="AT803" s="101"/>
    </row>
    <row r="804" spans="1:46" ht="12.95" customHeight="1">
      <c r="A804" s="419">
        <v>7</v>
      </c>
      <c r="B804" s="87" t="s">
        <v>50</v>
      </c>
      <c r="C804" s="128" t="s">
        <v>88</v>
      </c>
      <c r="D804" s="129" t="s">
        <v>62</v>
      </c>
      <c r="E804" s="98">
        <v>56.95</v>
      </c>
      <c r="F804" s="705" t="s">
        <v>1306</v>
      </c>
      <c r="G804" s="357">
        <v>0</v>
      </c>
      <c r="H804" s="704" t="str">
        <f t="shared" ref="H804:H808" si="2068">IF(G804=0,"",IF(F804="Qty=",IF(G804=1,"plant","plants"),IF(F804&gt;0.0001,"warranty","Error")))</f>
        <v/>
      </c>
      <c r="I804" s="98">
        <f t="shared" ref="I804:I808" si="2069">IF(F804="Qty=",(E804*G804),((E804*(1-F804))*G804))</f>
        <v>0</v>
      </c>
      <c r="J804" s="98">
        <f t="shared" si="2059"/>
        <v>0</v>
      </c>
      <c r="K804" s="831">
        <f t="shared" si="2060"/>
        <v>0</v>
      </c>
      <c r="L804" s="831"/>
      <c r="M804" s="832" t="str">
        <f t="shared" si="2061"/>
        <v/>
      </c>
      <c r="N804" s="832"/>
      <c r="O804" s="832"/>
      <c r="P804" s="832"/>
      <c r="Q804" s="832"/>
      <c r="R804" s="832"/>
      <c r="S804" s="303">
        <f t="shared" ref="S804" si="2070">E804*G804</f>
        <v>0</v>
      </c>
      <c r="T804" s="541">
        <f>VLOOKUP(A804,'Discount Lookup'!D:E,2,FALSE)*G804</f>
        <v>0</v>
      </c>
      <c r="U804" s="83">
        <f>VLOOKUP(A804,'Discount Lookup'!G:H,2,FALSE)*G804</f>
        <v>0</v>
      </c>
      <c r="V804" s="100">
        <f t="shared" si="2063"/>
        <v>0</v>
      </c>
      <c r="W804" s="100">
        <f t="shared" ref="W804" si="2071">I804</f>
        <v>0</v>
      </c>
      <c r="X804" s="100" t="b">
        <f t="shared" ref="X804" si="2072">IF(G804&gt;0,IF(AD804="me","",G804))</f>
        <v>0</v>
      </c>
      <c r="Y804" s="201"/>
      <c r="Z804" s="829" t="str">
        <f t="shared" si="1992"/>
        <v/>
      </c>
      <c r="AA804" s="829"/>
      <c r="AB804" s="830" t="str">
        <f>IF(G804=0,"",IF(AD804="free","re-planting",IF(AD804="me","not NVP, by",IF($AD$8="yes",(VLOOKUP(A804,'Discount Lookup'!J:K,2)*G804*(1-$AC$1786)*(1+$AC$1788)),IF(AD804="NVP",(VLOOKUP(A804,'Discount Lookup'!J:K,2)*G804*(1-$AC$1786)*(1+$AC$1788)),IF(AD804="free","re-planting",IF(G804=0,"",IF($AD$8="",IF(AD804="me","not NVP, by",IF(AD804="",IF(G804&gt;0,(VLOOKUP(A804,'Discount Lookup'!J:K,2)*G804*(1-$AC$1786)*(1+$AC$1788)),""),"")),"not NVP, by"))))))))</f>
        <v/>
      </c>
      <c r="AC804" s="830"/>
      <c r="AD804" s="375" t="str">
        <f t="shared" si="2001"/>
        <v/>
      </c>
      <c r="AE804" s="833" t="str">
        <f t="shared" ref="AE804" si="2073">IF(G804&gt;0,(CONCATENATE((G804)," quantity, ",(A804)," ",B804)),"")</f>
        <v/>
      </c>
      <c r="AF804" s="833"/>
      <c r="AG804" s="833"/>
      <c r="AH804" s="91">
        <f>IF(AD804="free",0,IF(AD804="me",0,IF(G804&gt;0,(VLOOKUP(A804,'Discount Lookup'!J:K,2)*G804),0)))</f>
        <v>0</v>
      </c>
      <c r="AI804" s="92" t="str">
        <f t="shared" si="1994"/>
        <v/>
      </c>
      <c r="AJ804" s="828" t="str">
        <f t="shared" si="1995"/>
        <v/>
      </c>
      <c r="AK804" s="828"/>
      <c r="AL804" s="313" t="str">
        <f t="shared" si="2010"/>
        <v/>
      </c>
      <c r="AM804" s="312"/>
      <c r="AN804" s="101"/>
      <c r="AO804" s="101"/>
      <c r="AP804" s="101"/>
      <c r="AQ804" s="101"/>
      <c r="AR804" s="101"/>
      <c r="AS804" s="101"/>
      <c r="AT804" s="101"/>
    </row>
    <row r="805" spans="1:46" ht="12.95" customHeight="1">
      <c r="A805" s="419">
        <v>7</v>
      </c>
      <c r="B805" s="87" t="s">
        <v>50</v>
      </c>
      <c r="C805" s="128" t="s">
        <v>1279</v>
      </c>
      <c r="D805" s="129" t="s">
        <v>54</v>
      </c>
      <c r="E805" s="98">
        <v>77.95</v>
      </c>
      <c r="F805" s="705" t="s">
        <v>1306</v>
      </c>
      <c r="G805" s="357">
        <v>0</v>
      </c>
      <c r="H805" s="704" t="str">
        <f t="shared" si="2068"/>
        <v/>
      </c>
      <c r="I805" s="98">
        <f t="shared" si="2069"/>
        <v>0</v>
      </c>
      <c r="J805" s="98">
        <f t="shared" si="2059"/>
        <v>0</v>
      </c>
      <c r="K805" s="831">
        <f t="shared" si="2060"/>
        <v>0</v>
      </c>
      <c r="L805" s="831"/>
      <c r="M805" s="832" t="str">
        <f t="shared" si="2061"/>
        <v/>
      </c>
      <c r="N805" s="832"/>
      <c r="O805" s="832"/>
      <c r="P805" s="832"/>
      <c r="Q805" s="832"/>
      <c r="R805" s="832"/>
      <c r="S805" s="303">
        <f t="shared" ref="S805" si="2074">E805*G805</f>
        <v>0</v>
      </c>
      <c r="T805" s="541">
        <f>VLOOKUP(A805,'Discount Lookup'!D:E,2,FALSE)*G805</f>
        <v>0</v>
      </c>
      <c r="U805" s="83">
        <f>VLOOKUP(A805,'Discount Lookup'!G:H,2,FALSE)*G805</f>
        <v>0</v>
      </c>
      <c r="V805" s="100">
        <f t="shared" si="2063"/>
        <v>0</v>
      </c>
      <c r="W805" s="100">
        <f t="shared" ref="W805" si="2075">I805</f>
        <v>0</v>
      </c>
      <c r="X805" s="100" t="b">
        <f t="shared" ref="X805" si="2076">IF(G805&gt;0,IF(AD805="me","",G805))</f>
        <v>0</v>
      </c>
      <c r="Y805" s="201"/>
      <c r="Z805" s="829" t="str">
        <f t="shared" si="1992"/>
        <v/>
      </c>
      <c r="AA805" s="829"/>
      <c r="AB805" s="830" t="str">
        <f>IF(G805=0,"",IF(AD805="free","re-planting",IF(AD805="me","not NVP, by",IF($AD$8="yes",(VLOOKUP(A805,'Discount Lookup'!J:K,2)*G805*(1-$AC$1786)*(1+$AC$1788)),IF(AD805="NVP",(VLOOKUP(A805,'Discount Lookup'!J:K,2)*G805*(1-$AC$1786)*(1+$AC$1788)),IF(AD805="free","re-planting",IF(G805=0,"",IF($AD$8="",IF(AD805="me","not NVP, by",IF(AD805="",IF(G805&gt;0,(VLOOKUP(A805,'Discount Lookup'!J:K,2)*G805*(1-$AC$1786)*(1+$AC$1788)),""),"")),"not NVP, by"))))))))</f>
        <v/>
      </c>
      <c r="AC805" s="830"/>
      <c r="AD805" s="375" t="str">
        <f t="shared" si="2001"/>
        <v/>
      </c>
      <c r="AE805" s="833" t="str">
        <f t="shared" si="2002"/>
        <v/>
      </c>
      <c r="AF805" s="833"/>
      <c r="AG805" s="833"/>
      <c r="AH805" s="91">
        <f>IF(AD805="free",0,IF(AD805="me",0,IF(G805&gt;0,(VLOOKUP(A805,'Discount Lookup'!J:K,2)*G805),0)))</f>
        <v>0</v>
      </c>
      <c r="AI805" s="92" t="str">
        <f t="shared" ref="AI805:AI836" si="2077">IF(G805=0,"",IF(AD805="free",(K805*(1-$H$1784)),IF($AD$8="me",(K805*(1-$H$1784)),IF(AD805="me",(K805*(1-$H$1784)),(K805*(1-$H$1784))+AB805))))</f>
        <v/>
      </c>
      <c r="AJ805" s="828" t="str">
        <f t="shared" si="1995"/>
        <v/>
      </c>
      <c r="AK805" s="828"/>
      <c r="AL805" s="313" t="str">
        <f t="shared" si="2010"/>
        <v/>
      </c>
      <c r="AM805" s="312"/>
      <c r="AN805" s="101"/>
      <c r="AO805" s="101"/>
      <c r="AP805" s="101"/>
      <c r="AQ805" s="101"/>
      <c r="AR805" s="101"/>
      <c r="AS805" s="101"/>
      <c r="AT805" s="101"/>
    </row>
    <row r="806" spans="1:46" ht="12.95" customHeight="1">
      <c r="A806" s="419">
        <v>7</v>
      </c>
      <c r="B806" s="87" t="s">
        <v>50</v>
      </c>
      <c r="C806" s="128" t="s">
        <v>1450</v>
      </c>
      <c r="D806" s="129" t="s">
        <v>63</v>
      </c>
      <c r="E806" s="98">
        <v>68.95</v>
      </c>
      <c r="F806" s="705" t="s">
        <v>1306</v>
      </c>
      <c r="G806" s="357">
        <v>0</v>
      </c>
      <c r="H806" s="704" t="str">
        <f t="shared" ref="H806:H807" si="2078">IF(G806=0,"",IF(F806="Qty=",IF(G806=1,"plant","plants"),IF(F806&gt;0.0001,"warranty","Error")))</f>
        <v/>
      </c>
      <c r="I806" s="98">
        <f t="shared" ref="I806:I807" si="2079">IF(F806="Qty=",(E806*G806),((E806*(1-F806))*G806))</f>
        <v>0</v>
      </c>
      <c r="J806" s="98">
        <f t="shared" si="2059"/>
        <v>0</v>
      </c>
      <c r="K806" s="831">
        <f t="shared" si="2060"/>
        <v>0</v>
      </c>
      <c r="L806" s="831"/>
      <c r="M806" s="832" t="str">
        <f t="shared" si="2061"/>
        <v/>
      </c>
      <c r="N806" s="832"/>
      <c r="O806" s="832"/>
      <c r="P806" s="832"/>
      <c r="Q806" s="832"/>
      <c r="R806" s="832"/>
      <c r="S806" s="303">
        <f t="shared" ref="S806:S807" si="2080">E806*G806</f>
        <v>0</v>
      </c>
      <c r="T806" s="541">
        <f>VLOOKUP(A806,'Discount Lookup'!D:E,2,FALSE)*G806</f>
        <v>0</v>
      </c>
      <c r="U806" s="83">
        <f>VLOOKUP(A806,'Discount Lookup'!G:H,2,FALSE)*G806</f>
        <v>0</v>
      </c>
      <c r="V806" s="100">
        <f t="shared" si="2063"/>
        <v>0</v>
      </c>
      <c r="W806" s="100">
        <f t="shared" ref="W806:W807" si="2081">I806</f>
        <v>0</v>
      </c>
      <c r="X806" s="100" t="b">
        <f t="shared" ref="X806:X807" si="2082">IF(G806&gt;0,IF(AD806="me","",G806))</f>
        <v>0</v>
      </c>
      <c r="Y806" s="201"/>
      <c r="Z806" s="829" t="str">
        <f t="shared" ref="Z806:Z807" si="2083">IF(G806=0,"",IF(AD806="me","",IF($AD$8="me","",IF(AD806="free","warranty",IF($AD$8="yes","NVP planting:","to NVP install:")))))</f>
        <v/>
      </c>
      <c r="AA806" s="829"/>
      <c r="AB806" s="830" t="str">
        <f>IF(G806=0,"",IF(AD806="free","re-planting",IF(AD806="me","not NVP, by",IF($AD$8="yes",(VLOOKUP(A806,'Discount Lookup'!J:K,2)*G806*(1-$AC$1786)*(1+$AC$1788)),IF(AD806="NVP",(VLOOKUP(A806,'Discount Lookup'!J:K,2)*G806*(1-$AC$1786)*(1+$AC$1788)),IF(AD806="free","re-planting",IF(G806=0,"",IF($AD$8="",IF(AD806="me","not NVP, by",IF(AD806="",IF(G806&gt;0,(VLOOKUP(A806,'Discount Lookup'!J:K,2)*G806*(1-$AC$1786)*(1+$AC$1788)),""),"")),"not NVP, by"))))))))</f>
        <v/>
      </c>
      <c r="AC806" s="830"/>
      <c r="AD806" s="375" t="str">
        <f t="shared" si="2001"/>
        <v/>
      </c>
      <c r="AE806" s="833" t="str">
        <f t="shared" ref="AE806:AE807" si="2084">IF(G806&gt;0,(CONCATENATE((G806)," quantity, ",(A806)," ",B806)),"")</f>
        <v/>
      </c>
      <c r="AF806" s="833"/>
      <c r="AG806" s="833"/>
      <c r="AH806" s="91">
        <f>IF(AD806="free",0,IF(AD806="me",0,IF(G806&gt;0,(VLOOKUP(A806,'Discount Lookup'!J:K,2)*G806),0)))</f>
        <v>0</v>
      </c>
      <c r="AI806" s="92" t="str">
        <f t="shared" si="2077"/>
        <v/>
      </c>
      <c r="AJ806" s="828" t="str">
        <f t="shared" ref="AJ806:AJ807" si="2085">IF(G806=0,"",IF(AD806="me","  delivery-only",IF($AD$8="me","  delivery-only",CONCATENATE(" $",ROUND(AI806/G806,2)," each"))))</f>
        <v/>
      </c>
      <c r="AK806" s="828"/>
      <c r="AL806" s="313" t="str">
        <f t="shared" si="2010"/>
        <v/>
      </c>
      <c r="AM806" s="312"/>
      <c r="AN806" s="101"/>
      <c r="AO806" s="101"/>
      <c r="AP806" s="101"/>
      <c r="AQ806" s="101"/>
      <c r="AR806" s="101"/>
      <c r="AS806" s="101"/>
      <c r="AT806" s="101"/>
    </row>
    <row r="807" spans="1:46" ht="12.95" customHeight="1">
      <c r="A807" s="419">
        <v>15</v>
      </c>
      <c r="B807" s="87" t="s">
        <v>50</v>
      </c>
      <c r="C807" s="128" t="s">
        <v>1469</v>
      </c>
      <c r="D807" s="129" t="s">
        <v>54</v>
      </c>
      <c r="E807" s="98">
        <v>155.94999999999999</v>
      </c>
      <c r="F807" s="705" t="s">
        <v>1306</v>
      </c>
      <c r="G807" s="357">
        <v>0</v>
      </c>
      <c r="H807" s="704" t="str">
        <f t="shared" si="2078"/>
        <v/>
      </c>
      <c r="I807" s="98">
        <f t="shared" si="2079"/>
        <v>0</v>
      </c>
      <c r="J807" s="98">
        <f t="shared" si="2059"/>
        <v>0</v>
      </c>
      <c r="K807" s="831">
        <f t="shared" si="2060"/>
        <v>0</v>
      </c>
      <c r="L807" s="831"/>
      <c r="M807" s="832" t="str">
        <f t="shared" si="2061"/>
        <v/>
      </c>
      <c r="N807" s="832"/>
      <c r="O807" s="832"/>
      <c r="P807" s="832"/>
      <c r="Q807" s="832"/>
      <c r="R807" s="832"/>
      <c r="S807" s="303">
        <f t="shared" si="2080"/>
        <v>0</v>
      </c>
      <c r="T807" s="541">
        <f>VLOOKUP(A807,'Discount Lookup'!D:E,2,FALSE)*G807</f>
        <v>0</v>
      </c>
      <c r="U807" s="83">
        <f>VLOOKUP(A807,'Discount Lookup'!G:H,2,FALSE)*G807</f>
        <v>0</v>
      </c>
      <c r="V807" s="100">
        <f t="shared" si="2063"/>
        <v>0</v>
      </c>
      <c r="W807" s="100">
        <f t="shared" si="2081"/>
        <v>0</v>
      </c>
      <c r="X807" s="100" t="b">
        <f t="shared" si="2082"/>
        <v>0</v>
      </c>
      <c r="Y807" s="201"/>
      <c r="Z807" s="829" t="str">
        <f t="shared" si="2083"/>
        <v/>
      </c>
      <c r="AA807" s="829"/>
      <c r="AB807" s="830" t="str">
        <f>IF(G807=0,"",IF(AD807="free","re-planting",IF(AD807="me","not NVP, by",IF($AD$8="yes",(VLOOKUP(A807,'Discount Lookup'!J:K,2)*G807*(1-$AC$1786)*(1+$AC$1788)),IF(AD807="NVP",(VLOOKUP(A807,'Discount Lookup'!J:K,2)*G807*(1-$AC$1786)*(1+$AC$1788)),IF(AD807="free","re-planting",IF(G807=0,"",IF($AD$8="",IF(AD807="me","not NVP, by",IF(AD807="",IF(G807&gt;0,(VLOOKUP(A807,'Discount Lookup'!J:K,2)*G807*(1-$AC$1786)*(1+$AC$1788)),""),"")),"not NVP, by"))))))))</f>
        <v/>
      </c>
      <c r="AC807" s="830"/>
      <c r="AD807" s="375" t="str">
        <f t="shared" si="2001"/>
        <v/>
      </c>
      <c r="AE807" s="833" t="str">
        <f t="shared" si="2084"/>
        <v/>
      </c>
      <c r="AF807" s="833"/>
      <c r="AG807" s="833"/>
      <c r="AH807" s="91">
        <f>IF(AD807="free",0,IF(AD807="me",0,IF(G807&gt;0,(VLOOKUP(A807,'Discount Lookup'!J:K,2)*G807),0)))</f>
        <v>0</v>
      </c>
      <c r="AI807" s="92" t="str">
        <f t="shared" si="2077"/>
        <v/>
      </c>
      <c r="AJ807" s="828" t="str">
        <f t="shared" si="2085"/>
        <v/>
      </c>
      <c r="AK807" s="828"/>
      <c r="AL807" s="313" t="str">
        <f t="shared" si="2010"/>
        <v/>
      </c>
      <c r="AM807" s="312"/>
      <c r="AN807" s="101"/>
      <c r="AO807" s="101"/>
      <c r="AP807" s="101"/>
      <c r="AQ807" s="101"/>
      <c r="AR807" s="101"/>
      <c r="AS807" s="101"/>
      <c r="AT807" s="101"/>
    </row>
    <row r="808" spans="1:46" ht="12.95" customHeight="1">
      <c r="A808" s="419">
        <v>15</v>
      </c>
      <c r="B808" s="87" t="s">
        <v>50</v>
      </c>
      <c r="C808" s="128" t="s">
        <v>88</v>
      </c>
      <c r="D808" s="129" t="s">
        <v>90</v>
      </c>
      <c r="E808" s="98">
        <v>160.94999999999999</v>
      </c>
      <c r="F808" s="705" t="s">
        <v>1306</v>
      </c>
      <c r="G808" s="357">
        <v>0</v>
      </c>
      <c r="H808" s="704" t="str">
        <f t="shared" si="2068"/>
        <v/>
      </c>
      <c r="I808" s="98">
        <f t="shared" si="2069"/>
        <v>0</v>
      </c>
      <c r="J808" s="98">
        <f t="shared" si="2059"/>
        <v>0</v>
      </c>
      <c r="K808" s="831">
        <f t="shared" si="2060"/>
        <v>0</v>
      </c>
      <c r="L808" s="831"/>
      <c r="M808" s="832" t="str">
        <f t="shared" si="2061"/>
        <v/>
      </c>
      <c r="N808" s="832"/>
      <c r="O808" s="832"/>
      <c r="P808" s="832"/>
      <c r="Q808" s="832"/>
      <c r="R808" s="832"/>
      <c r="S808" s="303">
        <f t="shared" ref="S808" si="2086">E808*G808</f>
        <v>0</v>
      </c>
      <c r="T808" s="541">
        <f>VLOOKUP(A808,'Discount Lookup'!D:E,2,FALSE)*G808</f>
        <v>0</v>
      </c>
      <c r="U808" s="83">
        <f>VLOOKUP(A808,'Discount Lookup'!G:H,2,FALSE)*G808</f>
        <v>0</v>
      </c>
      <c r="V808" s="100">
        <f t="shared" si="2063"/>
        <v>0</v>
      </c>
      <c r="W808" s="100">
        <f t="shared" ref="W808" si="2087">I808</f>
        <v>0</v>
      </c>
      <c r="X808" s="100" t="b">
        <f t="shared" ref="X808" si="2088">IF(G808&gt;0,IF(AD808="me","",G808))</f>
        <v>0</v>
      </c>
      <c r="Y808" s="201"/>
      <c r="Z808" s="829" t="str">
        <f t="shared" si="1992"/>
        <v/>
      </c>
      <c r="AA808" s="829"/>
      <c r="AB808" s="830" t="str">
        <f>IF(G808=0,"",IF(AD808="free","re-planting",IF(AD808="me","not NVP, by",IF($AD$8="yes",(VLOOKUP(A808,'Discount Lookup'!J:K,2)*G808*(1-$AC$1786)*(1+$AC$1788)),IF(AD808="NVP",(VLOOKUP(A808,'Discount Lookup'!J:K,2)*G808*(1-$AC$1786)*(1+$AC$1788)),IF(AD808="free","re-planting",IF(G808=0,"",IF($AD$8="",IF(AD808="me","not NVP, by",IF(AD808="",IF(G808&gt;0,(VLOOKUP(A808,'Discount Lookup'!J:K,2)*G808*(1-$AC$1786)*(1+$AC$1788)),""),"")),"not NVP, by"))))))))</f>
        <v/>
      </c>
      <c r="AC808" s="830"/>
      <c r="AD808" s="375" t="str">
        <f t="shared" si="2001"/>
        <v/>
      </c>
      <c r="AE808" s="833" t="str">
        <f t="shared" ref="AE808" si="2089">IF(G808&gt;0,(CONCATENATE((G808)," quantity, ",(A808)," ",B808)),"")</f>
        <v/>
      </c>
      <c r="AF808" s="833"/>
      <c r="AG808" s="833"/>
      <c r="AH808" s="91">
        <f>IF(AD808="free",0,IF(AD808="me",0,IF(G808&gt;0,(VLOOKUP(A808,'Discount Lookup'!J:K,2)*G808),0)))</f>
        <v>0</v>
      </c>
      <c r="AI808" s="92" t="str">
        <f t="shared" si="2077"/>
        <v/>
      </c>
      <c r="AJ808" s="828" t="str">
        <f t="shared" si="1995"/>
        <v/>
      </c>
      <c r="AK808" s="828"/>
      <c r="AL808" s="313" t="str">
        <f t="shared" si="2010"/>
        <v/>
      </c>
      <c r="AM808" s="312"/>
      <c r="AN808" s="101"/>
      <c r="AO808" s="101"/>
      <c r="AP808" s="101"/>
      <c r="AQ808" s="101"/>
      <c r="AR808" s="101"/>
      <c r="AS808" s="101"/>
      <c r="AT808" s="101"/>
    </row>
    <row r="809" spans="1:46" ht="12.95" customHeight="1">
      <c r="A809" s="470"/>
      <c r="B809" s="149" t="s">
        <v>493</v>
      </c>
      <c r="C809" s="104"/>
      <c r="D809" s="104"/>
      <c r="E809" s="131"/>
      <c r="F809" s="710"/>
      <c r="G809" s="358"/>
      <c r="H809" s="744"/>
      <c r="I809" s="131"/>
      <c r="M809" s="48"/>
      <c r="N809" s="48"/>
      <c r="O809" s="123">
        <f>VLOOKUP(A809,'Discount Lookup'!D:E,2,FALSE)*G809</f>
        <v>0</v>
      </c>
      <c r="P809" s="124">
        <f>VLOOKUP(A809,'Discount Lookup'!G:H,2,FALSE)*G809</f>
        <v>0</v>
      </c>
      <c r="Q809" s="124"/>
      <c r="R809" s="83">
        <f>IF(F809=0,E809*($J$1782)*G809,0)</f>
        <v>0</v>
      </c>
      <c r="S809" s="82">
        <f t="shared" ref="S809" si="2090">E809*G809</f>
        <v>0</v>
      </c>
      <c r="T809" s="540"/>
      <c r="U809" s="83"/>
      <c r="V809" s="100" t="b">
        <f>IF(G809&gt;0,IF(AD809="me","",G809))</f>
        <v>0</v>
      </c>
      <c r="W809" s="100"/>
      <c r="X809" s="100"/>
      <c r="Y809" s="201"/>
      <c r="Z809" s="829" t="str">
        <f t="shared" si="1992"/>
        <v/>
      </c>
      <c r="AA809" s="829"/>
      <c r="AB809" s="830" t="str">
        <f>IF(G809=0,"",IF(AD809="free","re-planting",IF(AD809="me","not NVP, by",IF($AD$8="yes",(VLOOKUP(A809,'Discount Lookup'!J:K,2)*G809*(1-$AC$1786)*(1+$AC$1788)),IF(AD809="NVP",(VLOOKUP(A809,'Discount Lookup'!J:K,2)*G809*(1-$AC$1786)*(1+$AC$1788)),IF(AD809="free","re-planting",IF(G809=0,"",IF($AD$8="",IF(AD809="me","not NVP, by",IF(AD809="",IF(G809&gt;0,(VLOOKUP(A809,'Discount Lookup'!J:K,2)*G809*(1-$AC$1786)*(1+$AC$1788)),""),"")),"not NVP, by"))))))))</f>
        <v/>
      </c>
      <c r="AC809" s="830"/>
      <c r="AD809" s="375" t="str">
        <f t="shared" si="2001"/>
        <v/>
      </c>
      <c r="AE809" s="833" t="str">
        <f t="shared" si="2002"/>
        <v/>
      </c>
      <c r="AF809" s="833"/>
      <c r="AG809" s="833"/>
      <c r="AH809" s="91">
        <f>IF(AD809="free",0,IF(AD809="me",0,IF(G809&gt;0,(VLOOKUP(A809,'Discount Lookup'!J:K,2)*G809),0)))</f>
        <v>0</v>
      </c>
      <c r="AI809" s="92" t="str">
        <f t="shared" si="2077"/>
        <v/>
      </c>
      <c r="AJ809" s="828" t="str">
        <f t="shared" si="1995"/>
        <v/>
      </c>
      <c r="AK809" s="828"/>
      <c r="AL809" s="313" t="str">
        <f t="shared" si="2010"/>
        <v/>
      </c>
      <c r="AM809" s="312"/>
      <c r="AN809" s="101"/>
      <c r="AO809" s="101"/>
      <c r="AP809" s="101"/>
      <c r="AQ809" s="101"/>
      <c r="AR809" s="101"/>
      <c r="AS809" s="101"/>
      <c r="AT809" s="101"/>
    </row>
    <row r="810" spans="1:46" ht="12.95" customHeight="1">
      <c r="A810" s="863" t="s">
        <v>494</v>
      </c>
      <c r="B810" s="864"/>
      <c r="C810" s="864"/>
      <c r="D810" s="864"/>
      <c r="E810" s="864"/>
      <c r="F810" s="864"/>
      <c r="G810" s="864"/>
      <c r="H810" s="776" t="s">
        <v>495</v>
      </c>
      <c r="I810" s="88" t="s">
        <v>79</v>
      </c>
      <c r="J810" s="86"/>
      <c r="K810" s="603" t="s">
        <v>45</v>
      </c>
      <c r="L810" s="601" t="s">
        <v>46</v>
      </c>
      <c r="M810" s="86"/>
      <c r="N810" s="87" t="s">
        <v>75</v>
      </c>
      <c r="O810" s="87"/>
      <c r="P810" s="88"/>
      <c r="Q810" s="88"/>
      <c r="R810" s="86"/>
      <c r="S810" s="125"/>
      <c r="T810" s="543"/>
      <c r="U810" s="112"/>
      <c r="V810" s="100" t="b">
        <f>IF(G810&gt;0,IF(AD810="me","",G810))</f>
        <v>0</v>
      </c>
      <c r="W810" s="100"/>
      <c r="X810" s="100"/>
      <c r="Y810" s="201"/>
      <c r="Z810" s="829" t="str">
        <f t="shared" si="1992"/>
        <v/>
      </c>
      <c r="AA810" s="829"/>
      <c r="AB810" s="830" t="str">
        <f>IF(G810=0,"",IF(AD810="free","re-planting",IF(AD810="me","not NVP, by",IF($AD$8="yes",(VLOOKUP(A810,'Discount Lookup'!J:K,2)*G810*(1-$AC$1786)*(1+$AC$1788)),IF(AD810="NVP",(VLOOKUP(A810,'Discount Lookup'!J:K,2)*G810*(1-$AC$1786)*(1+$AC$1788)),IF(AD810="free","re-planting",IF(G810=0,"",IF($AD$8="",IF(AD810="me","not NVP, by",IF(AD810="",IF(G810&gt;0,(VLOOKUP(A810,'Discount Lookup'!J:K,2)*G810*(1-$AC$1786)*(1+$AC$1788)),""),"")),"not NVP, by"))))))))</f>
        <v/>
      </c>
      <c r="AC810" s="830"/>
      <c r="AD810" s="375" t="str">
        <f t="shared" si="2001"/>
        <v/>
      </c>
      <c r="AE810" s="833" t="str">
        <f t="shared" si="2002"/>
        <v/>
      </c>
      <c r="AF810" s="833"/>
      <c r="AG810" s="833"/>
      <c r="AH810" s="91">
        <f>IF(AD810="free",0,IF(AD810="me",0,IF(G810&gt;0,(VLOOKUP(A810,'Discount Lookup'!J:K,2)*G810),0)))</f>
        <v>0</v>
      </c>
      <c r="AI810" s="92" t="str">
        <f t="shared" si="2077"/>
        <v/>
      </c>
      <c r="AJ810" s="828" t="str">
        <f t="shared" si="1995"/>
        <v/>
      </c>
      <c r="AK810" s="828"/>
      <c r="AL810" s="313" t="str">
        <f t="shared" si="2010"/>
        <v/>
      </c>
      <c r="AM810" s="312"/>
      <c r="AN810" s="101"/>
      <c r="AO810" s="101"/>
      <c r="AP810" s="101"/>
      <c r="AQ810" s="101"/>
      <c r="AR810" s="101"/>
      <c r="AS810" s="101"/>
      <c r="AT810" s="101"/>
    </row>
    <row r="811" spans="1:46" ht="12.95" customHeight="1">
      <c r="A811" s="419">
        <v>3</v>
      </c>
      <c r="B811" s="87" t="s">
        <v>50</v>
      </c>
      <c r="C811" s="128" t="s">
        <v>135</v>
      </c>
      <c r="D811" s="129" t="s">
        <v>87</v>
      </c>
      <c r="E811" s="98">
        <v>28.95</v>
      </c>
      <c r="F811" s="705" t="s">
        <v>1306</v>
      </c>
      <c r="G811" s="357">
        <v>0</v>
      </c>
      <c r="H811" s="704" t="str">
        <f t="shared" ref="H811:H812" si="2091">IF(G811=0,"",IF(F811="Qty=",IF(G811=1,"plant","plants"),IF(F811&gt;0.0001,"warranty","Error")))</f>
        <v/>
      </c>
      <c r="I811" s="98">
        <f t="shared" ref="I811:I812" si="2092">IF(F811="Qty=",(E811*G811),((E811*(1-F811))*G811))</f>
        <v>0</v>
      </c>
      <c r="J811" s="98">
        <f>IF(H811="warranty",0,(I811*($J$1782)))</f>
        <v>0</v>
      </c>
      <c r="K811" s="831">
        <f t="shared" ref="K811:K813" si="2093">I811+J811</f>
        <v>0</v>
      </c>
      <c r="L811" s="831"/>
      <c r="M811" s="832" t="str">
        <f>IF($H$1784=0,"",IF(G811=0,"",IF(F811="Qty=",CONCATENATE("$",ROUND(K811*(1-$H$1784),2)," with ",($H$1784*100),"% discount"),CONCATENATE("$",ROUND(K811*(1-$H$1784),2)," with ",(($H$1784*100+F811*100)-($H$1784*100*F811)),IF(F811&gt;0,"% discounts",IF($H$1781&gt;0,"% discounts","% discount"))))))</f>
        <v/>
      </c>
      <c r="N811" s="832"/>
      <c r="O811" s="832"/>
      <c r="P811" s="832"/>
      <c r="Q811" s="832"/>
      <c r="R811" s="832"/>
      <c r="S811" s="303">
        <f t="shared" ref="S811:S812" si="2094">E811*G811</f>
        <v>0</v>
      </c>
      <c r="T811" s="541">
        <f>VLOOKUP(A811,'Discount Lookup'!D:E,2,FALSE)*G811</f>
        <v>0</v>
      </c>
      <c r="U811" s="83">
        <f>VLOOKUP(A811,'Discount Lookup'!G:H,2,FALSE)*G811</f>
        <v>0</v>
      </c>
      <c r="V811" s="100">
        <f>E811*($J$1782)*G811</f>
        <v>0</v>
      </c>
      <c r="W811" s="100">
        <f t="shared" ref="W811:W812" si="2095">I811</f>
        <v>0</v>
      </c>
      <c r="X811" s="100" t="b">
        <f t="shared" ref="X811" si="2096">IF(G811&gt;0,IF(AD811="me","",G811))</f>
        <v>0</v>
      </c>
      <c r="Y811" s="201"/>
      <c r="Z811" s="829" t="str">
        <f t="shared" ref="Z811:Z812" si="2097">IF(G811=0,"",IF(AD811="me","",IF($AD$8="me","",IF(AD811="free","warranty",IF($AD$8="yes","NVP planting:","to NVP install:")))))</f>
        <v/>
      </c>
      <c r="AA811" s="829"/>
      <c r="AB811" s="830" t="str">
        <f>IF(G811=0,"",IF(AD811="free","re-planting",IF(AD811="me","not NVP, by",IF($AD$8="yes",(VLOOKUP(A811,'Discount Lookup'!J:K,2)*G811*(1-$AC$1786)*(1+$AC$1788)),IF(AD811="NVP",(VLOOKUP(A811,'Discount Lookup'!J:K,2)*G811*(1-$AC$1786)*(1+$AC$1788)),IF(AD811="free","re-planting",IF(G811=0,"",IF($AD$8="",IF(AD811="me","not NVP, by",IF(AD811="",IF(G811&gt;0,(VLOOKUP(A811,'Discount Lookup'!J:K,2)*G811*(1-$AC$1786)*(1+$AC$1788)),""),"")),"not NVP, by"))))))))</f>
        <v/>
      </c>
      <c r="AC811" s="830"/>
      <c r="AD811" s="375" t="str">
        <f t="shared" si="2001"/>
        <v/>
      </c>
      <c r="AE811" s="833" t="str">
        <f t="shared" ref="AE811:AE812" si="2098">IF(G811&gt;0,(CONCATENATE((G811)," quantity, ",(A811)," ",B811)),"")</f>
        <v/>
      </c>
      <c r="AF811" s="833"/>
      <c r="AG811" s="833"/>
      <c r="AH811" s="91">
        <f>IF(AD811="free",0,IF(AD811="me",0,IF(G811&gt;0,(VLOOKUP(A811,'Discount Lookup'!J:K,2)*G811),0)))</f>
        <v>0</v>
      </c>
      <c r="AI811" s="92" t="str">
        <f t="shared" si="2077"/>
        <v/>
      </c>
      <c r="AJ811" s="828" t="str">
        <f t="shared" ref="AJ811:AJ812" si="2099">IF(G811=0,"",IF(AD811="me","  delivery-only",IF($AD$8="me","  delivery-only",CONCATENATE(" $",ROUND(AI811/G811,2)," each"))))</f>
        <v/>
      </c>
      <c r="AK811" s="828"/>
      <c r="AL811" s="313" t="str">
        <f t="shared" si="2010"/>
        <v/>
      </c>
      <c r="AM811" s="312"/>
      <c r="AN811" s="101"/>
      <c r="AO811" s="101"/>
      <c r="AP811" s="101"/>
      <c r="AQ811" s="101"/>
      <c r="AR811" s="101"/>
      <c r="AS811" s="101"/>
      <c r="AT811" s="101"/>
    </row>
    <row r="812" spans="1:46" ht="12.95" customHeight="1">
      <c r="A812" s="419">
        <v>7</v>
      </c>
      <c r="B812" s="87" t="s">
        <v>50</v>
      </c>
      <c r="C812" s="128" t="s">
        <v>1218</v>
      </c>
      <c r="D812" s="129" t="s">
        <v>54</v>
      </c>
      <c r="E812" s="98">
        <v>81.95</v>
      </c>
      <c r="F812" s="705" t="s">
        <v>1306</v>
      </c>
      <c r="G812" s="357">
        <v>0</v>
      </c>
      <c r="H812" s="704" t="str">
        <f t="shared" si="2091"/>
        <v/>
      </c>
      <c r="I812" s="98">
        <f t="shared" si="2092"/>
        <v>0</v>
      </c>
      <c r="J812" s="98">
        <f>IF(H812="warranty",0,(I812*($J$1782)))</f>
        <v>0</v>
      </c>
      <c r="K812" s="831">
        <f t="shared" si="2093"/>
        <v>0</v>
      </c>
      <c r="L812" s="831"/>
      <c r="M812" s="832" t="str">
        <f>IF($H$1784=0,"",IF(G812=0,"",IF(F812="Qty=",CONCATENATE("$",ROUND(K812*(1-$H$1784),2)," with ",($H$1784*100),"% discount"),CONCATENATE("$",ROUND(K812*(1-$H$1784),2)," with ",(($H$1784*100+F812*100)-($H$1784*100*F812)),IF(F812&gt;0,"% discounts",IF($H$1781&gt;0,"% discounts","% discount"))))))</f>
        <v/>
      </c>
      <c r="N812" s="832"/>
      <c r="O812" s="832"/>
      <c r="P812" s="832"/>
      <c r="Q812" s="832"/>
      <c r="R812" s="832"/>
      <c r="S812" s="303">
        <f t="shared" si="2094"/>
        <v>0</v>
      </c>
      <c r="T812" s="541">
        <f>VLOOKUP(A812,'Discount Lookup'!D:E,2,FALSE)*G812</f>
        <v>0</v>
      </c>
      <c r="U812" s="83">
        <f>VLOOKUP(A812,'Discount Lookup'!G:H,2,FALSE)*G812</f>
        <v>0</v>
      </c>
      <c r="V812" s="100">
        <f>E812*($J$1782)*G812</f>
        <v>0</v>
      </c>
      <c r="W812" s="100">
        <f t="shared" si="2095"/>
        <v>0</v>
      </c>
      <c r="X812" s="100" t="b">
        <f>IF(G812&gt;0,IF(AD812="me","",G812))</f>
        <v>0</v>
      </c>
      <c r="Y812" s="201"/>
      <c r="Z812" s="829" t="str">
        <f t="shared" si="2097"/>
        <v/>
      </c>
      <c r="AA812" s="829"/>
      <c r="AB812" s="830" t="str">
        <f>IF(G812=0,"",IF(AD812="free","re-planting",IF(AD812="me","not NVP, by",IF($AD$8="yes",(VLOOKUP(A812,'Discount Lookup'!J:K,2)*G812*(1-$AC$1786)*(1+$AC$1788)),IF(AD812="NVP",(VLOOKUP(A812,'Discount Lookup'!J:K,2)*G812*(1-$AC$1786)*(1+$AC$1788)),IF(AD812="free","re-planting",IF(G812=0,"",IF($AD$8="",IF(AD812="me","not NVP, by",IF(AD812="",IF(G812&gt;0,(VLOOKUP(A812,'Discount Lookup'!J:K,2)*G812*(1-$AC$1786)*(1+$AC$1788)),""),"")),"not NVP, by"))))))))</f>
        <v/>
      </c>
      <c r="AC812" s="830"/>
      <c r="AD812" s="375" t="str">
        <f t="shared" si="2001"/>
        <v/>
      </c>
      <c r="AE812" s="833" t="str">
        <f t="shared" si="2098"/>
        <v/>
      </c>
      <c r="AF812" s="833"/>
      <c r="AG812" s="833"/>
      <c r="AH812" s="91">
        <f>IF(AD812="free",0,IF(AD812="me",0,IF(G812&gt;0,(VLOOKUP(A812,'Discount Lookup'!J:K,2)*G812),0)))</f>
        <v>0</v>
      </c>
      <c r="AI812" s="92" t="str">
        <f t="shared" si="2077"/>
        <v/>
      </c>
      <c r="AJ812" s="828" t="str">
        <f t="shared" si="2099"/>
        <v/>
      </c>
      <c r="AK812" s="828"/>
      <c r="AL812" s="313" t="str">
        <f t="shared" si="2010"/>
        <v/>
      </c>
      <c r="AM812" s="312"/>
      <c r="AN812" s="101"/>
      <c r="AO812" s="101"/>
      <c r="AP812" s="101"/>
      <c r="AQ812" s="101"/>
      <c r="AR812" s="101"/>
      <c r="AS812" s="101"/>
      <c r="AT812" s="101"/>
    </row>
    <row r="813" spans="1:46" ht="12.95" customHeight="1">
      <c r="A813" s="419">
        <v>10</v>
      </c>
      <c r="B813" s="87" t="s">
        <v>50</v>
      </c>
      <c r="C813" s="128" t="s">
        <v>198</v>
      </c>
      <c r="D813" s="129" t="s">
        <v>54</v>
      </c>
      <c r="E813" s="98">
        <v>137.94999999999999</v>
      </c>
      <c r="F813" s="705" t="s">
        <v>1306</v>
      </c>
      <c r="G813" s="357">
        <v>0</v>
      </c>
      <c r="H813" s="704" t="str">
        <f t="shared" ref="H813" si="2100">IF(G813=0,"",IF(F813="Qty=",IF(G813=1,"plant","plants"),IF(F813&gt;0.0001,"warranty","Error")))</f>
        <v/>
      </c>
      <c r="I813" s="98">
        <f t="shared" ref="I813" si="2101">IF(F813="Qty=",(E813*G813),((E813*(1-F813))*G813))</f>
        <v>0</v>
      </c>
      <c r="J813" s="98">
        <f>IF(H813="warranty",0,(I813*($J$1782)))</f>
        <v>0</v>
      </c>
      <c r="K813" s="831">
        <f t="shared" si="2093"/>
        <v>0</v>
      </c>
      <c r="L813" s="831"/>
      <c r="M813" s="832" t="str">
        <f>IF($H$1784=0,"",IF(G813=0,"",IF(F813="Qty=",CONCATENATE("$",ROUND(K813*(1-$H$1784),2)," with ",($H$1784*100),"% discount"),CONCATENATE("$",ROUND(K813*(1-$H$1784),2)," with ",(($H$1784*100+F813*100)-($H$1784*100*F813)),IF(F813&gt;0,"% discounts",IF($H$1781&gt;0,"% discounts","% discount"))))))</f>
        <v/>
      </c>
      <c r="N813" s="832"/>
      <c r="O813" s="832"/>
      <c r="P813" s="832"/>
      <c r="Q813" s="832"/>
      <c r="R813" s="832"/>
      <c r="S813" s="303">
        <f t="shared" ref="S813" si="2102">E813*G813</f>
        <v>0</v>
      </c>
      <c r="T813" s="541">
        <f>VLOOKUP(A813,'Discount Lookup'!D:E,2,FALSE)*G813</f>
        <v>0</v>
      </c>
      <c r="U813" s="83">
        <f>VLOOKUP(A813,'Discount Lookup'!G:H,2,FALSE)*G813</f>
        <v>0</v>
      </c>
      <c r="V813" s="100">
        <f>E813*($J$1782)*G813</f>
        <v>0</v>
      </c>
      <c r="W813" s="100">
        <f t="shared" ref="W813" si="2103">I813</f>
        <v>0</v>
      </c>
      <c r="X813" s="100" t="b">
        <f>IF(G813&gt;0,IF(AD813="me","",G813))</f>
        <v>0</v>
      </c>
      <c r="Y813" s="201"/>
      <c r="Z813" s="829" t="str">
        <f t="shared" si="1992"/>
        <v/>
      </c>
      <c r="AA813" s="829"/>
      <c r="AB813" s="830" t="str">
        <f>IF(G813=0,"",IF(AD813="free","re-planting",IF(AD813="me","not NVP, by",IF($AD$8="yes",(VLOOKUP(A813,'Discount Lookup'!J:K,2)*G813*(1-$AC$1786)*(1+$AC$1788)),IF(AD813="NVP",(VLOOKUP(A813,'Discount Lookup'!J:K,2)*G813*(1-$AC$1786)*(1+$AC$1788)),IF(AD813="free","re-planting",IF(G813=0,"",IF($AD$8="",IF(AD813="me","not NVP, by",IF(AD813="",IF(G813&gt;0,(VLOOKUP(A813,'Discount Lookup'!J:K,2)*G813*(1-$AC$1786)*(1+$AC$1788)),""),"")),"not NVP, by"))))))))</f>
        <v/>
      </c>
      <c r="AC813" s="830"/>
      <c r="AD813" s="375" t="str">
        <f t="shared" si="2001"/>
        <v/>
      </c>
      <c r="AE813" s="833" t="str">
        <f t="shared" si="2002"/>
        <v/>
      </c>
      <c r="AF813" s="833"/>
      <c r="AG813" s="833"/>
      <c r="AH813" s="91">
        <f>IF(AD813="free",0,IF(AD813="me",0,IF(G813&gt;0,(VLOOKUP(A813,'Discount Lookup'!J:K,2)*G813),0)))</f>
        <v>0</v>
      </c>
      <c r="AI813" s="92" t="str">
        <f t="shared" si="2077"/>
        <v/>
      </c>
      <c r="AJ813" s="828" t="str">
        <f t="shared" si="1995"/>
        <v/>
      </c>
      <c r="AK813" s="828"/>
      <c r="AL813" s="313" t="str">
        <f t="shared" si="2010"/>
        <v/>
      </c>
      <c r="AM813" s="312"/>
      <c r="AN813" s="101"/>
      <c r="AO813" s="101"/>
      <c r="AP813" s="101"/>
      <c r="AQ813" s="101"/>
      <c r="AR813" s="101"/>
      <c r="AS813" s="101"/>
      <c r="AT813" s="101"/>
    </row>
    <row r="814" spans="1:46" ht="12.95" customHeight="1">
      <c r="A814" s="482"/>
      <c r="B814" s="149" t="s">
        <v>496</v>
      </c>
      <c r="C814" s="425"/>
      <c r="D814" s="104"/>
      <c r="E814" s="131"/>
      <c r="G814" s="423"/>
      <c r="H814" s="749"/>
      <c r="I814" s="192"/>
      <c r="J814" s="183"/>
      <c r="K814" s="178"/>
      <c r="L814" s="178"/>
      <c r="M814" s="193"/>
      <c r="N814" s="145"/>
      <c r="O814" s="123"/>
      <c r="P814" s="124"/>
      <c r="Q814" s="841" t="s">
        <v>125</v>
      </c>
      <c r="R814" s="841"/>
      <c r="S814" s="841"/>
      <c r="T814" s="841"/>
      <c r="U814" s="841"/>
      <c r="V814" s="841"/>
      <c r="W814" s="286"/>
      <c r="X814" s="286"/>
      <c r="Y814" s="794"/>
      <c r="Z814" s="829" t="str">
        <f t="shared" si="1992"/>
        <v/>
      </c>
      <c r="AA814" s="829"/>
      <c r="AB814" s="830" t="str">
        <f>IF(G814=0,"",IF(AD814="free","re-planting",IF(AD814="me","not NVP, by",IF($AD$8="yes",(VLOOKUP(A814,'Discount Lookup'!J:K,2)*G814*(1-$AC$1786)*(1+$AC$1788)),IF(AD814="NVP",(VLOOKUP(A814,'Discount Lookup'!J:K,2)*G814*(1-$AC$1786)*(1+$AC$1788)),IF(AD814="free","re-planting",IF(G814=0,"",IF($AD$8="",IF(AD814="me","not NVP, by",IF(AD814="",IF(G814&gt;0,(VLOOKUP(A814,'Discount Lookup'!J:K,2)*G814*(1-$AC$1786)*(1+$AC$1788)),""),"")),"not NVP, by"))))))))</f>
        <v/>
      </c>
      <c r="AC814" s="830"/>
      <c r="AD814" s="375" t="str">
        <f t="shared" si="2001"/>
        <v/>
      </c>
      <c r="AE814" s="833" t="str">
        <f t="shared" si="2002"/>
        <v/>
      </c>
      <c r="AF814" s="833"/>
      <c r="AG814" s="833"/>
      <c r="AH814" s="91">
        <f>IF(AD814="free",0,IF(AD814="me",0,IF(G814&gt;0,(VLOOKUP(A814,'Discount Lookup'!J:K,2)*G814),0)))</f>
        <v>0</v>
      </c>
      <c r="AI814" s="92" t="str">
        <f t="shared" si="2077"/>
        <v/>
      </c>
      <c r="AJ814" s="828" t="str">
        <f t="shared" si="1995"/>
        <v/>
      </c>
      <c r="AK814" s="828"/>
      <c r="AL814" s="313" t="str">
        <f t="shared" si="2010"/>
        <v/>
      </c>
      <c r="AM814" s="312"/>
      <c r="AN814" s="101"/>
      <c r="AO814" s="101"/>
      <c r="AP814" s="101"/>
      <c r="AQ814" s="101"/>
      <c r="AR814" s="101"/>
      <c r="AS814" s="101"/>
      <c r="AT814" s="101"/>
    </row>
    <row r="815" spans="1:46" ht="12.95" customHeight="1">
      <c r="A815" s="852" t="s">
        <v>497</v>
      </c>
      <c r="B815" s="844"/>
      <c r="C815" s="844"/>
      <c r="D815" s="844"/>
      <c r="E815" s="844"/>
      <c r="F815" s="844"/>
      <c r="G815" s="844"/>
      <c r="H815" s="777" t="s">
        <v>495</v>
      </c>
      <c r="I815" s="88" t="s">
        <v>235</v>
      </c>
      <c r="J815" s="126"/>
      <c r="K815" s="603" t="s">
        <v>45</v>
      </c>
      <c r="L815" s="601" t="s">
        <v>46</v>
      </c>
      <c r="M815" s="86"/>
      <c r="N815" s="87" t="s">
        <v>69</v>
      </c>
      <c r="O815" s="87"/>
      <c r="P815" s="87"/>
      <c r="Q815" s="87"/>
      <c r="R815" s="86"/>
      <c r="S815" s="125"/>
      <c r="T815" s="543"/>
      <c r="U815" s="112"/>
      <c r="V815" s="100" t="b">
        <f>IF(G815&gt;0,IF(AD815="me","",G815))</f>
        <v>0</v>
      </c>
      <c r="W815" s="100"/>
      <c r="X815" s="100"/>
      <c r="Y815" s="201"/>
      <c r="Z815" s="829" t="str">
        <f t="shared" si="1992"/>
        <v/>
      </c>
      <c r="AA815" s="829"/>
      <c r="AB815" s="830" t="str">
        <f>IF(G815=0,"",IF(AD815="free","re-planting",IF(AD815="me","not NVP, by",IF($AD$8="yes",(VLOOKUP(A815,'Discount Lookup'!J:K,2)*G815*(1-$AC$1786)*(1+$AC$1788)),IF(AD815="NVP",(VLOOKUP(A815,'Discount Lookup'!J:K,2)*G815*(1-$AC$1786)*(1+$AC$1788)),IF(AD815="free","re-planting",IF(G815=0,"",IF($AD$8="",IF(AD815="me","not NVP, by",IF(AD815="",IF(G815&gt;0,(VLOOKUP(A815,'Discount Lookup'!J:K,2)*G815*(1-$AC$1786)*(1+$AC$1788)),""),"")),"not NVP, by"))))))))</f>
        <v/>
      </c>
      <c r="AC815" s="830"/>
      <c r="AD815" s="375" t="str">
        <f t="shared" si="2001"/>
        <v/>
      </c>
      <c r="AE815" s="833" t="str">
        <f t="shared" si="2002"/>
        <v/>
      </c>
      <c r="AF815" s="833"/>
      <c r="AG815" s="833"/>
      <c r="AH815" s="91">
        <f>IF(AD815="free",0,IF(AD815="me",0,IF(G815&gt;0,(VLOOKUP(A815,'Discount Lookup'!J:K,2)*G815),0)))</f>
        <v>0</v>
      </c>
      <c r="AI815" s="92" t="str">
        <f t="shared" si="2077"/>
        <v/>
      </c>
      <c r="AJ815" s="828" t="str">
        <f t="shared" si="1995"/>
        <v/>
      </c>
      <c r="AK815" s="828"/>
      <c r="AL815" s="313" t="str">
        <f t="shared" si="2010"/>
        <v/>
      </c>
      <c r="AM815" s="312"/>
      <c r="AN815" s="101"/>
      <c r="AO815" s="101"/>
      <c r="AP815" s="101"/>
      <c r="AQ815" s="101"/>
      <c r="AR815" s="101"/>
      <c r="AS815" s="101"/>
      <c r="AT815" s="101"/>
    </row>
    <row r="816" spans="1:46" ht="12.95" customHeight="1">
      <c r="A816" s="419">
        <v>3</v>
      </c>
      <c r="B816" s="87" t="s">
        <v>50</v>
      </c>
      <c r="C816" s="424">
        <v>0.5</v>
      </c>
      <c r="D816" s="129" t="s">
        <v>94</v>
      </c>
      <c r="E816" s="98">
        <v>25.95</v>
      </c>
      <c r="F816" s="705" t="s">
        <v>1306</v>
      </c>
      <c r="G816" s="357">
        <v>0</v>
      </c>
      <c r="H816" s="704" t="str">
        <f t="shared" ref="H816:H817" si="2104">IF(G816=0,"",IF(F816="Qty=",IF(G816=1,"plant","plants"),IF(F816&gt;0.0001,"warranty","Error")))</f>
        <v/>
      </c>
      <c r="I816" s="98">
        <f t="shared" ref="I816:I817" si="2105">IF(F816="Qty=",(E816*G816),((E816*(1-F816))*G816))</f>
        <v>0</v>
      </c>
      <c r="J816" s="98">
        <f>IF(H816="warranty",0,(I816*($J$1782)))</f>
        <v>0</v>
      </c>
      <c r="K816" s="831">
        <f t="shared" ref="K816:K817" si="2106">I816+J816</f>
        <v>0</v>
      </c>
      <c r="L816" s="831"/>
      <c r="M816" s="832" t="str">
        <f>IF($H$1784=0,"",IF(G816=0,"",IF(F816="Qty=",CONCATENATE("$",ROUND(K816*(1-$H$1784),2)," with ",($H$1784*100),"% discount"),CONCATENATE("$",ROUND(K816*(1-$H$1784),2)," with ",(($H$1784*100+F816*100)-($H$1784*100*F816)),IF(F816&gt;0,"% discounts",IF($H$1781&gt;0,"% discounts","% discount"))))))</f>
        <v/>
      </c>
      <c r="N816" s="832"/>
      <c r="O816" s="832"/>
      <c r="P816" s="832"/>
      <c r="Q816" s="832"/>
      <c r="R816" s="832"/>
      <c r="S816" s="303">
        <f t="shared" ref="S816:S817" si="2107">E816*G816</f>
        <v>0</v>
      </c>
      <c r="T816" s="541">
        <f>VLOOKUP(A816,'Discount Lookup'!D:E,2,FALSE)*G816</f>
        <v>0</v>
      </c>
      <c r="U816" s="83">
        <f>VLOOKUP(A816,'Discount Lookup'!G:H,2,FALSE)*G816</f>
        <v>0</v>
      </c>
      <c r="V816" s="100">
        <f>E816*($J$1782)*G816</f>
        <v>0</v>
      </c>
      <c r="W816" s="100">
        <f t="shared" ref="W816:W817" si="2108">I816</f>
        <v>0</v>
      </c>
      <c r="X816" s="100" t="b">
        <f>IF(G816&gt;0,IF(AD816="me","",G816))</f>
        <v>0</v>
      </c>
      <c r="Y816" s="201"/>
      <c r="Z816" s="829" t="str">
        <f t="shared" si="1992"/>
        <v/>
      </c>
      <c r="AA816" s="829"/>
      <c r="AB816" s="830" t="str">
        <f>IF(G816=0,"",IF(AD816="free","re-planting",IF(AD816="me","not NVP, by",IF($AD$8="yes",(VLOOKUP(A816,'Discount Lookup'!J:K,2)*G816*(1-$AC$1786)*(1+$AC$1788)),IF(AD816="NVP",(VLOOKUP(A816,'Discount Lookup'!J:K,2)*G816*(1-$AC$1786)*(1+$AC$1788)),IF(AD816="free","re-planting",IF(G816=0,"",IF($AD$8="",IF(AD816="me","not NVP, by",IF(AD816="",IF(G816&gt;0,(VLOOKUP(A816,'Discount Lookup'!J:K,2)*G816*(1-$AC$1786)*(1+$AC$1788)),""),"")),"not NVP, by"))))))))</f>
        <v/>
      </c>
      <c r="AC816" s="830"/>
      <c r="AD816" s="375" t="str">
        <f t="shared" si="2001"/>
        <v/>
      </c>
      <c r="AE816" s="833" t="str">
        <f t="shared" si="2002"/>
        <v/>
      </c>
      <c r="AF816" s="833"/>
      <c r="AG816" s="833"/>
      <c r="AH816" s="91">
        <f>IF(AD816="free",0,IF(AD816="me",0,IF(G816&gt;0,(VLOOKUP(A816,'Discount Lookup'!J:K,2)*G816),0)))</f>
        <v>0</v>
      </c>
      <c r="AI816" s="92" t="str">
        <f t="shared" si="2077"/>
        <v/>
      </c>
      <c r="AJ816" s="828" t="str">
        <f t="shared" si="1995"/>
        <v/>
      </c>
      <c r="AK816" s="828"/>
      <c r="AL816" s="313" t="str">
        <f t="shared" si="2010"/>
        <v/>
      </c>
      <c r="AM816" s="312"/>
      <c r="AN816" s="101"/>
      <c r="AO816" s="101"/>
      <c r="AP816" s="101"/>
      <c r="AQ816" s="101"/>
      <c r="AR816" s="101"/>
      <c r="AS816" s="101"/>
      <c r="AT816" s="101"/>
    </row>
    <row r="817" spans="1:46" ht="12.95" customHeight="1">
      <c r="A817" s="419">
        <v>7</v>
      </c>
      <c r="B817" s="87" t="s">
        <v>50</v>
      </c>
      <c r="C817" s="128" t="s">
        <v>1354</v>
      </c>
      <c r="D817" s="129" t="s">
        <v>63</v>
      </c>
      <c r="E817" s="98">
        <v>79.95</v>
      </c>
      <c r="F817" s="705" t="s">
        <v>1306</v>
      </c>
      <c r="G817" s="357">
        <v>0</v>
      </c>
      <c r="H817" s="704" t="str">
        <f t="shared" si="2104"/>
        <v/>
      </c>
      <c r="I817" s="98">
        <f t="shared" si="2105"/>
        <v>0</v>
      </c>
      <c r="J817" s="98">
        <f>IF(H817="warranty",0,(I817*($J$1782)))</f>
        <v>0</v>
      </c>
      <c r="K817" s="831">
        <f t="shared" si="2106"/>
        <v>0</v>
      </c>
      <c r="L817" s="831"/>
      <c r="M817" s="832" t="str">
        <f>IF($H$1784=0,"",IF(G817=0,"",IF(F817="Qty=",CONCATENATE("$",ROUND(K817*(1-$H$1784),2)," with ",($H$1784*100),"% discount"),CONCATENATE("$",ROUND(K817*(1-$H$1784),2)," with ",(($H$1784*100+F817*100)-($H$1784*100*F817)),IF(F817&gt;0,"% discounts",IF($H$1781&gt;0,"% discounts","% discount"))))))</f>
        <v/>
      </c>
      <c r="N817" s="832"/>
      <c r="O817" s="832"/>
      <c r="P817" s="832"/>
      <c r="Q817" s="832"/>
      <c r="R817" s="832"/>
      <c r="S817" s="303">
        <f t="shared" si="2107"/>
        <v>0</v>
      </c>
      <c r="T817" s="541">
        <f>VLOOKUP(A817,'Discount Lookup'!D:E,2,FALSE)*G817</f>
        <v>0</v>
      </c>
      <c r="U817" s="83">
        <f>VLOOKUP(A817,'Discount Lookup'!G:H,2,FALSE)*G817</f>
        <v>0</v>
      </c>
      <c r="V817" s="100">
        <f>E817*($J$1782)*G817</f>
        <v>0</v>
      </c>
      <c r="W817" s="100">
        <f t="shared" si="2108"/>
        <v>0</v>
      </c>
      <c r="X817" s="100" t="b">
        <f>IF(G817&gt;0,IF(AD817="me","",G817))</f>
        <v>0</v>
      </c>
      <c r="Y817" s="201"/>
      <c r="Z817" s="829" t="str">
        <f t="shared" si="1992"/>
        <v/>
      </c>
      <c r="AA817" s="829"/>
      <c r="AB817" s="830" t="str">
        <f>IF(G817=0,"",IF(AD817="free","re-planting",IF(AD817="me","not NVP, by",IF($AD$8="yes",(VLOOKUP(A817,'Discount Lookup'!J:K,2)*G817*(1-$AC$1786)*(1+$AC$1788)),IF(AD817="NVP",(VLOOKUP(A817,'Discount Lookup'!J:K,2)*G817*(1-$AC$1786)*(1+$AC$1788)),IF(AD817="free","re-planting",IF(G817=0,"",IF($AD$8="",IF(AD817="me","not NVP, by",IF(AD817="",IF(G817&gt;0,(VLOOKUP(A817,'Discount Lookup'!J:K,2)*G817*(1-$AC$1786)*(1+$AC$1788)),""),"")),"not NVP, by"))))))))</f>
        <v/>
      </c>
      <c r="AC817" s="830"/>
      <c r="AD817" s="375" t="str">
        <f t="shared" si="2001"/>
        <v/>
      </c>
      <c r="AE817" s="833" t="str">
        <f t="shared" si="2002"/>
        <v/>
      </c>
      <c r="AF817" s="833"/>
      <c r="AG817" s="833"/>
      <c r="AH817" s="91">
        <f>IF(AD817="free",0,IF(AD817="me",0,IF(G817&gt;0,(VLOOKUP(A817,'Discount Lookup'!J:K,2)*G817),0)))</f>
        <v>0</v>
      </c>
      <c r="AI817" s="92" t="str">
        <f t="shared" si="2077"/>
        <v/>
      </c>
      <c r="AJ817" s="828" t="str">
        <f t="shared" si="1995"/>
        <v/>
      </c>
      <c r="AK817" s="828"/>
      <c r="AL817" s="313" t="str">
        <f t="shared" si="2010"/>
        <v/>
      </c>
      <c r="AM817" s="312"/>
      <c r="AN817" s="101"/>
      <c r="AO817" s="101"/>
      <c r="AP817" s="101"/>
      <c r="AQ817" s="101"/>
      <c r="AR817" s="101"/>
      <c r="AS817" s="101"/>
      <c r="AT817" s="101"/>
    </row>
    <row r="818" spans="1:46" ht="12.95" customHeight="1">
      <c r="A818" s="483"/>
      <c r="B818" s="149" t="s">
        <v>498</v>
      </c>
      <c r="C818" s="117"/>
      <c r="D818" s="118"/>
      <c r="E818" s="119"/>
      <c r="F818" s="711"/>
      <c r="G818" s="356"/>
      <c r="H818" s="745"/>
      <c r="I818" s="119"/>
      <c r="J818" s="840"/>
      <c r="K818" s="840"/>
      <c r="L818" s="840"/>
      <c r="M818" s="48"/>
      <c r="N818" s="48"/>
      <c r="O818" s="123"/>
      <c r="P818" s="124"/>
      <c r="Q818" s="124"/>
      <c r="R818" s="48"/>
      <c r="S818" s="48"/>
      <c r="T818" s="546"/>
      <c r="V818" s="100" t="b">
        <f>IF(G818&gt;0,IF(AD818="me","",G818))</f>
        <v>0</v>
      </c>
      <c r="W818" s="100"/>
      <c r="X818" s="100"/>
      <c r="Y818" s="201"/>
      <c r="Z818" s="829" t="str">
        <f t="shared" si="1992"/>
        <v/>
      </c>
      <c r="AA818" s="829"/>
      <c r="AB818" s="830" t="str">
        <f>IF(G818=0,"",IF(AD818="free","re-planting",IF(AD818="me","not NVP, by",IF($AD$8="yes",(VLOOKUP(A818,'Discount Lookup'!J:K,2)*G818*(1-$AC$1786)*(1+$AC$1788)),IF(AD818="NVP",(VLOOKUP(A818,'Discount Lookup'!J:K,2)*G818*(1-$AC$1786)*(1+$AC$1788)),IF(AD818="free","re-planting",IF(G818=0,"",IF($AD$8="",IF(AD818="me","not NVP, by",IF(AD818="",IF(G818&gt;0,(VLOOKUP(A818,'Discount Lookup'!J:K,2)*G818*(1-$AC$1786)*(1+$AC$1788)),""),"")),"not NVP, by"))))))))</f>
        <v/>
      </c>
      <c r="AC818" s="830"/>
      <c r="AD818" s="375" t="str">
        <f t="shared" si="2001"/>
        <v/>
      </c>
      <c r="AE818" s="833" t="str">
        <f t="shared" si="2002"/>
        <v/>
      </c>
      <c r="AF818" s="833"/>
      <c r="AG818" s="833"/>
      <c r="AH818" s="91">
        <f>IF(AD818="free",0,IF(AD818="me",0,IF(G818&gt;0,(VLOOKUP(A818,'Discount Lookup'!J:K,2)*G818),0)))</f>
        <v>0</v>
      </c>
      <c r="AI818" s="92" t="str">
        <f t="shared" si="2077"/>
        <v/>
      </c>
      <c r="AJ818" s="828" t="str">
        <f t="shared" si="1995"/>
        <v/>
      </c>
      <c r="AK818" s="828"/>
      <c r="AL818" s="313" t="str">
        <f t="shared" si="2010"/>
        <v/>
      </c>
      <c r="AM818" s="312"/>
      <c r="AN818" s="101"/>
      <c r="AO818" s="101"/>
      <c r="AP818" s="101"/>
      <c r="AQ818" s="101"/>
      <c r="AR818" s="101"/>
      <c r="AS818" s="101"/>
      <c r="AT818" s="101"/>
    </row>
    <row r="819" spans="1:46" ht="12.75" customHeight="1">
      <c r="A819" s="901" t="s">
        <v>1034</v>
      </c>
      <c r="B819" s="902"/>
      <c r="C819" s="902"/>
      <c r="D819" s="902"/>
      <c r="E819" s="902"/>
      <c r="F819" s="902"/>
      <c r="G819" s="902"/>
      <c r="H819" s="776" t="s">
        <v>1035</v>
      </c>
      <c r="I819" s="88" t="s">
        <v>79</v>
      </c>
      <c r="J819" s="86"/>
      <c r="K819" s="603" t="s">
        <v>45</v>
      </c>
      <c r="L819" s="601" t="s">
        <v>46</v>
      </c>
      <c r="M819" s="86"/>
      <c r="N819" s="87" t="s">
        <v>69</v>
      </c>
      <c r="O819" s="87"/>
      <c r="P819" s="88"/>
      <c r="Q819" s="88"/>
      <c r="R819" s="86"/>
      <c r="S819" s="125"/>
      <c r="T819" s="543"/>
      <c r="U819" s="112"/>
      <c r="V819" s="100" t="b">
        <f>IF(G819&gt;0,IF(AD819="me","",G819))</f>
        <v>0</v>
      </c>
      <c r="W819" s="100"/>
      <c r="X819" s="100"/>
      <c r="Y819" s="201"/>
      <c r="Z819" s="838" t="str">
        <f>IF(G819=0,"",IF(AD819="me","",IF($AD$8="me","",IF(AD819="free","warranty",IF($AD$8="yes","NVP planting:","to NVP install:")))))</f>
        <v/>
      </c>
      <c r="AA819" s="838"/>
      <c r="AB819" s="830" t="str">
        <f>IF(G819=0,"",IF(AD819="free","re-planting",IF(AD819="me","not NVP, by",IF($AD$8="yes",(VLOOKUP(A819,'Discount Lookup'!J:K,2)*G819*(1-$AC$1786)*(1+$AC$1788)),IF(AD819="NVP",(VLOOKUP(A819,'Discount Lookup'!J:K,2)*G819*(1-$AC$1786)*(1+$AC$1788)),IF(AD819="free","re-planting",IF(G819=0,"",IF($AD$8="",IF(AD819="me","not NVP, by",IF(AD819="",IF(G819&gt;0,(VLOOKUP(A819,'Discount Lookup'!J:K,2)*G819*(1-$AC$1786)*(1+$AC$1788)),""),"")),"not NVP, by"))))))))</f>
        <v/>
      </c>
      <c r="AC819" s="830"/>
      <c r="AD819" s="375" t="str">
        <f t="shared" si="2001"/>
        <v/>
      </c>
      <c r="AE819" s="833" t="str">
        <f t="shared" ref="AE819:AE824" si="2109">IF(G819&gt;0,(CONCATENATE((G819)," quantity, ",(A819)," ",B819)),"")</f>
        <v/>
      </c>
      <c r="AF819" s="833"/>
      <c r="AG819" s="833"/>
      <c r="AH819" s="91" t="s">
        <v>109</v>
      </c>
      <c r="AI819" s="92" t="str">
        <f t="shared" si="2077"/>
        <v/>
      </c>
      <c r="AJ819" s="828" t="str">
        <f>IF(G819=0,"",IF(AD819="me","  delivery-only",CONCATENATE(" $",ROUND(AI819/G819,2)," each")))</f>
        <v/>
      </c>
      <c r="AK819" s="828"/>
      <c r="AL819" s="313" t="str">
        <f t="shared" si="2010"/>
        <v/>
      </c>
      <c r="AM819" s="312"/>
      <c r="AN819" s="101"/>
      <c r="AO819" s="101"/>
      <c r="AP819" s="101"/>
      <c r="AQ819" s="101"/>
      <c r="AR819" s="101"/>
      <c r="AS819" s="101"/>
      <c r="AT819" s="101"/>
    </row>
    <row r="820" spans="1:46" ht="12.95" customHeight="1">
      <c r="A820" s="447">
        <v>10</v>
      </c>
      <c r="B820" s="87" t="s">
        <v>50</v>
      </c>
      <c r="C820" s="128" t="s">
        <v>51</v>
      </c>
      <c r="D820" s="129" t="s">
        <v>90</v>
      </c>
      <c r="E820" s="98">
        <v>135.94999999999999</v>
      </c>
      <c r="F820" s="705" t="s">
        <v>1306</v>
      </c>
      <c r="G820" s="357">
        <v>0</v>
      </c>
      <c r="H820" s="704" t="str">
        <f t="shared" ref="H820" si="2110">IF(G820=0,"",IF(F820="Qty=",IF(G820=1,"plant","plants"),IF(F820&gt;0.0001,"warranty","Error")))</f>
        <v/>
      </c>
      <c r="I820" s="98">
        <f t="shared" ref="I820" si="2111">IF(F820="Qty=",(E820*G820),((E820*(1-F820))*G820))</f>
        <v>0</v>
      </c>
      <c r="J820" s="98">
        <f>IF(H820="warranty",0,(I820*($J$1782)))</f>
        <v>0</v>
      </c>
      <c r="K820" s="831">
        <f t="shared" ref="K820" si="2112">I820+J820</f>
        <v>0</v>
      </c>
      <c r="L820" s="831"/>
      <c r="M820" s="832" t="str">
        <f>IF($H$1784=0,"",IF(G820=0,"",IF(F820="Qty=",CONCATENATE("$",ROUND(K820*(1-$H$1784),2)," with ",($H$1784*100),"% discount"),CONCATENATE("$",ROUND(K820*(1-$H$1784),2)," with ",(($H$1784*100+F820*100)-($H$1784*100*F820)),IF(F820&gt;0,"% discounts",IF($H$1781&gt;0,"% discounts","% discount"))))))</f>
        <v/>
      </c>
      <c r="N820" s="832"/>
      <c r="O820" s="832"/>
      <c r="P820" s="832"/>
      <c r="Q820" s="832"/>
      <c r="R820" s="832"/>
      <c r="S820" s="303">
        <f t="shared" ref="S820" si="2113">E820*G820</f>
        <v>0</v>
      </c>
      <c r="T820" s="541">
        <f>VLOOKUP(A820,'Discount Lookup'!D:E,2,FALSE)*G820</f>
        <v>0</v>
      </c>
      <c r="U820" s="83">
        <f>VLOOKUP(A820,'Discount Lookup'!G:H,2,FALSE)*G820</f>
        <v>0</v>
      </c>
      <c r="V820" s="100">
        <f>E820*($J$1782)*G820</f>
        <v>0</v>
      </c>
      <c r="W820" s="100">
        <f t="shared" ref="W820" si="2114">I820</f>
        <v>0</v>
      </c>
      <c r="X820" s="100" t="b">
        <f>IF(G820&gt;0,IF(AD820="me","",G820))</f>
        <v>0</v>
      </c>
      <c r="Y820" s="201"/>
      <c r="Z820" s="829" t="str">
        <f t="shared" ref="Z820" si="2115">IF(G820=0,"",IF(AD820="me","",IF($AD$8="me","",IF(AD820="free","warranty",IF($AD$8="yes","NVP planting:","to NVP install:")))))</f>
        <v/>
      </c>
      <c r="AA820" s="829"/>
      <c r="AB820" s="830" t="str">
        <f>IF(G820=0,"",IF(AD820="free","re-planting",IF(AD820="me","not NVP, by",IF($AD$8="yes",(VLOOKUP(A820,'Discount Lookup'!J:K,2)*G820*(1-$AC$1786)*(1+$AC$1788)),IF(AD820="NVP",(VLOOKUP(A820,'Discount Lookup'!J:K,2)*G820*(1-$AC$1786)*(1+$AC$1788)),IF(AD820="free","re-planting",IF(G820=0,"",IF($AD$8="",IF(AD820="me","not NVP, by",IF(AD820="",IF(G820&gt;0,(VLOOKUP(A820,'Discount Lookup'!J:K,2)*G820*(1-$AC$1786)*(1+$AC$1788)),""),"")),"not NVP, by"))))))))</f>
        <v/>
      </c>
      <c r="AC820" s="830"/>
      <c r="AD820" s="375" t="str">
        <f t="shared" si="2001"/>
        <v/>
      </c>
      <c r="AE820" s="833" t="str">
        <f t="shared" si="2109"/>
        <v/>
      </c>
      <c r="AF820" s="833"/>
      <c r="AG820" s="833"/>
      <c r="AH820" s="91">
        <f>IF(AD820="free",0,IF(AD820="me",0,IF(G820&gt;0,(VLOOKUP(A820,'Discount Lookup'!J:K,2)*G820),0)))</f>
        <v>0</v>
      </c>
      <c r="AI820" s="92" t="str">
        <f t="shared" si="2077"/>
        <v/>
      </c>
      <c r="AJ820" s="828" t="str">
        <f t="shared" ref="AJ820" si="2116">IF(G820=0,"",IF(AD820="me","  delivery-only",IF($AD$8="me","  delivery-only",CONCATENATE(" $",ROUND(AI820/G820,2)," each"))))</f>
        <v/>
      </c>
      <c r="AK820" s="828"/>
      <c r="AL820" s="313" t="str">
        <f t="shared" si="2010"/>
        <v/>
      </c>
      <c r="AM820" s="312"/>
      <c r="AN820" s="101"/>
      <c r="AO820" s="101"/>
      <c r="AP820" s="101"/>
      <c r="AQ820" s="101"/>
      <c r="AR820" s="101"/>
      <c r="AS820" s="101"/>
      <c r="AT820" s="101"/>
    </row>
    <row r="821" spans="1:46" ht="12.95" customHeight="1">
      <c r="A821" s="484"/>
      <c r="B821" s="149" t="s">
        <v>1350</v>
      </c>
      <c r="C821" s="117"/>
      <c r="D821" s="118"/>
      <c r="E821" s="119"/>
      <c r="F821" s="711"/>
      <c r="G821" s="356"/>
      <c r="H821" s="745"/>
      <c r="I821" s="119"/>
      <c r="J821" s="119"/>
      <c r="K821" s="609"/>
      <c r="L821" s="609"/>
      <c r="M821" s="121"/>
      <c r="N821" s="145"/>
      <c r="O821" s="123"/>
      <c r="P821" s="124"/>
      <c r="Q821" s="124"/>
      <c r="R821" s="83"/>
      <c r="S821" s="82">
        <f>E821*G821</f>
        <v>0</v>
      </c>
      <c r="T821" s="540"/>
      <c r="U821" s="83"/>
      <c r="V821" s="100" t="b">
        <f>IF(G821&gt;0,IF(AD821="me","",G821))</f>
        <v>0</v>
      </c>
      <c r="W821" s="100"/>
      <c r="X821" s="100"/>
      <c r="Y821" s="201"/>
      <c r="Z821" s="838" t="str">
        <f>IF(G821=0,"",IF(AD821="me","",IF($AD$8="me","",IF(AD821="free","warranty",IF($AD$8="yes","NVP planting:","to NVP install:")))))</f>
        <v/>
      </c>
      <c r="AA821" s="838"/>
      <c r="AB821" s="830" t="str">
        <f>IF(G821=0,"",IF(AD821="free","re-planting",IF(AD821="me","not NVP, by",IF($AD$8="yes",(VLOOKUP(A821,'Discount Lookup'!J:K,2)*G821*(1-$AC$1786)*(1+$AC$1788)),IF(AD821="NVP",(VLOOKUP(A821,'Discount Lookup'!J:K,2)*G821*(1-$AC$1786)*(1+$AC$1788)),IF(AD821="free","re-planting",IF(G821=0,"",IF($AD$8="",IF(AD821="me","not NVP, by",IF(AD821="",IF(G821&gt;0,(VLOOKUP(A821,'Discount Lookup'!J:K,2)*G821*(1-$AC$1786)*(1+$AC$1788)),""),"")),"not NVP, by"))))))))</f>
        <v/>
      </c>
      <c r="AC821" s="830"/>
      <c r="AD821" s="375" t="str">
        <f t="shared" si="2001"/>
        <v/>
      </c>
      <c r="AE821" s="833" t="str">
        <f t="shared" si="2109"/>
        <v/>
      </c>
      <c r="AF821" s="833"/>
      <c r="AG821" s="833"/>
      <c r="AH821" s="91" t="s">
        <v>109</v>
      </c>
      <c r="AI821" s="92" t="str">
        <f t="shared" si="2077"/>
        <v/>
      </c>
      <c r="AJ821" s="828" t="str">
        <f>IF(G821=0,"",IF(AD821="me","  delivery-only",CONCATENATE(" $",ROUND(AI821/G821,2)," each")))</f>
        <v/>
      </c>
      <c r="AK821" s="828"/>
      <c r="AL821" s="313" t="str">
        <f t="shared" si="2010"/>
        <v/>
      </c>
      <c r="AM821" s="312"/>
      <c r="AN821" s="101"/>
      <c r="AO821" s="101"/>
      <c r="AP821" s="101"/>
      <c r="AQ821" s="101"/>
      <c r="AR821" s="101"/>
      <c r="AS821" s="101"/>
      <c r="AT821" s="101"/>
    </row>
    <row r="822" spans="1:46" ht="12.95" customHeight="1">
      <c r="A822" s="901" t="s">
        <v>1177</v>
      </c>
      <c r="B822" s="902"/>
      <c r="C822" s="902"/>
      <c r="D822" s="902"/>
      <c r="E822" s="902"/>
      <c r="F822" s="902"/>
      <c r="G822" s="902"/>
      <c r="H822" s="776" t="s">
        <v>1035</v>
      </c>
      <c r="I822" s="88" t="s">
        <v>79</v>
      </c>
      <c r="J822" s="86"/>
      <c r="K822" s="603" t="s">
        <v>45</v>
      </c>
      <c r="L822" s="601" t="s">
        <v>46</v>
      </c>
      <c r="M822" s="86"/>
      <c r="N822" s="87" t="s">
        <v>69</v>
      </c>
      <c r="O822" s="87"/>
      <c r="P822" s="88"/>
      <c r="Q822" s="88"/>
      <c r="R822" s="86"/>
      <c r="S822" s="125"/>
      <c r="T822" s="543"/>
      <c r="U822" s="112"/>
      <c r="V822" s="100" t="b">
        <f>IF(G822&gt;0,IF(AD822="me","",G822))</f>
        <v>0</v>
      </c>
      <c r="W822" s="100"/>
      <c r="X822" s="100"/>
      <c r="Y822" s="201"/>
      <c r="Z822" s="829" t="str">
        <f t="shared" si="1992"/>
        <v/>
      </c>
      <c r="AA822" s="829"/>
      <c r="AB822" s="830" t="str">
        <f>IF(G822=0,"",IF(AD822="free","re-planting",IF(AD822="me","not NVP, by",IF($AD$8="yes",(VLOOKUP(A822,'Discount Lookup'!J:K,2)*G822*(1-$AC$1786)*(1+$AC$1788)),IF(AD822="NVP",(VLOOKUP(A822,'Discount Lookup'!J:K,2)*G822*(1-$AC$1786)*(1+$AC$1788)),IF(AD822="free","re-planting",IF(G822=0,"",IF($AD$8="",IF(AD822="me","not NVP, by",IF(AD822="",IF(G822&gt;0,(VLOOKUP(A822,'Discount Lookup'!J:K,2)*G822*(1-$AC$1786)*(1+$AC$1788)),""),"")),"not NVP, by"))))))))</f>
        <v/>
      </c>
      <c r="AC822" s="830"/>
      <c r="AD822" s="375" t="str">
        <f t="shared" si="2001"/>
        <v/>
      </c>
      <c r="AE822" s="833" t="str">
        <f t="shared" si="2109"/>
        <v/>
      </c>
      <c r="AF822" s="833"/>
      <c r="AG822" s="833"/>
      <c r="AH822" s="91">
        <f>IF(AD822="free",0,IF(AD822="me",0,IF(G822&gt;0,(VLOOKUP(A822,'Discount Lookup'!J:K,2)*G822),0)))</f>
        <v>0</v>
      </c>
      <c r="AI822" s="92" t="str">
        <f t="shared" si="2077"/>
        <v/>
      </c>
      <c r="AJ822" s="828" t="str">
        <f t="shared" si="1995"/>
        <v/>
      </c>
      <c r="AK822" s="828"/>
      <c r="AL822" s="313" t="str">
        <f t="shared" si="2010"/>
        <v/>
      </c>
      <c r="AM822" s="312"/>
      <c r="AN822" s="101"/>
      <c r="AO822" s="101"/>
      <c r="AP822" s="101"/>
      <c r="AQ822" s="101"/>
      <c r="AR822" s="101"/>
      <c r="AS822" s="101"/>
      <c r="AT822" s="101"/>
    </row>
    <row r="823" spans="1:46" ht="12.95" customHeight="1">
      <c r="A823" s="447">
        <v>10</v>
      </c>
      <c r="B823" s="87" t="s">
        <v>50</v>
      </c>
      <c r="C823" s="128" t="s">
        <v>102</v>
      </c>
      <c r="D823" s="129" t="s">
        <v>90</v>
      </c>
      <c r="E823" s="98">
        <v>135.94999999999999</v>
      </c>
      <c r="F823" s="705" t="s">
        <v>1306</v>
      </c>
      <c r="G823" s="357">
        <v>0</v>
      </c>
      <c r="H823" s="704" t="str">
        <f t="shared" ref="H823" si="2117">IF(G823=0,"",IF(F823="Qty=",IF(G823=1,"plant","plants"),IF(F823&gt;0.0001,"warranty","Error")))</f>
        <v/>
      </c>
      <c r="I823" s="98">
        <f t="shared" ref="I823" si="2118">IF(F823="Qty=",(E823*G823),((E823*(1-F823))*G823))</f>
        <v>0</v>
      </c>
      <c r="J823" s="98">
        <f>IF(H823="warranty",0,(I823*($J$1782)))</f>
        <v>0</v>
      </c>
      <c r="K823" s="831">
        <f t="shared" ref="K823" si="2119">I823+J823</f>
        <v>0</v>
      </c>
      <c r="L823" s="831"/>
      <c r="M823" s="832" t="str">
        <f>IF($H$1784=0,"",IF(G823=0,"",IF(F823="Qty=",CONCATENATE("$",ROUND(K823*(1-$H$1784),2)," with ",($H$1784*100),"% discount"),CONCATENATE("$",ROUND(K823*(1-$H$1784),2)," with ",(($H$1784*100+F823*100)-($H$1784*100*F823)),IF(F823&gt;0,"% discounts",IF($H$1781&gt;0,"% discounts","% discount"))))))</f>
        <v/>
      </c>
      <c r="N823" s="832"/>
      <c r="O823" s="832"/>
      <c r="P823" s="832"/>
      <c r="Q823" s="832"/>
      <c r="R823" s="832"/>
      <c r="S823" s="303">
        <f t="shared" ref="S823" si="2120">E823*G823</f>
        <v>0</v>
      </c>
      <c r="T823" s="541">
        <f>VLOOKUP(A823,'Discount Lookup'!D:E,2,FALSE)*G823</f>
        <v>0</v>
      </c>
      <c r="U823" s="83">
        <f>VLOOKUP(A823,'Discount Lookup'!G:H,2,FALSE)*G823</f>
        <v>0</v>
      </c>
      <c r="V823" s="100">
        <f>E823*($J$1782)*G823</f>
        <v>0</v>
      </c>
      <c r="W823" s="100">
        <f t="shared" ref="W823" si="2121">I823</f>
        <v>0</v>
      </c>
      <c r="X823" s="100" t="b">
        <f>IF(G823&gt;0,IF(AD823="me","",G823))</f>
        <v>0</v>
      </c>
      <c r="Y823" s="201"/>
      <c r="Z823" s="829" t="str">
        <f t="shared" si="1992"/>
        <v/>
      </c>
      <c r="AA823" s="829"/>
      <c r="AB823" s="830" t="str">
        <f>IF(G823=0,"",IF(AD823="free","re-planting",IF(AD823="me","not NVP, by",IF($AD$8="yes",(VLOOKUP(A823,'Discount Lookup'!J:K,2)*G823*(1-$AC$1786)*(1+$AC$1788)),IF(AD823="NVP",(VLOOKUP(A823,'Discount Lookup'!J:K,2)*G823*(1-$AC$1786)*(1+$AC$1788)),IF(AD823="free","re-planting",IF(G823=0,"",IF($AD$8="",IF(AD823="me","not NVP, by",IF(AD823="",IF(G823&gt;0,(VLOOKUP(A823,'Discount Lookup'!J:K,2)*G823*(1-$AC$1786)*(1+$AC$1788)),""),"")),"not NVP, by"))))))))</f>
        <v/>
      </c>
      <c r="AC823" s="830"/>
      <c r="AD823" s="375" t="str">
        <f t="shared" si="2001"/>
        <v/>
      </c>
      <c r="AE823" s="833" t="str">
        <f t="shared" si="2109"/>
        <v/>
      </c>
      <c r="AF823" s="833"/>
      <c r="AG823" s="833"/>
      <c r="AH823" s="91">
        <f>IF(AD823="free",0,IF(AD823="me",0,IF(G823&gt;0,(VLOOKUP(A823,'Discount Lookup'!J:K,2)*G823),0)))</f>
        <v>0</v>
      </c>
      <c r="AI823" s="92" t="str">
        <f t="shared" si="2077"/>
        <v/>
      </c>
      <c r="AJ823" s="828" t="str">
        <f t="shared" si="1995"/>
        <v/>
      </c>
      <c r="AK823" s="828"/>
      <c r="AL823" s="313" t="str">
        <f t="shared" si="2010"/>
        <v/>
      </c>
      <c r="AM823" s="312"/>
      <c r="AN823" s="101"/>
      <c r="AO823" s="101"/>
      <c r="AP823" s="101"/>
      <c r="AQ823" s="101"/>
      <c r="AR823" s="101"/>
      <c r="AS823" s="101"/>
      <c r="AT823" s="101"/>
    </row>
    <row r="824" spans="1:46" ht="12.95" customHeight="1">
      <c r="A824" s="484"/>
      <c r="B824" s="149" t="s">
        <v>1178</v>
      </c>
      <c r="C824" s="117"/>
      <c r="D824" s="118"/>
      <c r="E824" s="119"/>
      <c r="F824" s="711"/>
      <c r="G824" s="356"/>
      <c r="H824" s="745"/>
      <c r="I824" s="119"/>
      <c r="J824" s="119"/>
      <c r="K824" s="609"/>
      <c r="L824" s="609"/>
      <c r="M824" s="121"/>
      <c r="N824" s="145"/>
      <c r="O824" s="123"/>
      <c r="P824" s="124"/>
      <c r="Q824" s="124"/>
      <c r="R824" s="83"/>
      <c r="S824" s="82">
        <f>E824*G824</f>
        <v>0</v>
      </c>
      <c r="T824" s="540"/>
      <c r="U824" s="83"/>
      <c r="V824" s="100" t="b">
        <f>IF(G824&gt;0,IF(AD824="me","",G824))</f>
        <v>0</v>
      </c>
      <c r="W824" s="100"/>
      <c r="X824" s="100"/>
      <c r="Y824" s="201"/>
      <c r="Z824" s="829" t="str">
        <f t="shared" si="1992"/>
        <v/>
      </c>
      <c r="AA824" s="829"/>
      <c r="AB824" s="830" t="str">
        <f>IF(G824=0,"",IF(AD824="free","re-planting",IF(AD824="me","not NVP, by",IF($AD$8="yes",(VLOOKUP(A824,'Discount Lookup'!J:K,2)*G824*(1-$AC$1786)*(1+$AC$1788)),IF(AD824="NVP",(VLOOKUP(A824,'Discount Lookup'!J:K,2)*G824*(1-$AC$1786)*(1+$AC$1788)),IF(AD824="free","re-planting",IF(G824=0,"",IF($AD$8="",IF(AD824="me","not NVP, by",IF(AD824="",IF(G824&gt;0,(VLOOKUP(A824,'Discount Lookup'!J:K,2)*G824*(1-$AC$1786)*(1+$AC$1788)),""),"")),"not NVP, by"))))))))</f>
        <v/>
      </c>
      <c r="AC824" s="830"/>
      <c r="AD824" s="375" t="str">
        <f t="shared" si="2001"/>
        <v/>
      </c>
      <c r="AE824" s="833" t="str">
        <f t="shared" si="2109"/>
        <v/>
      </c>
      <c r="AF824" s="833"/>
      <c r="AG824" s="833"/>
      <c r="AH824" s="91">
        <f>IF(AD824="free",0,IF(AD824="me",0,IF(G824&gt;0,(VLOOKUP(A824,'Discount Lookup'!J:K,2)*G824),0)))</f>
        <v>0</v>
      </c>
      <c r="AI824" s="92" t="str">
        <f t="shared" si="2077"/>
        <v/>
      </c>
      <c r="AJ824" s="828" t="str">
        <f t="shared" si="1995"/>
        <v/>
      </c>
      <c r="AK824" s="828"/>
      <c r="AL824" s="313" t="str">
        <f t="shared" si="2010"/>
        <v/>
      </c>
      <c r="AM824" s="312"/>
      <c r="AN824" s="101"/>
      <c r="AO824" s="101"/>
      <c r="AP824" s="101"/>
      <c r="AQ824" s="101"/>
      <c r="AR824" s="101"/>
      <c r="AS824" s="101"/>
      <c r="AT824" s="101"/>
    </row>
    <row r="825" spans="1:46" ht="12.75" customHeight="1">
      <c r="A825" s="863" t="s">
        <v>499</v>
      </c>
      <c r="B825" s="864"/>
      <c r="C825" s="864"/>
      <c r="D825" s="864"/>
      <c r="E825" s="864"/>
      <c r="F825" s="864"/>
      <c r="G825" s="864"/>
      <c r="H825" s="776" t="s">
        <v>500</v>
      </c>
      <c r="I825" s="439" t="s">
        <v>280</v>
      </c>
      <c r="J825" s="93"/>
      <c r="K825" s="603" t="s">
        <v>45</v>
      </c>
      <c r="L825" s="601" t="s">
        <v>46</v>
      </c>
      <c r="M825" s="86"/>
      <c r="N825" s="87" t="s">
        <v>69</v>
      </c>
      <c r="O825" s="87"/>
      <c r="P825" s="88"/>
      <c r="Q825" s="88"/>
      <c r="R825" s="86"/>
      <c r="S825" s="125"/>
      <c r="T825" s="543"/>
      <c r="U825" s="89" t="s">
        <v>48</v>
      </c>
      <c r="V825" s="100" t="b">
        <f>IF(G825&gt;0,IF(AD825="me","",G825))</f>
        <v>0</v>
      </c>
      <c r="W825" s="100"/>
      <c r="X825" s="100"/>
      <c r="Y825" s="201"/>
      <c r="Z825" s="829" t="str">
        <f t="shared" si="1992"/>
        <v/>
      </c>
      <c r="AA825" s="829"/>
      <c r="AB825" s="830" t="str">
        <f>IF(G825=0,"",IF(AD825="free","re-planting",IF(AD825="me","not NVP, by",IF($AD$8="yes",(VLOOKUP(A825,'Discount Lookup'!J:K,2)*G825*(1-$AC$1786)*(1+$AC$1788)),IF(AD825="NVP",(VLOOKUP(A825,'Discount Lookup'!J:K,2)*G825*(1-$AC$1786)*(1+$AC$1788)),IF(AD825="free","re-planting",IF(G825=0,"",IF($AD$8="",IF(AD825="me","not NVP, by",IF(AD825="",IF(G825&gt;0,(VLOOKUP(A825,'Discount Lookup'!J:K,2)*G825*(1-$AC$1786)*(1+$AC$1788)),""),"")),"not NVP, by"))))))))</f>
        <v/>
      </c>
      <c r="AC825" s="830"/>
      <c r="AD825" s="375" t="str">
        <f t="shared" si="2001"/>
        <v/>
      </c>
      <c r="AE825" s="833" t="str">
        <f t="shared" si="2002"/>
        <v/>
      </c>
      <c r="AF825" s="833"/>
      <c r="AG825" s="833"/>
      <c r="AH825" s="91">
        <f>IF(AD825="free",0,IF(AD825="me",0,IF(G825&gt;0,(VLOOKUP(A825,'Discount Lookup'!J:K,2)*G825),0)))</f>
        <v>0</v>
      </c>
      <c r="AI825" s="92" t="str">
        <f t="shared" si="2077"/>
        <v/>
      </c>
      <c r="AJ825" s="828" t="str">
        <f t="shared" si="1995"/>
        <v/>
      </c>
      <c r="AK825" s="828"/>
      <c r="AL825" s="313" t="str">
        <f t="shared" si="2010"/>
        <v/>
      </c>
      <c r="AM825" s="312"/>
      <c r="AN825" s="101"/>
      <c r="AO825" s="101"/>
      <c r="AP825" s="101"/>
      <c r="AQ825" s="101"/>
      <c r="AR825" s="101"/>
      <c r="AS825" s="101"/>
      <c r="AT825" s="101"/>
    </row>
    <row r="826" spans="1:46" ht="12.95" customHeight="1">
      <c r="A826" s="419">
        <v>3</v>
      </c>
      <c r="B826" s="87" t="s">
        <v>50</v>
      </c>
      <c r="C826" s="128" t="s">
        <v>1600</v>
      </c>
      <c r="D826" s="129" t="s">
        <v>94</v>
      </c>
      <c r="E826" s="98">
        <v>23.95</v>
      </c>
      <c r="F826" s="705" t="s">
        <v>1306</v>
      </c>
      <c r="G826" s="357">
        <v>0</v>
      </c>
      <c r="H826" s="704" t="str">
        <f t="shared" ref="H826" si="2122">IF(G826=0,"",IF(F826="Qty=",IF(G826=1,"plant","plants"),IF(F826&gt;0.0001,"warranty","Error")))</f>
        <v/>
      </c>
      <c r="I826" s="98">
        <f t="shared" ref="I826" si="2123">IF(F826="Qty=",(E826*G826),((E826*(1-F826))*G826))</f>
        <v>0</v>
      </c>
      <c r="J826" s="98">
        <f>IF(H826="warranty",0,(I826*($J$1782)))</f>
        <v>0</v>
      </c>
      <c r="K826" s="831">
        <f t="shared" ref="K826" si="2124">I826+J826</f>
        <v>0</v>
      </c>
      <c r="L826" s="831"/>
      <c r="M826" s="832" t="str">
        <f>IF($H$1784=0,"",IF(G826=0,"",IF(F826="Qty=",CONCATENATE("$",ROUND(K826*(1-$H$1784),2)," with ",($H$1784*100),"% discount"),CONCATENATE("$",ROUND(K826*(1-$H$1784),2)," with ",(($H$1784*100+F826*100)-($H$1784*100*F826)),IF(F826&gt;0,"% discounts",IF($H$1781&gt;0,"% discounts","% discount"))))))</f>
        <v/>
      </c>
      <c r="N826" s="832"/>
      <c r="O826" s="832"/>
      <c r="P826" s="832"/>
      <c r="Q826" s="832"/>
      <c r="R826" s="832"/>
      <c r="S826" s="303">
        <f t="shared" ref="S826" si="2125">E826*G826</f>
        <v>0</v>
      </c>
      <c r="T826" s="541">
        <f>VLOOKUP(A826,'Discount Lookup'!D:E,2,FALSE)*G826</f>
        <v>0</v>
      </c>
      <c r="U826" s="83">
        <f>VLOOKUP(A826,'Discount Lookup'!G:H,2,FALSE)*G826</f>
        <v>0</v>
      </c>
      <c r="V826" s="100">
        <f>E826*($J$1782)*G826</f>
        <v>0</v>
      </c>
      <c r="W826" s="100">
        <f t="shared" ref="W826" si="2126">I826</f>
        <v>0</v>
      </c>
      <c r="X826" s="100" t="b">
        <f>IF(G826&gt;0,IF(AD826="me","",G826))</f>
        <v>0</v>
      </c>
      <c r="Y826" s="201"/>
      <c r="Z826" s="829" t="str">
        <f t="shared" si="1992"/>
        <v/>
      </c>
      <c r="AA826" s="829"/>
      <c r="AB826" s="830" t="str">
        <f>IF(G826=0,"",IF(AD826="free","re-planting",IF(AD826="me","not NVP, by",IF($AD$8="yes",(VLOOKUP(A826,'Discount Lookup'!J:K,2)*G826*(1-$AC$1786)*(1+$AC$1788)),IF(AD826="NVP",(VLOOKUP(A826,'Discount Lookup'!J:K,2)*G826*(1-$AC$1786)*(1+$AC$1788)),IF(AD826="free","re-planting",IF(G826=0,"",IF($AD$8="",IF(AD826="me","not NVP, by",IF(AD826="",IF(G826&gt;0,(VLOOKUP(A826,'Discount Lookup'!J:K,2)*G826*(1-$AC$1786)*(1+$AC$1788)),""),"")),"not NVP, by"))))))))</f>
        <v/>
      </c>
      <c r="AC826" s="830"/>
      <c r="AD826" s="375" t="str">
        <f t="shared" si="2001"/>
        <v/>
      </c>
      <c r="AE826" s="833" t="str">
        <f t="shared" si="2002"/>
        <v/>
      </c>
      <c r="AF826" s="833"/>
      <c r="AG826" s="833"/>
      <c r="AH826" s="91">
        <f>IF(AD826="free",0,IF(AD826="me",0,IF(G826&gt;0,(VLOOKUP(A826,'Discount Lookup'!J:K,2)*G826),0)))</f>
        <v>0</v>
      </c>
      <c r="AI826" s="92" t="str">
        <f t="shared" si="2077"/>
        <v/>
      </c>
      <c r="AJ826" s="828" t="str">
        <f t="shared" si="1995"/>
        <v/>
      </c>
      <c r="AK826" s="828"/>
      <c r="AL826" s="313" t="str">
        <f t="shared" si="2010"/>
        <v/>
      </c>
      <c r="AM826" s="312"/>
      <c r="AN826" s="101"/>
      <c r="AO826" s="101"/>
      <c r="AP826" s="101"/>
      <c r="AQ826" s="101"/>
      <c r="AR826" s="101"/>
      <c r="AS826" s="101"/>
      <c r="AT826" s="101"/>
    </row>
    <row r="827" spans="1:46" ht="12.95" customHeight="1">
      <c r="A827" s="483"/>
      <c r="B827" s="149" t="s">
        <v>501</v>
      </c>
      <c r="C827" s="117"/>
      <c r="D827" s="118"/>
      <c r="E827" s="119"/>
      <c r="F827" s="711"/>
      <c r="G827" s="356"/>
      <c r="H827" s="745"/>
      <c r="I827" s="119"/>
      <c r="J827" s="119"/>
      <c r="K827" s="609"/>
      <c r="L827" s="609"/>
      <c r="M827" s="121"/>
      <c r="N827" s="121"/>
      <c r="O827" s="123"/>
      <c r="P827" s="124"/>
      <c r="Q827" s="124"/>
      <c r="R827" s="83"/>
      <c r="S827" s="82"/>
      <c r="T827" s="540"/>
      <c r="U827" s="83"/>
      <c r="V827" s="100" t="b">
        <f>IF(G827&gt;0,IF(AD827="me","",G827))</f>
        <v>0</v>
      </c>
      <c r="W827" s="100"/>
      <c r="X827" s="100"/>
      <c r="Y827" s="201"/>
      <c r="Z827" s="829" t="str">
        <f t="shared" si="1992"/>
        <v/>
      </c>
      <c r="AA827" s="829"/>
      <c r="AB827" s="830" t="str">
        <f>IF(G827=0,"",IF(AD827="free","re-planting",IF(AD827="me","not NVP, by",IF($AD$8="yes",(VLOOKUP(A827,'Discount Lookup'!J:K,2)*G827*(1-$AC$1786)*(1+$AC$1788)),IF(AD827="NVP",(VLOOKUP(A827,'Discount Lookup'!J:K,2)*G827*(1-$AC$1786)*(1+$AC$1788)),IF(AD827="free","re-planting",IF(G827=0,"",IF($AD$8="",IF(AD827="me","not NVP, by",IF(AD827="",IF(G827&gt;0,(VLOOKUP(A827,'Discount Lookup'!J:K,2)*G827*(1-$AC$1786)*(1+$AC$1788)),""),"")),"not NVP, by"))))))))</f>
        <v/>
      </c>
      <c r="AC827" s="830"/>
      <c r="AD827" s="375" t="str">
        <f t="shared" ref="AD827:AD875" si="2127">IF(G827=0,"",IF($AD$8="me","me",IF(H827="warranty","free",IF($AD$8="yes","NVP",""))))</f>
        <v/>
      </c>
      <c r="AE827" s="833" t="str">
        <f t="shared" si="2002"/>
        <v/>
      </c>
      <c r="AF827" s="833"/>
      <c r="AG827" s="833"/>
      <c r="AH827" s="91">
        <f>IF(AD827="free",0,IF(AD827="me",0,IF(G827&gt;0,(VLOOKUP(A827,'Discount Lookup'!J:K,2)*G827),0)))</f>
        <v>0</v>
      </c>
      <c r="AI827" s="92" t="str">
        <f t="shared" si="2077"/>
        <v/>
      </c>
      <c r="AJ827" s="828" t="str">
        <f t="shared" si="1995"/>
        <v/>
      </c>
      <c r="AK827" s="828"/>
      <c r="AL827" s="313" t="str">
        <f t="shared" si="2010"/>
        <v/>
      </c>
      <c r="AM827" s="312"/>
      <c r="AN827" s="101"/>
      <c r="AO827" s="101"/>
      <c r="AP827" s="101"/>
      <c r="AQ827" s="101"/>
      <c r="AR827" s="101"/>
      <c r="AS827" s="101"/>
      <c r="AT827" s="101"/>
    </row>
    <row r="828" spans="1:46" ht="12.95" customHeight="1">
      <c r="A828" s="863" t="s">
        <v>502</v>
      </c>
      <c r="B828" s="864"/>
      <c r="C828" s="864"/>
      <c r="D828" s="864"/>
      <c r="E828" s="864"/>
      <c r="F828" s="864"/>
      <c r="G828" s="864"/>
      <c r="H828" s="776" t="s">
        <v>436</v>
      </c>
      <c r="I828" s="88" t="s">
        <v>79</v>
      </c>
      <c r="J828" s="86"/>
      <c r="K828" s="603" t="s">
        <v>45</v>
      </c>
      <c r="L828" s="601" t="s">
        <v>46</v>
      </c>
      <c r="M828" s="86"/>
      <c r="N828" s="87" t="s">
        <v>130</v>
      </c>
      <c r="O828" s="87"/>
      <c r="P828" s="88"/>
      <c r="Q828" s="88"/>
      <c r="R828" s="86"/>
      <c r="S828" s="125"/>
      <c r="T828" s="543"/>
      <c r="U828" s="89" t="s">
        <v>48</v>
      </c>
      <c r="V828" s="100" t="b">
        <f>IF(G828&gt;0,IF(AD828="me","",G828))</f>
        <v>0</v>
      </c>
      <c r="W828" s="100"/>
      <c r="X828" s="100"/>
      <c r="Y828" s="201"/>
      <c r="Z828" s="829" t="str">
        <f t="shared" si="1992"/>
        <v/>
      </c>
      <c r="AA828" s="829"/>
      <c r="AB828" s="830" t="str">
        <f>IF(G828=0,"",IF(AD828="free","re-planting",IF(AD828="me","not NVP, by",IF($AD$8="yes",(VLOOKUP(A828,'Discount Lookup'!J:K,2)*G828*(1-$AC$1786)*(1+$AC$1788)),IF(AD828="NVP",(VLOOKUP(A828,'Discount Lookup'!J:K,2)*G828*(1-$AC$1786)*(1+$AC$1788)),IF(AD828="free","re-planting",IF(G828=0,"",IF($AD$8="",IF(AD828="me","not NVP, by",IF(AD828="",IF(G828&gt;0,(VLOOKUP(A828,'Discount Lookup'!J:K,2)*G828*(1-$AC$1786)*(1+$AC$1788)),""),"")),"not NVP, by"))))))))</f>
        <v/>
      </c>
      <c r="AC828" s="830"/>
      <c r="AD828" s="375" t="str">
        <f t="shared" si="2127"/>
        <v/>
      </c>
      <c r="AE828" s="833" t="str">
        <f t="shared" si="2002"/>
        <v/>
      </c>
      <c r="AF828" s="833"/>
      <c r="AG828" s="833"/>
      <c r="AH828" s="91">
        <f>IF(AD828="free",0,IF(AD828="me",0,IF(G828&gt;0,(VLOOKUP(A828,'Discount Lookup'!J:K,2)*G828),0)))</f>
        <v>0</v>
      </c>
      <c r="AI828" s="92" t="str">
        <f t="shared" si="2077"/>
        <v/>
      </c>
      <c r="AJ828" s="828" t="str">
        <f t="shared" si="1995"/>
        <v/>
      </c>
      <c r="AK828" s="828"/>
      <c r="AL828" s="313" t="str">
        <f t="shared" si="2010"/>
        <v/>
      </c>
      <c r="AM828" s="312"/>
      <c r="AN828" s="101"/>
      <c r="AO828" s="101"/>
      <c r="AP828" s="101"/>
      <c r="AQ828" s="101"/>
      <c r="AR828" s="101"/>
      <c r="AS828" s="101"/>
      <c r="AT828" s="101"/>
    </row>
    <row r="829" spans="1:46" ht="12.95" customHeight="1">
      <c r="A829" s="419">
        <v>3</v>
      </c>
      <c r="B829" s="87" t="s">
        <v>50</v>
      </c>
      <c r="C829" s="399" t="s">
        <v>135</v>
      </c>
      <c r="D829" s="129" t="s">
        <v>86</v>
      </c>
      <c r="E829" s="98">
        <v>24.95</v>
      </c>
      <c r="F829" s="705" t="s">
        <v>1306</v>
      </c>
      <c r="G829" s="357">
        <v>0</v>
      </c>
      <c r="H829" s="704" t="str">
        <f t="shared" ref="H829:H832" si="2128">IF(G829=0,"",IF(F829="Qty=",IF(G829=1,"plant","plants"),IF(F829&gt;0.0001,"warranty","Error")))</f>
        <v/>
      </c>
      <c r="I829" s="98">
        <f t="shared" ref="I829:I832" si="2129">IF(F829="Qty=",(E829*G829),((E829*(1-F829))*G829))</f>
        <v>0</v>
      </c>
      <c r="J829" s="98">
        <f>IF(H829="warranty",0,(I829*($J$1782)))</f>
        <v>0</v>
      </c>
      <c r="K829" s="831">
        <f t="shared" ref="K829:K832" si="2130">I829+J829</f>
        <v>0</v>
      </c>
      <c r="L829" s="831"/>
      <c r="M829" s="832" t="str">
        <f>IF($H$1784=0,"",IF(G829=0,"",IF(F829="Qty=",CONCATENATE("$",ROUND(K829*(1-$H$1784),2)," with ",($H$1784*100),"% discount"),CONCATENATE("$",ROUND(K829*(1-$H$1784),2)," with ",(($H$1784*100+F829*100)-($H$1784*100*F829)),IF(F829&gt;0,"% discounts",IF($H$1781&gt;0,"% discounts","% discount"))))))</f>
        <v/>
      </c>
      <c r="N829" s="832"/>
      <c r="O829" s="832"/>
      <c r="P829" s="832"/>
      <c r="Q829" s="832"/>
      <c r="R829" s="832"/>
      <c r="S829" s="303">
        <f t="shared" ref="S829:S832" si="2131">E829*G829</f>
        <v>0</v>
      </c>
      <c r="T829" s="541">
        <f>VLOOKUP(A829,'Discount Lookup'!D:E,2,FALSE)*G829</f>
        <v>0</v>
      </c>
      <c r="U829" s="83">
        <f>VLOOKUP(A829,'Discount Lookup'!G:H,2,FALSE)*G829</f>
        <v>0</v>
      </c>
      <c r="V829" s="100">
        <f>E829*($J$1782)*G829</f>
        <v>0</v>
      </c>
      <c r="W829" s="100">
        <f t="shared" ref="W829:W832" si="2132">I829</f>
        <v>0</v>
      </c>
      <c r="X829" s="100" t="b">
        <f t="shared" ref="X829:X832" si="2133">IF(G829&gt;0,IF(AD829="me","",G829))</f>
        <v>0</v>
      </c>
      <c r="Y829" s="201"/>
      <c r="Z829" s="829" t="str">
        <f t="shared" si="1992"/>
        <v/>
      </c>
      <c r="AA829" s="829"/>
      <c r="AB829" s="830" t="str">
        <f>IF(G829=0,"",IF(AD829="free","re-planting",IF(AD829="me","not NVP, by",IF($AD$8="yes",(VLOOKUP(A829,'Discount Lookup'!J:K,2)*G829*(1-$AC$1786)*(1+$AC$1788)),IF(AD829="NVP",(VLOOKUP(A829,'Discount Lookup'!J:K,2)*G829*(1-$AC$1786)*(1+$AC$1788)),IF(AD829="free","re-planting",IF(G829=0,"",IF($AD$8="",IF(AD829="me","not NVP, by",IF(AD829="",IF(G829&gt;0,(VLOOKUP(A829,'Discount Lookup'!J:K,2)*G829*(1-$AC$1786)*(1+$AC$1788)),""),"")),"not NVP, by"))))))))</f>
        <v/>
      </c>
      <c r="AC829" s="830"/>
      <c r="AD829" s="375" t="str">
        <f t="shared" si="2127"/>
        <v/>
      </c>
      <c r="AE829" s="833" t="str">
        <f t="shared" si="2002"/>
        <v/>
      </c>
      <c r="AF829" s="833"/>
      <c r="AG829" s="833"/>
      <c r="AH829" s="91">
        <f>IF(AD829="free",0,IF(AD829="me",0,IF(G829&gt;0,(VLOOKUP(A829,'Discount Lookup'!J:K,2)*G829),0)))</f>
        <v>0</v>
      </c>
      <c r="AI829" s="92" t="str">
        <f t="shared" si="2077"/>
        <v/>
      </c>
      <c r="AJ829" s="828" t="str">
        <f t="shared" si="1995"/>
        <v/>
      </c>
      <c r="AK829" s="828"/>
      <c r="AL829" s="313" t="str">
        <f t="shared" si="2010"/>
        <v/>
      </c>
      <c r="AM829" s="312"/>
      <c r="AN829" s="101"/>
      <c r="AO829" s="101"/>
      <c r="AP829" s="101"/>
      <c r="AQ829" s="101"/>
      <c r="AR829" s="101"/>
      <c r="AS829" s="101"/>
      <c r="AT829" s="101"/>
    </row>
    <row r="830" spans="1:46" ht="12.95" customHeight="1">
      <c r="A830" s="419">
        <v>3</v>
      </c>
      <c r="B830" s="87" t="s">
        <v>50</v>
      </c>
      <c r="C830" s="128" t="s">
        <v>144</v>
      </c>
      <c r="D830" s="129" t="s">
        <v>62</v>
      </c>
      <c r="E830" s="98">
        <v>22.95</v>
      </c>
      <c r="F830" s="705" t="s">
        <v>1306</v>
      </c>
      <c r="G830" s="357">
        <v>0</v>
      </c>
      <c r="H830" s="704" t="str">
        <f t="shared" si="2128"/>
        <v/>
      </c>
      <c r="I830" s="98">
        <f t="shared" si="2129"/>
        <v>0</v>
      </c>
      <c r="J830" s="98">
        <f>IF(H830="warranty",0,(I830*($J$1782)))</f>
        <v>0</v>
      </c>
      <c r="K830" s="831">
        <f t="shared" si="2130"/>
        <v>0</v>
      </c>
      <c r="L830" s="831"/>
      <c r="M830" s="832" t="str">
        <f>IF($H$1784=0,"",IF(G830=0,"",IF(F830="Qty=",CONCATENATE("$",ROUND(K830*(1-$H$1784),2)," with ",($H$1784*100),"% discount"),CONCATENATE("$",ROUND(K830*(1-$H$1784),2)," with ",(($H$1784*100+F830*100)-($H$1784*100*F830)),IF(F830&gt;0,"% discounts",IF($H$1781&gt;0,"% discounts","% discount"))))))</f>
        <v/>
      </c>
      <c r="N830" s="832"/>
      <c r="O830" s="832"/>
      <c r="P830" s="832"/>
      <c r="Q830" s="832"/>
      <c r="R830" s="832"/>
      <c r="S830" s="303">
        <f t="shared" si="2131"/>
        <v>0</v>
      </c>
      <c r="T830" s="541">
        <f>VLOOKUP(A830,'Discount Lookup'!D:E,2,FALSE)*G830</f>
        <v>0</v>
      </c>
      <c r="U830" s="83">
        <f>VLOOKUP(A830,'Discount Lookup'!G:H,2,FALSE)*G830</f>
        <v>0</v>
      </c>
      <c r="V830" s="100">
        <f>E830*($J$1782)*G830</f>
        <v>0</v>
      </c>
      <c r="W830" s="100">
        <f t="shared" si="2132"/>
        <v>0</v>
      </c>
      <c r="X830" s="100" t="b">
        <f t="shared" si="2133"/>
        <v>0</v>
      </c>
      <c r="Y830" s="201"/>
      <c r="Z830" s="829" t="str">
        <f t="shared" si="1992"/>
        <v/>
      </c>
      <c r="AA830" s="829"/>
      <c r="AB830" s="830" t="str">
        <f>IF(G830=0,"",IF(AD830="free","re-planting",IF(AD830="me","not NVP, by",IF($AD$8="yes",(VLOOKUP(A830,'Discount Lookup'!J:K,2)*G830*(1-$AC$1786)*(1+$AC$1788)),IF(AD830="NVP",(VLOOKUP(A830,'Discount Lookup'!J:K,2)*G830*(1-$AC$1786)*(1+$AC$1788)),IF(AD830="free","re-planting",IF(G830=0,"",IF($AD$8="",IF(AD830="me","not NVP, by",IF(AD830="",IF(G830&gt;0,(VLOOKUP(A830,'Discount Lookup'!J:K,2)*G830*(1-$AC$1786)*(1+$AC$1788)),""),"")),"not NVP, by"))))))))</f>
        <v/>
      </c>
      <c r="AC830" s="830"/>
      <c r="AD830" s="375" t="str">
        <f t="shared" si="2127"/>
        <v/>
      </c>
      <c r="AE830" s="833" t="str">
        <f t="shared" si="2002"/>
        <v/>
      </c>
      <c r="AF830" s="833"/>
      <c r="AG830" s="833"/>
      <c r="AH830" s="91">
        <f>IF(AD830="free",0,IF(AD830="me",0,IF(G830&gt;0,(VLOOKUP(A830,'Discount Lookup'!J:K,2)*G830),0)))</f>
        <v>0</v>
      </c>
      <c r="AI830" s="92" t="str">
        <f t="shared" si="2077"/>
        <v/>
      </c>
      <c r="AJ830" s="828" t="str">
        <f t="shared" si="1995"/>
        <v/>
      </c>
      <c r="AK830" s="828"/>
      <c r="AL830" s="313" t="str">
        <f t="shared" si="2010"/>
        <v/>
      </c>
      <c r="AM830" s="312"/>
      <c r="AN830" s="101"/>
      <c r="AO830" s="101"/>
      <c r="AP830" s="101"/>
      <c r="AQ830" s="101"/>
      <c r="AR830" s="101"/>
      <c r="AS830" s="101"/>
      <c r="AT830" s="101"/>
    </row>
    <row r="831" spans="1:46" ht="12.95" customHeight="1">
      <c r="A831" s="419">
        <v>10</v>
      </c>
      <c r="B831" s="87" t="s">
        <v>50</v>
      </c>
      <c r="C831" s="399" t="s">
        <v>466</v>
      </c>
      <c r="D831" s="129" t="s">
        <v>86</v>
      </c>
      <c r="E831" s="98">
        <v>91.95</v>
      </c>
      <c r="F831" s="705" t="s">
        <v>1306</v>
      </c>
      <c r="G831" s="357">
        <v>0</v>
      </c>
      <c r="H831" s="704" t="str">
        <f t="shared" ref="H831" si="2134">IF(G831=0,"",IF(F831="Qty=",IF(G831=1,"plant","plants"),IF(F831&gt;0.0001,"warranty","Error")))</f>
        <v/>
      </c>
      <c r="I831" s="98">
        <f t="shared" ref="I831" si="2135">IF(F831="Qty=",(E831*G831),((E831*(1-F831))*G831))</f>
        <v>0</v>
      </c>
      <c r="J831" s="98">
        <f>IF(H831="warranty",0,(I831*($J$1782)))</f>
        <v>0</v>
      </c>
      <c r="K831" s="831">
        <f t="shared" si="2130"/>
        <v>0</v>
      </c>
      <c r="L831" s="831"/>
      <c r="M831" s="832" t="str">
        <f>IF($H$1784=0,"",IF(G831=0,"",IF(F831="Qty=",CONCATENATE("$",ROUND(K831*(1-$H$1784),2)," with ",($H$1784*100),"% discount"),CONCATENATE("$",ROUND(K831*(1-$H$1784),2)," with ",(($H$1784*100+F831*100)-($H$1784*100*F831)),IF(F831&gt;0,"% discounts",IF($H$1781&gt;0,"% discounts","% discount"))))))</f>
        <v/>
      </c>
      <c r="N831" s="832"/>
      <c r="O831" s="832"/>
      <c r="P831" s="832"/>
      <c r="Q831" s="832"/>
      <c r="R831" s="832"/>
      <c r="S831" s="303">
        <f t="shared" ref="S831" si="2136">E831*G831</f>
        <v>0</v>
      </c>
      <c r="T831" s="541">
        <f>VLOOKUP(A831,'Discount Lookup'!D:E,2,FALSE)*G831</f>
        <v>0</v>
      </c>
      <c r="U831" s="83">
        <f>VLOOKUP(A831,'Discount Lookup'!G:H,2,FALSE)*G831</f>
        <v>0</v>
      </c>
      <c r="V831" s="100">
        <f>E831*($J$1782)*G831</f>
        <v>0</v>
      </c>
      <c r="W831" s="100">
        <f t="shared" ref="W831" si="2137">I831</f>
        <v>0</v>
      </c>
      <c r="X831" s="100" t="b">
        <f t="shared" ref="X831" si="2138">IF(G831&gt;0,IF(AD831="me","",G831))</f>
        <v>0</v>
      </c>
      <c r="Y831" s="201"/>
      <c r="Z831" s="829" t="str">
        <f t="shared" ref="Z831" si="2139">IF(G831=0,"",IF(AD831="me","",IF($AD$8="me","",IF(AD831="free","warranty",IF($AD$8="yes","NVP planting:","to NVP install:")))))</f>
        <v/>
      </c>
      <c r="AA831" s="829"/>
      <c r="AB831" s="830" t="str">
        <f>IF(G831=0,"",IF(AD831="free","re-planting",IF(AD831="me","not NVP, by",IF($AD$8="yes",(VLOOKUP(A831,'Discount Lookup'!J:K,2)*G831*(1-$AC$1786)*(1+$AC$1788)),IF(AD831="NVP",(VLOOKUP(A831,'Discount Lookup'!J:K,2)*G831*(1-$AC$1786)*(1+$AC$1788)),IF(AD831="free","re-planting",IF(G831=0,"",IF($AD$8="",IF(AD831="me","not NVP, by",IF(AD831="",IF(G831&gt;0,(VLOOKUP(A831,'Discount Lookup'!J:K,2)*G831*(1-$AC$1786)*(1+$AC$1788)),""),"")),"not NVP, by"))))))))</f>
        <v/>
      </c>
      <c r="AC831" s="830"/>
      <c r="AD831" s="375" t="str">
        <f t="shared" si="2127"/>
        <v/>
      </c>
      <c r="AE831" s="833" t="str">
        <f>IF(G831&gt;0,(CONCATENATE((G831)," quantity, ",(A831)," ",B831)),"")</f>
        <v/>
      </c>
      <c r="AF831" s="833"/>
      <c r="AG831" s="833"/>
      <c r="AH831" s="91">
        <f>IF(AD831="free",0,IF(AD831="me",0,IF(G831&gt;0,(VLOOKUP(A831,'Discount Lookup'!J:K,2)*G831),0)))</f>
        <v>0</v>
      </c>
      <c r="AI831" s="92" t="str">
        <f t="shared" si="2077"/>
        <v/>
      </c>
      <c r="AJ831" s="828" t="str">
        <f t="shared" ref="AJ831" si="2140">IF(G831=0,"",IF(AD831="me","  delivery-only",IF($AD$8="me","  delivery-only",CONCATENATE(" $",ROUND(AI831/G831,2)," each"))))</f>
        <v/>
      </c>
      <c r="AK831" s="828"/>
      <c r="AL831" s="313" t="str">
        <f t="shared" si="2010"/>
        <v/>
      </c>
      <c r="AM831" s="312"/>
      <c r="AN831" s="101"/>
      <c r="AO831" s="101"/>
      <c r="AP831" s="101"/>
      <c r="AQ831" s="101"/>
      <c r="AR831" s="101"/>
      <c r="AS831" s="101"/>
      <c r="AT831" s="101"/>
    </row>
    <row r="832" spans="1:46" ht="12.95" customHeight="1">
      <c r="A832" s="419">
        <v>10</v>
      </c>
      <c r="B832" s="87" t="s">
        <v>50</v>
      </c>
      <c r="C832" s="399" t="s">
        <v>61</v>
      </c>
      <c r="D832" s="129" t="s">
        <v>62</v>
      </c>
      <c r="E832" s="98">
        <v>83.95</v>
      </c>
      <c r="F832" s="705" t="s">
        <v>1306</v>
      </c>
      <c r="G832" s="357">
        <v>0</v>
      </c>
      <c r="H832" s="704" t="str">
        <f t="shared" si="2128"/>
        <v/>
      </c>
      <c r="I832" s="98">
        <f t="shared" si="2129"/>
        <v>0</v>
      </c>
      <c r="J832" s="98">
        <f>IF(H832="warranty",0,(I832*($J$1782)))</f>
        <v>0</v>
      </c>
      <c r="K832" s="831">
        <f t="shared" si="2130"/>
        <v>0</v>
      </c>
      <c r="L832" s="831"/>
      <c r="M832" s="832" t="str">
        <f>IF($H$1784=0,"",IF(G832=0,"",IF(F832="Qty=",CONCATENATE("$",ROUND(K832*(1-$H$1784),2)," with ",($H$1784*100),"% discount"),CONCATENATE("$",ROUND(K832*(1-$H$1784),2)," with ",(($H$1784*100+F832*100)-($H$1784*100*F832)),IF(F832&gt;0,"% discounts",IF($H$1781&gt;0,"% discounts","% discount"))))))</f>
        <v/>
      </c>
      <c r="N832" s="832"/>
      <c r="O832" s="832"/>
      <c r="P832" s="832"/>
      <c r="Q832" s="832"/>
      <c r="R832" s="832"/>
      <c r="S832" s="303">
        <f t="shared" si="2131"/>
        <v>0</v>
      </c>
      <c r="T832" s="541">
        <f>VLOOKUP(A832,'Discount Lookup'!D:E,2,FALSE)*G832</f>
        <v>0</v>
      </c>
      <c r="U832" s="83">
        <f>VLOOKUP(A832,'Discount Lookup'!G:H,2,FALSE)*G832</f>
        <v>0</v>
      </c>
      <c r="V832" s="100">
        <f>E832*($J$1782)*G832</f>
        <v>0</v>
      </c>
      <c r="W832" s="100">
        <f t="shared" si="2132"/>
        <v>0</v>
      </c>
      <c r="X832" s="100" t="b">
        <f t="shared" si="2133"/>
        <v>0</v>
      </c>
      <c r="Y832" s="201"/>
      <c r="Z832" s="829" t="str">
        <f t="shared" si="1992"/>
        <v/>
      </c>
      <c r="AA832" s="829"/>
      <c r="AB832" s="830" t="str">
        <f>IF(G832=0,"",IF(AD832="free","re-planting",IF(AD832="me","not NVP, by",IF($AD$8="yes",(VLOOKUP(A832,'Discount Lookup'!J:K,2)*G832*(1-$AC$1786)*(1+$AC$1788)),IF(AD832="NVP",(VLOOKUP(A832,'Discount Lookup'!J:K,2)*G832*(1-$AC$1786)*(1+$AC$1788)),IF(AD832="free","re-planting",IF(G832=0,"",IF($AD$8="",IF(AD832="me","not NVP, by",IF(AD832="",IF(G832&gt;0,(VLOOKUP(A832,'Discount Lookup'!J:K,2)*G832*(1-$AC$1786)*(1+$AC$1788)),""),"")),"not NVP, by"))))))))</f>
        <v/>
      </c>
      <c r="AC832" s="830"/>
      <c r="AD832" s="375" t="str">
        <f t="shared" si="2127"/>
        <v/>
      </c>
      <c r="AE832" s="833" t="str">
        <f>IF(G832&gt;0,(CONCATENATE((G832)," quantity, ",(A832)," ",B832)),"")</f>
        <v/>
      </c>
      <c r="AF832" s="833"/>
      <c r="AG832" s="833"/>
      <c r="AH832" s="91">
        <f>IF(AD832="free",0,IF(AD832="me",0,IF(G832&gt;0,(VLOOKUP(A832,'Discount Lookup'!J:K,2)*G832),0)))</f>
        <v>0</v>
      </c>
      <c r="AI832" s="92" t="str">
        <f t="shared" si="2077"/>
        <v/>
      </c>
      <c r="AJ832" s="828" t="str">
        <f t="shared" si="1995"/>
        <v/>
      </c>
      <c r="AK832" s="828"/>
      <c r="AL832" s="313" t="str">
        <f t="shared" si="2010"/>
        <v/>
      </c>
      <c r="AM832" s="312"/>
      <c r="AN832" s="101"/>
      <c r="AO832" s="101"/>
      <c r="AP832" s="101"/>
      <c r="AQ832" s="101"/>
      <c r="AR832" s="101"/>
      <c r="AS832" s="101"/>
      <c r="AT832" s="101"/>
    </row>
    <row r="833" spans="1:46" ht="12.95" customHeight="1">
      <c r="A833" s="483"/>
      <c r="B833" s="149" t="s">
        <v>503</v>
      </c>
      <c r="C833" s="117"/>
      <c r="D833" s="118"/>
      <c r="E833" s="119"/>
      <c r="F833" s="711"/>
      <c r="G833" s="356"/>
      <c r="H833" s="745"/>
      <c r="I833" s="119"/>
      <c r="J833" s="119"/>
      <c r="K833" s="609"/>
      <c r="L833" s="609"/>
      <c r="M833" s="121"/>
      <c r="N833" s="121"/>
      <c r="O833" s="123"/>
      <c r="P833" s="124"/>
      <c r="Q833" s="124"/>
      <c r="R833" s="83"/>
      <c r="S833" s="82">
        <f t="shared" ref="S833" si="2141">E833*G833</f>
        <v>0</v>
      </c>
      <c r="T833" s="540"/>
      <c r="U833" s="83"/>
      <c r="V833" s="100" t="b">
        <f>IF(G833&gt;0,IF(AD833="me","",G833))</f>
        <v>0</v>
      </c>
      <c r="W833" s="100"/>
      <c r="X833" s="100"/>
      <c r="Y833" s="201"/>
      <c r="Z833" s="829" t="str">
        <f t="shared" si="1992"/>
        <v/>
      </c>
      <c r="AA833" s="829"/>
      <c r="AB833" s="830" t="str">
        <f>IF(G833=0,"",IF(AD833="free","re-planting",IF(AD833="me","not NVP, by",IF($AD$8="yes",(VLOOKUP(A833,'Discount Lookup'!J:K,2)*G833*(1-$AC$1786)*(1+$AC$1788)),IF(AD833="NVP",(VLOOKUP(A833,'Discount Lookup'!J:K,2)*G833*(1-$AC$1786)*(1+$AC$1788)),IF(AD833="free","re-planting",IF(G833=0,"",IF($AD$8="",IF(AD833="me","not NVP, by",IF(AD833="",IF(G833&gt;0,(VLOOKUP(A833,'Discount Lookup'!J:K,2)*G833*(1-$AC$1786)*(1+$AC$1788)),""),"")),"not NVP, by"))))))))</f>
        <v/>
      </c>
      <c r="AC833" s="830"/>
      <c r="AD833" s="375" t="str">
        <f t="shared" si="2127"/>
        <v/>
      </c>
      <c r="AE833" s="833" t="str">
        <f t="shared" si="2002"/>
        <v/>
      </c>
      <c r="AF833" s="833"/>
      <c r="AG833" s="833"/>
      <c r="AH833" s="91">
        <f>IF(AD833="free",0,IF(AD833="me",0,IF(G833&gt;0,(VLOOKUP(A833,'Discount Lookup'!J:K,2)*G833),0)))</f>
        <v>0</v>
      </c>
      <c r="AI833" s="92" t="str">
        <f t="shared" si="2077"/>
        <v/>
      </c>
      <c r="AJ833" s="828" t="str">
        <f t="shared" si="1995"/>
        <v/>
      </c>
      <c r="AK833" s="828"/>
      <c r="AL833" s="313" t="str">
        <f t="shared" si="2010"/>
        <v/>
      </c>
      <c r="AM833" s="312"/>
      <c r="AN833" s="101"/>
      <c r="AO833" s="101"/>
      <c r="AP833" s="101"/>
      <c r="AQ833" s="101"/>
      <c r="AR833" s="101"/>
      <c r="AS833" s="101"/>
      <c r="AT833" s="101"/>
    </row>
    <row r="834" spans="1:46" ht="12.95" customHeight="1">
      <c r="A834" s="863" t="s">
        <v>504</v>
      </c>
      <c r="B834" s="864"/>
      <c r="C834" s="864"/>
      <c r="D834" s="864"/>
      <c r="E834" s="864"/>
      <c r="F834" s="864"/>
      <c r="G834" s="864"/>
      <c r="H834" s="776" t="s">
        <v>436</v>
      </c>
      <c r="I834" s="88" t="s">
        <v>79</v>
      </c>
      <c r="J834" s="86"/>
      <c r="K834" s="603" t="s">
        <v>45</v>
      </c>
      <c r="L834" s="601" t="s">
        <v>46</v>
      </c>
      <c r="M834" s="86"/>
      <c r="N834" s="87" t="s">
        <v>69</v>
      </c>
      <c r="O834" s="87"/>
      <c r="P834" s="88"/>
      <c r="Q834" s="88"/>
      <c r="R834" s="86"/>
      <c r="S834" s="125"/>
      <c r="T834" s="543"/>
      <c r="U834" s="112"/>
      <c r="V834" s="100" t="b">
        <f>IF(G834&gt;0,IF(AD834="me","",G834))</f>
        <v>0</v>
      </c>
      <c r="W834" s="100"/>
      <c r="X834" s="100"/>
      <c r="Y834" s="201"/>
      <c r="Z834" s="829" t="str">
        <f t="shared" si="1992"/>
        <v/>
      </c>
      <c r="AA834" s="829"/>
      <c r="AB834" s="830" t="str">
        <f>IF(G834=0,"",IF(AD834="free","re-planting",IF(AD834="me","not NVP, by",IF($AD$8="yes",(VLOOKUP(A834,'Discount Lookup'!J:K,2)*G834*(1-$AC$1786)*(1+$AC$1788)),IF(AD834="NVP",(VLOOKUP(A834,'Discount Lookup'!J:K,2)*G834*(1-$AC$1786)*(1+$AC$1788)),IF(AD834="free","re-planting",IF(G834=0,"",IF($AD$8="",IF(AD834="me","not NVP, by",IF(AD834="",IF(G834&gt;0,(VLOOKUP(A834,'Discount Lookup'!J:K,2)*G834*(1-$AC$1786)*(1+$AC$1788)),""),"")),"not NVP, by"))))))))</f>
        <v/>
      </c>
      <c r="AC834" s="830"/>
      <c r="AD834" s="375" t="str">
        <f t="shared" si="2127"/>
        <v/>
      </c>
      <c r="AE834" s="833" t="str">
        <f t="shared" si="2002"/>
        <v/>
      </c>
      <c r="AF834" s="833"/>
      <c r="AG834" s="833"/>
      <c r="AH834" s="91">
        <f>IF(AD834="free",0,IF(AD834="me",0,IF(G834&gt;0,(VLOOKUP(A834,'Discount Lookup'!J:K,2)*G834),0)))</f>
        <v>0</v>
      </c>
      <c r="AI834" s="92" t="str">
        <f t="shared" si="2077"/>
        <v/>
      </c>
      <c r="AJ834" s="828" t="str">
        <f t="shared" si="1995"/>
        <v/>
      </c>
      <c r="AK834" s="828"/>
      <c r="AL834" s="313" t="str">
        <f t="shared" si="2010"/>
        <v/>
      </c>
      <c r="AM834" s="312"/>
      <c r="AN834" s="101"/>
      <c r="AO834" s="101"/>
      <c r="AP834" s="101"/>
      <c r="AQ834" s="101"/>
      <c r="AR834" s="101"/>
      <c r="AS834" s="101"/>
      <c r="AT834" s="101"/>
    </row>
    <row r="835" spans="1:46" ht="12.95" customHeight="1">
      <c r="A835" s="419">
        <v>3</v>
      </c>
      <c r="B835" s="87" t="s">
        <v>50</v>
      </c>
      <c r="C835" s="128" t="s">
        <v>1204</v>
      </c>
      <c r="D835" s="129" t="s">
        <v>62</v>
      </c>
      <c r="E835" s="98">
        <v>26.95</v>
      </c>
      <c r="F835" s="705" t="s">
        <v>1306</v>
      </c>
      <c r="G835" s="357">
        <v>0</v>
      </c>
      <c r="H835" s="704" t="str">
        <f t="shared" ref="H835:H836" si="2142">IF(G835=0,"",IF(F835="Qty=",IF(G835=1,"plant","plants"),IF(F835&gt;0.0001,"warranty","Error")))</f>
        <v/>
      </c>
      <c r="I835" s="98">
        <f t="shared" ref="I835:I836" si="2143">IF(F835="Qty=",(E835*G835),((E835*(1-F835))*G835))</f>
        <v>0</v>
      </c>
      <c r="J835" s="98">
        <f>IF(H835="warranty",0,(I835*($J$1782)))</f>
        <v>0</v>
      </c>
      <c r="K835" s="831">
        <f t="shared" ref="K835:K837" si="2144">I835+J835</f>
        <v>0</v>
      </c>
      <c r="L835" s="831"/>
      <c r="M835" s="832" t="str">
        <f>IF($H$1784=0,"",IF(G835=0,"",IF(F835="Qty=",CONCATENATE("$",ROUND(K835*(1-$H$1784),2)," with ",($H$1784*100),"% discount"),CONCATENATE("$",ROUND(K835*(1-$H$1784),2)," with ",(($H$1784*100+F835*100)-($H$1784*100*F835)),IF(F835&gt;0,"% discounts",IF($H$1781&gt;0,"% discounts","% discount"))))))</f>
        <v/>
      </c>
      <c r="N835" s="832"/>
      <c r="O835" s="832"/>
      <c r="P835" s="832"/>
      <c r="Q835" s="832"/>
      <c r="R835" s="832"/>
      <c r="S835" s="303">
        <f t="shared" ref="S835" si="2145">E835*G835</f>
        <v>0</v>
      </c>
      <c r="T835" s="541">
        <f>VLOOKUP(A835,'Discount Lookup'!D:E,2,FALSE)*G835</f>
        <v>0</v>
      </c>
      <c r="U835" s="83">
        <f>VLOOKUP(A835,'Discount Lookup'!G:H,2,FALSE)*G835</f>
        <v>0</v>
      </c>
      <c r="V835" s="100">
        <f>E835*($J$1782)*G835</f>
        <v>0</v>
      </c>
      <c r="W835" s="100">
        <f t="shared" ref="W835" si="2146">I835</f>
        <v>0</v>
      </c>
      <c r="X835" s="100" t="b">
        <f t="shared" ref="X835:X836" si="2147">IF(G835&gt;0,IF(AD835="me","",G835))</f>
        <v>0</v>
      </c>
      <c r="Y835" s="201"/>
      <c r="Z835" s="829" t="str">
        <f t="shared" si="1992"/>
        <v/>
      </c>
      <c r="AA835" s="829"/>
      <c r="AB835" s="830" t="str">
        <f>IF(G835=0,"",IF(AD835="free","re-planting",IF(AD835="me","not NVP, by",IF($AD$8="yes",(VLOOKUP(A835,'Discount Lookup'!J:K,2)*G835*(1-$AC$1786)*(1+$AC$1788)),IF(AD835="NVP",(VLOOKUP(A835,'Discount Lookup'!J:K,2)*G835*(1-$AC$1786)*(1+$AC$1788)),IF(AD835="free","re-planting",IF(G835=0,"",IF($AD$8="",IF(AD835="me","not NVP, by",IF(AD835="",IF(G835&gt;0,(VLOOKUP(A835,'Discount Lookup'!J:K,2)*G835*(1-$AC$1786)*(1+$AC$1788)),""),"")),"not NVP, by"))))))))</f>
        <v/>
      </c>
      <c r="AC835" s="830"/>
      <c r="AD835" s="375" t="str">
        <f t="shared" si="2127"/>
        <v/>
      </c>
      <c r="AE835" s="833" t="str">
        <f t="shared" ref="AE835" si="2148">IF(G835&gt;0,(CONCATENATE((G835)," quantity, ",(A835)," ",B835)),"")</f>
        <v/>
      </c>
      <c r="AF835" s="833"/>
      <c r="AG835" s="833"/>
      <c r="AH835" s="91">
        <f>IF(AD835="free",0,IF(AD835="me",0,IF(G835&gt;0,(VLOOKUP(A835,'Discount Lookup'!J:K,2)*G835),0)))</f>
        <v>0</v>
      </c>
      <c r="AI835" s="92" t="str">
        <f t="shared" si="2077"/>
        <v/>
      </c>
      <c r="AJ835" s="828" t="str">
        <f t="shared" si="1995"/>
        <v/>
      </c>
      <c r="AK835" s="828"/>
      <c r="AL835" s="313" t="str">
        <f t="shared" si="2010"/>
        <v/>
      </c>
      <c r="AM835" s="312"/>
      <c r="AN835" s="101"/>
      <c r="AO835" s="101"/>
      <c r="AP835" s="101"/>
      <c r="AQ835" s="101"/>
      <c r="AR835" s="101"/>
      <c r="AS835" s="101"/>
      <c r="AT835" s="101"/>
    </row>
    <row r="836" spans="1:46" ht="12.95" customHeight="1">
      <c r="A836" s="419">
        <v>3</v>
      </c>
      <c r="B836" s="87" t="s">
        <v>50</v>
      </c>
      <c r="C836" s="128" t="s">
        <v>1294</v>
      </c>
      <c r="D836" s="129" t="s">
        <v>54</v>
      </c>
      <c r="E836" s="98">
        <v>31.95</v>
      </c>
      <c r="F836" s="705" t="s">
        <v>1306</v>
      </c>
      <c r="G836" s="357">
        <v>0</v>
      </c>
      <c r="H836" s="704" t="str">
        <f t="shared" si="2142"/>
        <v/>
      </c>
      <c r="I836" s="98">
        <f t="shared" si="2143"/>
        <v>0</v>
      </c>
      <c r="J836" s="98">
        <f>IF(H836="warranty",0,(I836*($J$1782)))</f>
        <v>0</v>
      </c>
      <c r="K836" s="831">
        <f t="shared" si="2144"/>
        <v>0</v>
      </c>
      <c r="L836" s="831"/>
      <c r="M836" s="832" t="str">
        <f>IF($H$1784=0,"",IF(G836=0,"",IF(F836="Qty=",CONCATENATE("$",ROUND(K836*(1-$H$1784),2)," with ",($H$1784*100),"% discount"),CONCATENATE("$",ROUND(K836*(1-$H$1784),2)," with ",(($H$1784*100+F836*100)-($H$1784*100*F836)),IF(F836&gt;0,"% discounts",IF($H$1781&gt;0,"% discounts","% discount"))))))</f>
        <v/>
      </c>
      <c r="N836" s="832"/>
      <c r="O836" s="832"/>
      <c r="P836" s="832"/>
      <c r="Q836" s="832"/>
      <c r="R836" s="832"/>
      <c r="S836" s="303">
        <f t="shared" ref="S836" si="2149">E836*G836</f>
        <v>0</v>
      </c>
      <c r="T836" s="541">
        <f>VLOOKUP(A836,'Discount Lookup'!D:E,2,FALSE)*G836</f>
        <v>0</v>
      </c>
      <c r="U836" s="83">
        <f>VLOOKUP(A836,'Discount Lookup'!G:H,2,FALSE)*G836</f>
        <v>0</v>
      </c>
      <c r="V836" s="100">
        <f>E836*($J$1782)*G836</f>
        <v>0</v>
      </c>
      <c r="W836" s="100">
        <f t="shared" ref="W836" si="2150">I836</f>
        <v>0</v>
      </c>
      <c r="X836" s="100" t="b">
        <f t="shared" si="2147"/>
        <v>0</v>
      </c>
      <c r="Y836" s="201"/>
      <c r="Z836" s="829" t="str">
        <f t="shared" si="1992"/>
        <v/>
      </c>
      <c r="AA836" s="829"/>
      <c r="AB836" s="830" t="str">
        <f>IF(G836=0,"",IF(AD836="free","re-planting",IF(AD836="me","not NVP, by",IF($AD$8="yes",(VLOOKUP(A836,'Discount Lookup'!J:K,2)*G836*(1-$AC$1786)*(1+$AC$1788)),IF(AD836="NVP",(VLOOKUP(A836,'Discount Lookup'!J:K,2)*G836*(1-$AC$1786)*(1+$AC$1788)),IF(AD836="free","re-planting",IF(G836=0,"",IF($AD$8="",IF(AD836="me","not NVP, by",IF(AD836="",IF(G836&gt;0,(VLOOKUP(A836,'Discount Lookup'!J:K,2)*G836*(1-$AC$1786)*(1+$AC$1788)),""),"")),"not NVP, by"))))))))</f>
        <v/>
      </c>
      <c r="AC836" s="830"/>
      <c r="AD836" s="375" t="str">
        <f t="shared" si="2127"/>
        <v/>
      </c>
      <c r="AE836" s="833" t="str">
        <f t="shared" si="2002"/>
        <v/>
      </c>
      <c r="AF836" s="833"/>
      <c r="AG836" s="833"/>
      <c r="AH836" s="91">
        <f>IF(AD836="free",0,IF(AD836="me",0,IF(G836&gt;0,(VLOOKUP(A836,'Discount Lookup'!J:K,2)*G836),0)))</f>
        <v>0</v>
      </c>
      <c r="AI836" s="92" t="str">
        <f t="shared" si="2077"/>
        <v/>
      </c>
      <c r="AJ836" s="828" t="str">
        <f t="shared" si="1995"/>
        <v/>
      </c>
      <c r="AK836" s="828"/>
      <c r="AL836" s="313" t="str">
        <f t="shared" si="2010"/>
        <v/>
      </c>
      <c r="AM836" s="312"/>
      <c r="AN836" s="101"/>
      <c r="AO836" s="101"/>
      <c r="AP836" s="101"/>
      <c r="AQ836" s="101"/>
      <c r="AR836" s="101"/>
      <c r="AS836" s="101"/>
      <c r="AT836" s="101"/>
    </row>
    <row r="837" spans="1:46" ht="12.95" customHeight="1">
      <c r="A837" s="419">
        <v>7</v>
      </c>
      <c r="B837" s="87" t="s">
        <v>50</v>
      </c>
      <c r="C837" s="128" t="s">
        <v>1383</v>
      </c>
      <c r="D837" s="129" t="s">
        <v>54</v>
      </c>
      <c r="E837" s="98">
        <v>81.95</v>
      </c>
      <c r="F837" s="705" t="s">
        <v>1306</v>
      </c>
      <c r="G837" s="357">
        <v>0</v>
      </c>
      <c r="H837" s="704" t="str">
        <f t="shared" ref="H837" si="2151">IF(G837=0,"",IF(F837="Qty=",IF(G837=1,"plant","plants"),IF(F837&gt;0.0001,"warranty","Error")))</f>
        <v/>
      </c>
      <c r="I837" s="98">
        <f t="shared" ref="I837" si="2152">IF(F837="Qty=",(E837*G837),((E837*(1-F837))*G837))</f>
        <v>0</v>
      </c>
      <c r="J837" s="98">
        <f>IF(H837="warranty",0,(I837*($J$1782)))</f>
        <v>0</v>
      </c>
      <c r="K837" s="831">
        <f t="shared" si="2144"/>
        <v>0</v>
      </c>
      <c r="L837" s="831"/>
      <c r="M837" s="832" t="str">
        <f>IF($H$1784=0,"",IF(G837=0,"",IF(F837="Qty=",CONCATENATE("$",ROUND(K837*(1-$H$1784),2)," with ",($H$1784*100),"% discount"),CONCATENATE("$",ROUND(K837*(1-$H$1784),2)," with ",(($H$1784*100+F837*100)-($H$1784*100*F837)),IF(F837&gt;0,"% discounts",IF($H$1781&gt;0,"% discounts","% discount"))))))</f>
        <v/>
      </c>
      <c r="N837" s="832"/>
      <c r="O837" s="832"/>
      <c r="P837" s="832"/>
      <c r="Q837" s="832"/>
      <c r="R837" s="832"/>
      <c r="S837" s="303">
        <f t="shared" ref="S837" si="2153">E837*G837</f>
        <v>0</v>
      </c>
      <c r="T837" s="541">
        <f>VLOOKUP(A837,'Discount Lookup'!D:E,2,FALSE)*G837</f>
        <v>0</v>
      </c>
      <c r="U837" s="83">
        <f>VLOOKUP(A837,'Discount Lookup'!G:H,2,FALSE)*G837</f>
        <v>0</v>
      </c>
      <c r="V837" s="100">
        <f>E837*($J$1782)*G837</f>
        <v>0</v>
      </c>
      <c r="W837" s="100">
        <f t="shared" ref="W837" si="2154">I837</f>
        <v>0</v>
      </c>
      <c r="X837" s="100" t="b">
        <f t="shared" ref="X837" si="2155">IF(G837&gt;0,IF(AD837="me","",G837))</f>
        <v>0</v>
      </c>
      <c r="Y837" s="201"/>
      <c r="Z837" s="829" t="str">
        <f t="shared" ref="Z837" si="2156">IF(G837=0,"",IF(AD837="me","",IF($AD$8="me","",IF(AD837="free","warranty",IF($AD$8="yes","NVP planting:","to NVP install:")))))</f>
        <v/>
      </c>
      <c r="AA837" s="829"/>
      <c r="AB837" s="830" t="str">
        <f>IF(G837=0,"",IF(AD837="free","re-planting",IF(AD837="me","not NVP, by",IF($AD$8="yes",(VLOOKUP(A837,'Discount Lookup'!J:K,2)*G837*(1-$AC$1786)*(1+$AC$1788)),IF(AD837="NVP",(VLOOKUP(A837,'Discount Lookup'!J:K,2)*G837*(1-$AC$1786)*(1+$AC$1788)),IF(AD837="free","re-planting",IF(G837=0,"",IF($AD$8="",IF(AD837="me","not NVP, by",IF(AD837="",IF(G837&gt;0,(VLOOKUP(A837,'Discount Lookup'!J:K,2)*G837*(1-$AC$1786)*(1+$AC$1788)),""),"")),"not NVP, by"))))))))</f>
        <v/>
      </c>
      <c r="AC837" s="830"/>
      <c r="AD837" s="375" t="str">
        <f t="shared" si="2127"/>
        <v/>
      </c>
      <c r="AE837" s="833" t="str">
        <f t="shared" ref="AE837" si="2157">IF(G837&gt;0,(CONCATENATE((G837)," quantity, ",(A837)," ",B837)),"")</f>
        <v/>
      </c>
      <c r="AF837" s="833"/>
      <c r="AG837" s="833"/>
      <c r="AH837" s="91">
        <f>IF(AD837="free",0,IF(AD837="me",0,IF(G837&gt;0,(VLOOKUP(A837,'Discount Lookup'!J:K,2)*G837),0)))</f>
        <v>0</v>
      </c>
      <c r="AI837" s="92" t="str">
        <f t="shared" ref="AI837:AI868" si="2158">IF(G837=0,"",IF(AD837="free",(K837*(1-$H$1784)),IF($AD$8="me",(K837*(1-$H$1784)),IF(AD837="me",(K837*(1-$H$1784)),(K837*(1-$H$1784))+AB837))))</f>
        <v/>
      </c>
      <c r="AJ837" s="828" t="str">
        <f t="shared" ref="AJ837" si="2159">IF(G837=0,"",IF(AD837="me","  delivery-only",IF($AD$8="me","  delivery-only",CONCATENATE(" $",ROUND(AI837/G837,2)," each"))))</f>
        <v/>
      </c>
      <c r="AK837" s="828"/>
      <c r="AL837" s="313" t="str">
        <f t="shared" si="2010"/>
        <v/>
      </c>
      <c r="AM837" s="312"/>
      <c r="AN837" s="101"/>
      <c r="AO837" s="101"/>
      <c r="AP837" s="101"/>
      <c r="AQ837" s="101"/>
      <c r="AR837" s="101"/>
      <c r="AS837" s="101"/>
      <c r="AT837" s="101"/>
    </row>
    <row r="838" spans="1:46" ht="12.95" customHeight="1">
      <c r="A838" s="465"/>
      <c r="B838" s="149" t="s">
        <v>506</v>
      </c>
      <c r="C838" s="104"/>
      <c r="D838" s="104"/>
      <c r="E838" s="131"/>
      <c r="F838" s="710"/>
      <c r="G838" s="358"/>
      <c r="H838" s="744"/>
      <c r="I838" s="131"/>
      <c r="J838" s="131"/>
      <c r="K838" s="608"/>
      <c r="L838" s="608"/>
      <c r="M838" s="121"/>
      <c r="N838" s="145"/>
      <c r="O838" s="123"/>
      <c r="P838" s="124"/>
      <c r="Q838" s="124"/>
      <c r="R838" s="83"/>
      <c r="S838" s="82">
        <f>E838*G838</f>
        <v>0</v>
      </c>
      <c r="T838" s="540"/>
      <c r="U838" s="83"/>
      <c r="V838" s="100" t="b">
        <f>IF(G838&gt;0,IF(AD838="me","",G838))</f>
        <v>0</v>
      </c>
      <c r="W838" s="100"/>
      <c r="X838" s="100"/>
      <c r="Y838" s="201"/>
      <c r="Z838" s="829" t="str">
        <f t="shared" ref="Z838:Z891" si="2160">IF(G838=0,"",IF(AD838="me","",IF($AD$8="me","",IF(AD838="free","warranty",IF($AD$8="yes","NVP planting:","to NVP install:")))))</f>
        <v/>
      </c>
      <c r="AA838" s="829"/>
      <c r="AB838" s="830" t="str">
        <f>IF(G838=0,"",IF(AD838="free","re-planting",IF(AD838="me","not NVP, by",IF($AD$8="yes",(VLOOKUP(A838,'Discount Lookup'!J:K,2)*G838*(1-$AC$1786)*(1+$AC$1788)),IF(AD838="NVP",(VLOOKUP(A838,'Discount Lookup'!J:K,2)*G838*(1-$AC$1786)*(1+$AC$1788)),IF(AD838="free","re-planting",IF(G838=0,"",IF($AD$8="",IF(AD838="me","not NVP, by",IF(AD838="",IF(G838&gt;0,(VLOOKUP(A838,'Discount Lookup'!J:K,2)*G838*(1-$AC$1786)*(1+$AC$1788)),""),"")),"not NVP, by"))))))))</f>
        <v/>
      </c>
      <c r="AC838" s="830"/>
      <c r="AD838" s="375" t="str">
        <f t="shared" si="2127"/>
        <v/>
      </c>
      <c r="AE838" s="833" t="str">
        <f t="shared" si="2002"/>
        <v/>
      </c>
      <c r="AF838" s="833"/>
      <c r="AG838" s="833"/>
      <c r="AH838" s="91">
        <f>IF(AD838="free",0,IF(AD838="me",0,IF(G838&gt;0,(VLOOKUP(A838,'Discount Lookup'!J:K,2)*G838),0)))</f>
        <v>0</v>
      </c>
      <c r="AI838" s="92" t="str">
        <f t="shared" si="2158"/>
        <v/>
      </c>
      <c r="AJ838" s="828" t="str">
        <f t="shared" ref="AJ838:AJ891" si="2161">IF(G838=0,"",IF(AD838="me","  delivery-only",IF($AD$8="me","  delivery-only",CONCATENATE(" $",ROUND(AI838/G838,2)," each"))))</f>
        <v/>
      </c>
      <c r="AK838" s="828"/>
      <c r="AL838" s="313" t="str">
        <f t="shared" si="2010"/>
        <v/>
      </c>
      <c r="AM838" s="312"/>
      <c r="AN838" s="101"/>
      <c r="AO838" s="101"/>
      <c r="AP838" s="101"/>
      <c r="AQ838" s="101"/>
      <c r="AR838" s="101"/>
      <c r="AS838" s="101"/>
      <c r="AT838" s="101"/>
    </row>
    <row r="839" spans="1:46" ht="12.95" customHeight="1">
      <c r="A839" s="863" t="s">
        <v>1043</v>
      </c>
      <c r="B839" s="864"/>
      <c r="C839" s="864"/>
      <c r="D839" s="864"/>
      <c r="E839" s="864"/>
      <c r="F839" s="864"/>
      <c r="G839" s="864"/>
      <c r="H839" s="776" t="s">
        <v>500</v>
      </c>
      <c r="I839" s="439" t="s">
        <v>280</v>
      </c>
      <c r="J839" s="93"/>
      <c r="K839" s="603" t="s">
        <v>45</v>
      </c>
      <c r="L839" s="601" t="s">
        <v>46</v>
      </c>
      <c r="M839" s="86"/>
      <c r="N839" s="87" t="s">
        <v>69</v>
      </c>
      <c r="O839" s="87"/>
      <c r="P839" s="88"/>
      <c r="Q839" s="88"/>
      <c r="R839" s="86"/>
      <c r="S839" s="125"/>
      <c r="T839" s="543"/>
      <c r="U839" s="89" t="s">
        <v>48</v>
      </c>
      <c r="V839" s="100" t="b">
        <f>IF(G839&gt;0,IF(AD839="me","",G839))</f>
        <v>0</v>
      </c>
      <c r="W839" s="100"/>
      <c r="X839" s="100"/>
      <c r="Y839" s="201"/>
      <c r="Z839" s="829" t="str">
        <f t="shared" si="2160"/>
        <v/>
      </c>
      <c r="AA839" s="829"/>
      <c r="AB839" s="830" t="str">
        <f>IF(G839=0,"",IF(AD839="free","re-planting",IF(AD839="me","not NVP, by",IF($AD$8="yes",(VLOOKUP(A839,'Discount Lookup'!J:K,2)*G839*(1-$AC$1786)*(1+$AC$1788)),IF(AD839="NVP",(VLOOKUP(A839,'Discount Lookup'!J:K,2)*G839*(1-$AC$1786)*(1+$AC$1788)),IF(AD839="free","re-planting",IF(G839=0,"",IF($AD$8="",IF(AD839="me","not NVP, by",IF(AD839="",IF(G839&gt;0,(VLOOKUP(A839,'Discount Lookup'!J:K,2)*G839*(1-$AC$1786)*(1+$AC$1788)),""),"")),"not NVP, by"))))))))</f>
        <v/>
      </c>
      <c r="AC839" s="830"/>
      <c r="AD839" s="375" t="str">
        <f t="shared" si="2127"/>
        <v/>
      </c>
      <c r="AE839" s="833" t="str">
        <f>IF(G839&gt;0,(CONCATENATE((G839)," quantity, ",(A839)," ",B839)),"")</f>
        <v/>
      </c>
      <c r="AF839" s="833"/>
      <c r="AG839" s="833"/>
      <c r="AH839" s="91">
        <f>IF(AD839="free",0,IF(AD839="me",0,IF(G839&gt;0,(VLOOKUP(A839,'Discount Lookup'!J:K,2)*G839),0)))</f>
        <v>0</v>
      </c>
      <c r="AI839" s="92" t="str">
        <f t="shared" si="2158"/>
        <v/>
      </c>
      <c r="AJ839" s="828" t="str">
        <f t="shared" si="2161"/>
        <v/>
      </c>
      <c r="AK839" s="828"/>
      <c r="AL839" s="313" t="str">
        <f t="shared" si="2010"/>
        <v/>
      </c>
      <c r="AM839" s="312"/>
      <c r="AN839" s="101"/>
      <c r="AO839" s="101"/>
      <c r="AP839" s="101"/>
      <c r="AQ839" s="101"/>
      <c r="AR839" s="101"/>
      <c r="AS839" s="101"/>
      <c r="AT839" s="101"/>
    </row>
    <row r="840" spans="1:46" ht="12.95" customHeight="1">
      <c r="A840" s="419">
        <v>3</v>
      </c>
      <c r="B840" s="87" t="s">
        <v>50</v>
      </c>
      <c r="C840" s="128" t="s">
        <v>51</v>
      </c>
      <c r="D840" s="129" t="s">
        <v>86</v>
      </c>
      <c r="E840" s="98">
        <v>24.95</v>
      </c>
      <c r="F840" s="705" t="s">
        <v>1306</v>
      </c>
      <c r="G840" s="357">
        <v>0</v>
      </c>
      <c r="H840" s="704" t="str">
        <f t="shared" ref="H840" si="2162">IF(G840=0,"",IF(F840="Qty=",IF(G840=1,"plant","plants"),IF(F840&gt;0.0001,"warranty","Error")))</f>
        <v/>
      </c>
      <c r="I840" s="98">
        <f t="shared" ref="I840" si="2163">IF(F840="Qty=",(E840*G840),((E840*(1-F840))*G840))</f>
        <v>0</v>
      </c>
      <c r="J840" s="98">
        <f>IF(H840="warranty",0,(I840*($J$1782)))</f>
        <v>0</v>
      </c>
      <c r="K840" s="831">
        <f t="shared" ref="K840:K841" si="2164">I840+J840</f>
        <v>0</v>
      </c>
      <c r="L840" s="831"/>
      <c r="M840" s="832" t="str">
        <f>IF($H$1784=0,"",IF(G840=0,"",IF(F840="Qty=",CONCATENATE("$",ROUND(K840*(1-$H$1784),2)," with ",($H$1784*100),"% discount"),CONCATENATE("$",ROUND(K840*(1-$H$1784),2)," with ",(($H$1784*100+F840*100)-($H$1784*100*F840)),IF(F840&gt;0,"% discounts",IF($H$1781&gt;0,"% discounts","% discount"))))))</f>
        <v/>
      </c>
      <c r="N840" s="832"/>
      <c r="O840" s="832"/>
      <c r="P840" s="832"/>
      <c r="Q840" s="832"/>
      <c r="R840" s="832"/>
      <c r="S840" s="303">
        <f t="shared" ref="S840" si="2165">E840*G840</f>
        <v>0</v>
      </c>
      <c r="T840" s="541">
        <f>VLOOKUP(A840,'Discount Lookup'!D:E,2,FALSE)*G840</f>
        <v>0</v>
      </c>
      <c r="U840" s="83">
        <f>VLOOKUP(A840,'Discount Lookup'!G:H,2,FALSE)*G840</f>
        <v>0</v>
      </c>
      <c r="V840" s="100">
        <f>E840*($J$1782)*G840</f>
        <v>0</v>
      </c>
      <c r="W840" s="100">
        <f t="shared" ref="W840" si="2166">I840</f>
        <v>0</v>
      </c>
      <c r="X840" s="100" t="b">
        <f>IF(G840&gt;0,IF(AD840="me","",G840))</f>
        <v>0</v>
      </c>
      <c r="Y840" s="201"/>
      <c r="Z840" s="829" t="str">
        <f t="shared" ref="Z840" si="2167">IF(G840=0,"",IF(AD840="me","",IF($AD$8="me","",IF(AD840="free","warranty",IF($AD$8="yes","NVP planting:","to NVP install:")))))</f>
        <v/>
      </c>
      <c r="AA840" s="829"/>
      <c r="AB840" s="830" t="str">
        <f>IF(G840=0,"",IF(AD840="free","re-planting",IF(AD840="me","not NVP, by",IF($AD$8="yes",(VLOOKUP(A840,'Discount Lookup'!J:K,2)*G840*(1-$AC$1786)*(1+$AC$1788)),IF(AD840="NVP",(VLOOKUP(A840,'Discount Lookup'!J:K,2)*G840*(1-$AC$1786)*(1+$AC$1788)),IF(AD840="free","re-planting",IF(G840=0,"",IF($AD$8="",IF(AD840="me","not NVP, by",IF(AD840="",IF(G840&gt;0,(VLOOKUP(A840,'Discount Lookup'!J:K,2)*G840*(1-$AC$1786)*(1+$AC$1788)),""),"")),"not NVP, by"))))))))</f>
        <v/>
      </c>
      <c r="AC840" s="830"/>
      <c r="AD840" s="375" t="str">
        <f t="shared" si="2127"/>
        <v/>
      </c>
      <c r="AE840" s="833" t="str">
        <f>IF(G840&gt;0,(CONCATENATE((G840)," quantity, ",(A840)," ",B840)),"")</f>
        <v/>
      </c>
      <c r="AF840" s="833"/>
      <c r="AG840" s="833"/>
      <c r="AH840" s="91">
        <f>IF(AD840="free",0,IF(AD840="me",0,IF(G840&gt;0,(VLOOKUP(A840,'Discount Lookup'!J:K,2)*G840),0)))</f>
        <v>0</v>
      </c>
      <c r="AI840" s="92" t="str">
        <f t="shared" si="2158"/>
        <v/>
      </c>
      <c r="AJ840" s="828" t="str">
        <f t="shared" ref="AJ840" si="2168">IF(G840=0,"",IF(AD840="me","  delivery-only",IF($AD$8="me","  delivery-only",CONCATENATE(" $",ROUND(AI840/G840,2)," each"))))</f>
        <v/>
      </c>
      <c r="AK840" s="828"/>
      <c r="AL840" s="313" t="str">
        <f t="shared" si="2010"/>
        <v/>
      </c>
      <c r="AM840" s="312"/>
      <c r="AN840" s="101"/>
      <c r="AO840" s="101"/>
      <c r="AP840" s="101"/>
      <c r="AQ840" s="101"/>
      <c r="AR840" s="101"/>
      <c r="AS840" s="101"/>
      <c r="AT840" s="101"/>
    </row>
    <row r="841" spans="1:46" ht="12.95" customHeight="1">
      <c r="A841" s="419">
        <v>3</v>
      </c>
      <c r="B841" s="87" t="s">
        <v>50</v>
      </c>
      <c r="C841" s="128" t="s">
        <v>135</v>
      </c>
      <c r="D841" s="129" t="s">
        <v>94</v>
      </c>
      <c r="E841" s="98">
        <v>23.95</v>
      </c>
      <c r="F841" s="705" t="s">
        <v>1306</v>
      </c>
      <c r="G841" s="357">
        <v>0</v>
      </c>
      <c r="H841" s="704" t="str">
        <f t="shared" ref="H841" si="2169">IF(G841=0,"",IF(F841="Qty=",IF(G841=1,"plant","plants"),IF(F841&gt;0.0001,"warranty","Error")))</f>
        <v/>
      </c>
      <c r="I841" s="98">
        <f t="shared" ref="I841" si="2170">IF(F841="Qty=",(E841*G841),((E841*(1-F841))*G841))</f>
        <v>0</v>
      </c>
      <c r="J841" s="98">
        <f>IF(H841="warranty",0,(I841*($J$1782)))</f>
        <v>0</v>
      </c>
      <c r="K841" s="831">
        <f t="shared" si="2164"/>
        <v>0</v>
      </c>
      <c r="L841" s="831"/>
      <c r="M841" s="832" t="str">
        <f>IF($H$1784=0,"",IF(G841=0,"",IF(F841="Qty=",CONCATENATE("$",ROUND(K841*(1-$H$1784),2)," with ",($H$1784*100),"% discount"),CONCATENATE("$",ROUND(K841*(1-$H$1784),2)," with ",(($H$1784*100+F841*100)-($H$1784*100*F841)),IF(F841&gt;0,"% discounts",IF($H$1781&gt;0,"% discounts","% discount"))))))</f>
        <v/>
      </c>
      <c r="N841" s="832"/>
      <c r="O841" s="832"/>
      <c r="P841" s="832"/>
      <c r="Q841" s="832"/>
      <c r="R841" s="832"/>
      <c r="S841" s="303">
        <f t="shared" ref="S841" si="2171">E841*G841</f>
        <v>0</v>
      </c>
      <c r="T841" s="541">
        <f>VLOOKUP(A841,'Discount Lookup'!D:E,2,FALSE)*G841</f>
        <v>0</v>
      </c>
      <c r="U841" s="83">
        <f>VLOOKUP(A841,'Discount Lookup'!G:H,2,FALSE)*G841</f>
        <v>0</v>
      </c>
      <c r="V841" s="100">
        <f>E841*($J$1782)*G841</f>
        <v>0</v>
      </c>
      <c r="W841" s="100">
        <f t="shared" ref="W841" si="2172">I841</f>
        <v>0</v>
      </c>
      <c r="X841" s="100" t="b">
        <f>IF(G841&gt;0,IF(AD841="me","",G841))</f>
        <v>0</v>
      </c>
      <c r="Y841" s="201"/>
      <c r="Z841" s="829" t="str">
        <f t="shared" si="2160"/>
        <v/>
      </c>
      <c r="AA841" s="829"/>
      <c r="AB841" s="830" t="str">
        <f>IF(G841=0,"",IF(AD841="free","re-planting",IF(AD841="me","not NVP, by",IF($AD$8="yes",(VLOOKUP(A841,'Discount Lookup'!J:K,2)*G841*(1-$AC$1786)*(1+$AC$1788)),IF(AD841="NVP",(VLOOKUP(A841,'Discount Lookup'!J:K,2)*G841*(1-$AC$1786)*(1+$AC$1788)),IF(AD841="free","re-planting",IF(G841=0,"",IF($AD$8="",IF(AD841="me","not NVP, by",IF(AD841="",IF(G841&gt;0,(VLOOKUP(A841,'Discount Lookup'!J:K,2)*G841*(1-$AC$1786)*(1+$AC$1788)),""),"")),"not NVP, by"))))))))</f>
        <v/>
      </c>
      <c r="AC841" s="830"/>
      <c r="AD841" s="375" t="str">
        <f t="shared" si="2127"/>
        <v/>
      </c>
      <c r="AE841" s="833" t="str">
        <f>IF(G841&gt;0,(CONCATENATE((G841)," quantity, ",(A841)," ",B841)),"")</f>
        <v/>
      </c>
      <c r="AF841" s="833"/>
      <c r="AG841" s="833"/>
      <c r="AH841" s="91">
        <f>IF(AD841="free",0,IF(AD841="me",0,IF(G841&gt;0,(VLOOKUP(A841,'Discount Lookup'!J:K,2)*G841),0)))</f>
        <v>0</v>
      </c>
      <c r="AI841" s="92" t="str">
        <f t="shared" si="2158"/>
        <v/>
      </c>
      <c r="AJ841" s="828" t="str">
        <f t="shared" si="2161"/>
        <v/>
      </c>
      <c r="AK841" s="828"/>
      <c r="AL841" s="313" t="str">
        <f t="shared" si="2010"/>
        <v/>
      </c>
      <c r="AM841" s="312"/>
      <c r="AN841" s="101"/>
      <c r="AO841" s="101"/>
      <c r="AP841" s="101"/>
      <c r="AQ841" s="101"/>
      <c r="AR841" s="101"/>
      <c r="AS841" s="101"/>
      <c r="AT841" s="101"/>
    </row>
    <row r="842" spans="1:46" ht="12.95" customHeight="1">
      <c r="A842" s="468"/>
      <c r="B842" s="149" t="s">
        <v>1044</v>
      </c>
      <c r="C842" s="118"/>
      <c r="D842" s="118"/>
      <c r="E842" s="119"/>
      <c r="F842" s="711"/>
      <c r="G842" s="358"/>
      <c r="H842" s="745"/>
      <c r="I842" s="119"/>
      <c r="J842" s="119"/>
      <c r="K842" s="609"/>
      <c r="L842" s="609"/>
      <c r="M842" s="121"/>
      <c r="N842" s="121"/>
      <c r="O842" s="123"/>
      <c r="P842" s="124"/>
      <c r="Q842" s="124"/>
      <c r="R842" s="83"/>
      <c r="S842" s="82">
        <f>E842*G842</f>
        <v>0</v>
      </c>
      <c r="T842" s="540"/>
      <c r="U842" s="83"/>
      <c r="V842" s="100" t="b">
        <f>IF(G842&gt;0,IF(AD842="me","",G842))</f>
        <v>0</v>
      </c>
      <c r="W842" s="100"/>
      <c r="X842" s="100"/>
      <c r="Y842" s="201"/>
      <c r="Z842" s="829" t="str">
        <f t="shared" si="2160"/>
        <v/>
      </c>
      <c r="AA842" s="829"/>
      <c r="AB842" s="830" t="str">
        <f>IF(G842=0,"",IF(AD842="free","re-planting",IF(AD842="me","not NVP, by",IF($AD$8="yes",(VLOOKUP(A842,'Discount Lookup'!J:K,2)*G842*(1-$AC$1786)*(1+$AC$1788)),IF(AD842="NVP",(VLOOKUP(A842,'Discount Lookup'!J:K,2)*G842*(1-$AC$1786)*(1+$AC$1788)),IF(AD842="free","re-planting",IF(G842=0,"",IF($AD$8="",IF(AD842="me","not NVP, by",IF(AD842="",IF(G842&gt;0,(VLOOKUP(A842,'Discount Lookup'!J:K,2)*G842*(1-$AC$1786)*(1+$AC$1788)),""),"")),"not NVP, by"))))))))</f>
        <v/>
      </c>
      <c r="AC842" s="830"/>
      <c r="AD842" s="375" t="str">
        <f t="shared" si="2127"/>
        <v/>
      </c>
      <c r="AE842" s="833" t="str">
        <f>IF(G842&gt;0,(CONCATENATE((G842)," quantity, ",(A842)," ",B842)),"")</f>
        <v/>
      </c>
      <c r="AF842" s="833"/>
      <c r="AG842" s="833"/>
      <c r="AH842" s="91">
        <f>IF(AD842="free",0,IF(AD842="me",0,IF(G842&gt;0,(VLOOKUP(A842,'Discount Lookup'!J:K,2)*G842),0)))</f>
        <v>0</v>
      </c>
      <c r="AI842" s="92" t="str">
        <f t="shared" si="2158"/>
        <v/>
      </c>
      <c r="AJ842" s="828" t="str">
        <f t="shared" si="2161"/>
        <v/>
      </c>
      <c r="AK842" s="828"/>
      <c r="AL842" s="313" t="str">
        <f t="shared" si="2010"/>
        <v/>
      </c>
      <c r="AM842" s="312"/>
      <c r="AN842" s="101"/>
      <c r="AO842" s="101"/>
      <c r="AP842" s="101"/>
      <c r="AQ842" s="101"/>
      <c r="AR842" s="101"/>
      <c r="AS842" s="101"/>
      <c r="AT842" s="101"/>
    </row>
    <row r="843" spans="1:46" ht="12.95" customHeight="1">
      <c r="A843" s="852" t="s">
        <v>507</v>
      </c>
      <c r="B843" s="844"/>
      <c r="C843" s="844"/>
      <c r="D843" s="844"/>
      <c r="E843" s="844"/>
      <c r="F843" s="844"/>
      <c r="G843" s="844"/>
      <c r="H843" s="777" t="s">
        <v>436</v>
      </c>
      <c r="I843" s="88" t="s">
        <v>79</v>
      </c>
      <c r="J843" s="86"/>
      <c r="K843" s="603" t="s">
        <v>45</v>
      </c>
      <c r="L843" s="601" t="s">
        <v>46</v>
      </c>
      <c r="M843" s="86"/>
      <c r="N843" s="87" t="s">
        <v>69</v>
      </c>
      <c r="O843" s="87"/>
      <c r="P843" s="88"/>
      <c r="Q843" s="88"/>
      <c r="R843" s="86"/>
      <c r="S843" s="125"/>
      <c r="T843" s="543"/>
      <c r="U843" s="89" t="s">
        <v>48</v>
      </c>
      <c r="V843" s="100" t="b">
        <f>IF(G843&gt;0,IF(AD843="me","",G843))</f>
        <v>0</v>
      </c>
      <c r="W843" s="100"/>
      <c r="X843" s="100"/>
      <c r="Y843" s="201"/>
      <c r="Z843" s="829" t="str">
        <f t="shared" si="2160"/>
        <v/>
      </c>
      <c r="AA843" s="829"/>
      <c r="AB843" s="830" t="str">
        <f>IF(G843=0,"",IF(AD843="free","re-planting",IF(AD843="me","not NVP, by",IF($AD$8="yes",(VLOOKUP(A843,'Discount Lookup'!J:K,2)*G843*(1-$AC$1786)*(1+$AC$1788)),IF(AD843="NVP",(VLOOKUP(A843,'Discount Lookup'!J:K,2)*G843*(1-$AC$1786)*(1+$AC$1788)),IF(AD843="free","re-planting",IF(G843=0,"",IF($AD$8="",IF(AD843="me","not NVP, by",IF(AD843="",IF(G843&gt;0,(VLOOKUP(A843,'Discount Lookup'!J:K,2)*G843*(1-$AC$1786)*(1+$AC$1788)),""),"")),"not NVP, by"))))))))</f>
        <v/>
      </c>
      <c r="AC843" s="830"/>
      <c r="AD843" s="375" t="str">
        <f t="shared" si="2127"/>
        <v/>
      </c>
      <c r="AE843" s="833" t="str">
        <f t="shared" si="2002"/>
        <v/>
      </c>
      <c r="AF843" s="833"/>
      <c r="AG843" s="833"/>
      <c r="AH843" s="91">
        <f>IF(AD843="free",0,IF(AD843="me",0,IF(G843&gt;0,(VLOOKUP(A843,'Discount Lookup'!J:K,2)*G843),0)))</f>
        <v>0</v>
      </c>
      <c r="AI843" s="92" t="str">
        <f t="shared" si="2158"/>
        <v/>
      </c>
      <c r="AJ843" s="828" t="str">
        <f t="shared" si="2161"/>
        <v/>
      </c>
      <c r="AK843" s="828"/>
      <c r="AL843" s="313" t="str">
        <f t="shared" ref="AL843:AL906" si="2173">IF(AD843="free","      ~ discounts included, no tax or planting fee applies ~",IF(G843=0,"",IF($AD$8="me",CONCATENATE(" $",ROUND(AI843/G843,2)," per plant, with tax &amp; discount"),IF(AD843="me",CONCATENATE(" $",ROUND(AI843/G843,2)," per plant, with tax &amp; discount"),CONCATENATE("= $",ROUND((K843*(1-$H$1784))/G843,2)," per plant + $",AB843/G843,(" per planting      ~ includes tax &amp; discounts ~"))))))</f>
        <v/>
      </c>
      <c r="AM843" s="312"/>
      <c r="AN843" s="101"/>
      <c r="AO843" s="101"/>
      <c r="AP843" s="101"/>
      <c r="AQ843" s="101"/>
      <c r="AR843" s="101"/>
      <c r="AS843" s="101"/>
      <c r="AT843" s="101"/>
    </row>
    <row r="844" spans="1:46" ht="12.95" customHeight="1">
      <c r="A844" s="419">
        <v>3</v>
      </c>
      <c r="B844" s="87" t="s">
        <v>50</v>
      </c>
      <c r="C844" s="128" t="s">
        <v>51</v>
      </c>
      <c r="D844" s="129" t="s">
        <v>86</v>
      </c>
      <c r="E844" s="98">
        <v>24.95</v>
      </c>
      <c r="F844" s="705" t="s">
        <v>1306</v>
      </c>
      <c r="G844" s="357">
        <v>0</v>
      </c>
      <c r="H844" s="704" t="str">
        <f t="shared" ref="H844:H846" si="2174">IF(G844=0,"",IF(F844="Qty=",IF(G844=1,"plant","plants"),IF(F844&gt;0.0001,"warranty","Error")))</f>
        <v/>
      </c>
      <c r="I844" s="98">
        <f t="shared" ref="I844:I846" si="2175">IF(F844="Qty=",(E844*G844),((E844*(1-F844))*G844))</f>
        <v>0</v>
      </c>
      <c r="J844" s="98">
        <f>IF(H844="warranty",0,(I844*($J$1782)))</f>
        <v>0</v>
      </c>
      <c r="K844" s="831">
        <f t="shared" ref="K844:K846" si="2176">I844+J844</f>
        <v>0</v>
      </c>
      <c r="L844" s="831"/>
      <c r="M844" s="832" t="str">
        <f>IF($H$1784=0,"",IF(G844=0,"",IF(F844="Qty=",CONCATENATE("$",ROUND(K844*(1-$H$1784),2)," with ",($H$1784*100),"% discount"),CONCATENATE("$",ROUND(K844*(1-$H$1784),2)," with ",(($H$1784*100+F844*100)-($H$1784*100*F844)),IF(F844&gt;0,"% discounts",IF($H$1781&gt;0,"% discounts","% discount"))))))</f>
        <v/>
      </c>
      <c r="N844" s="832"/>
      <c r="O844" s="832"/>
      <c r="P844" s="832"/>
      <c r="Q844" s="832"/>
      <c r="R844" s="832"/>
      <c r="S844" s="303">
        <f t="shared" ref="S844:S846" si="2177">E844*G844</f>
        <v>0</v>
      </c>
      <c r="T844" s="541">
        <f>VLOOKUP(A844,'Discount Lookup'!D:E,2,FALSE)*G844</f>
        <v>0</v>
      </c>
      <c r="U844" s="83">
        <f>VLOOKUP(A844,'Discount Lookup'!G:H,2,FALSE)*G844</f>
        <v>0</v>
      </c>
      <c r="V844" s="100">
        <f>E844*($J$1782)*G844</f>
        <v>0</v>
      </c>
      <c r="W844" s="100">
        <f t="shared" ref="W844:W846" si="2178">I844</f>
        <v>0</v>
      </c>
      <c r="X844" s="100" t="b">
        <f t="shared" ref="X844:X846" si="2179">IF(G844&gt;0,IF(AD844="me","",G844))</f>
        <v>0</v>
      </c>
      <c r="Y844" s="201"/>
      <c r="Z844" s="829" t="str">
        <f t="shared" si="2160"/>
        <v/>
      </c>
      <c r="AA844" s="829"/>
      <c r="AB844" s="830" t="str">
        <f>IF(G844=0,"",IF(AD844="free","re-planting",IF(AD844="me","not NVP, by",IF($AD$8="yes",(VLOOKUP(A844,'Discount Lookup'!J:K,2)*G844*(1-$AC$1786)*(1+$AC$1788)),IF(AD844="NVP",(VLOOKUP(A844,'Discount Lookup'!J:K,2)*G844*(1-$AC$1786)*(1+$AC$1788)),IF(AD844="free","re-planting",IF(G844=0,"",IF($AD$8="",IF(AD844="me","not NVP, by",IF(AD844="",IF(G844&gt;0,(VLOOKUP(A844,'Discount Lookup'!J:K,2)*G844*(1-$AC$1786)*(1+$AC$1788)),""),"")),"not NVP, by"))))))))</f>
        <v/>
      </c>
      <c r="AC844" s="830"/>
      <c r="AD844" s="375" t="str">
        <f t="shared" si="2127"/>
        <v/>
      </c>
      <c r="AE844" s="833" t="str">
        <f t="shared" si="2002"/>
        <v/>
      </c>
      <c r="AF844" s="833"/>
      <c r="AG844" s="833"/>
      <c r="AH844" s="91">
        <f>IF(AD844="free",0,IF(AD844="me",0,IF(G844&gt;0,(VLOOKUP(A844,'Discount Lookup'!J:K,2)*G844),0)))</f>
        <v>0</v>
      </c>
      <c r="AI844" s="92" t="str">
        <f t="shared" si="2158"/>
        <v/>
      </c>
      <c r="AJ844" s="828" t="str">
        <f t="shared" si="2161"/>
        <v/>
      </c>
      <c r="AK844" s="828"/>
      <c r="AL844" s="313" t="str">
        <f t="shared" si="2173"/>
        <v/>
      </c>
      <c r="AM844" s="312"/>
      <c r="AN844" s="101"/>
      <c r="AO844" s="101"/>
      <c r="AP844" s="101"/>
      <c r="AQ844" s="101"/>
      <c r="AR844" s="101"/>
      <c r="AS844" s="101"/>
      <c r="AT844" s="101"/>
    </row>
    <row r="845" spans="1:46" ht="12.95" customHeight="1">
      <c r="A845" s="419">
        <v>7</v>
      </c>
      <c r="B845" s="87" t="s">
        <v>50</v>
      </c>
      <c r="C845" s="399" t="s">
        <v>136</v>
      </c>
      <c r="D845" s="129" t="s">
        <v>62</v>
      </c>
      <c r="E845" s="98">
        <v>56.95</v>
      </c>
      <c r="F845" s="705" t="s">
        <v>1306</v>
      </c>
      <c r="G845" s="357">
        <v>0</v>
      </c>
      <c r="H845" s="704" t="str">
        <f t="shared" si="2174"/>
        <v/>
      </c>
      <c r="I845" s="98">
        <f t="shared" si="2175"/>
        <v>0</v>
      </c>
      <c r="J845" s="98">
        <f>IF(H845="warranty",0,(I845*($J$1782)))</f>
        <v>0</v>
      </c>
      <c r="K845" s="831">
        <f t="shared" si="2176"/>
        <v>0</v>
      </c>
      <c r="L845" s="831"/>
      <c r="M845" s="832" t="str">
        <f>IF($H$1784=0,"",IF(G845=0,"",IF(F845="Qty=",CONCATENATE("$",ROUND(K845*(1-$H$1784),2)," with ",($H$1784*100),"% discount"),CONCATENATE("$",ROUND(K845*(1-$H$1784),2)," with ",(($H$1784*100+F845*100)-($H$1784*100*F845)),IF(F845&gt;0,"% discounts",IF($H$1781&gt;0,"% discounts","% discount"))))))</f>
        <v/>
      </c>
      <c r="N845" s="832"/>
      <c r="O845" s="832"/>
      <c r="P845" s="832"/>
      <c r="Q845" s="832"/>
      <c r="R845" s="832"/>
      <c r="S845" s="303">
        <f t="shared" si="2177"/>
        <v>0</v>
      </c>
      <c r="T845" s="541">
        <f>VLOOKUP(A845,'Discount Lookup'!D:E,2,FALSE)*G845</f>
        <v>0</v>
      </c>
      <c r="U845" s="83">
        <f>VLOOKUP(A845,'Discount Lookup'!G:H,2,FALSE)*G845</f>
        <v>0</v>
      </c>
      <c r="V845" s="100">
        <f>E845*($J$1782)*G845</f>
        <v>0</v>
      </c>
      <c r="W845" s="100">
        <f t="shared" si="2178"/>
        <v>0</v>
      </c>
      <c r="X845" s="100" t="b">
        <f t="shared" si="2179"/>
        <v>0</v>
      </c>
      <c r="Y845" s="201"/>
      <c r="Z845" s="829" t="str">
        <f t="shared" si="2160"/>
        <v/>
      </c>
      <c r="AA845" s="829"/>
      <c r="AB845" s="830" t="str">
        <f>IF(G845=0,"",IF(AD845="free","re-planting",IF(AD845="me","not NVP, by",IF($AD$8="yes",(VLOOKUP(A845,'Discount Lookup'!J:K,2)*G845*(1-$AC$1786)*(1+$AC$1788)),IF(AD845="NVP",(VLOOKUP(A845,'Discount Lookup'!J:K,2)*G845*(1-$AC$1786)*(1+$AC$1788)),IF(AD845="free","re-planting",IF(G845=0,"",IF($AD$8="",IF(AD845="me","not NVP, by",IF(AD845="",IF(G845&gt;0,(VLOOKUP(A845,'Discount Lookup'!J:K,2)*G845*(1-$AC$1786)*(1+$AC$1788)),""),"")),"not NVP, by"))))))))</f>
        <v/>
      </c>
      <c r="AC845" s="830"/>
      <c r="AD845" s="375" t="str">
        <f t="shared" si="2127"/>
        <v/>
      </c>
      <c r="AE845" s="833" t="str">
        <f t="shared" ref="AE845:AE908" si="2180">IF(G845&gt;0,(CONCATENATE((G845)," quantity, ",(A845)," ",B845)),"")</f>
        <v/>
      </c>
      <c r="AF845" s="833"/>
      <c r="AG845" s="833"/>
      <c r="AH845" s="91">
        <f>IF(AD845="free",0,IF(AD845="me",0,IF(G845&gt;0,(VLOOKUP(A845,'Discount Lookup'!J:K,2)*G845),0)))</f>
        <v>0</v>
      </c>
      <c r="AI845" s="92" t="str">
        <f t="shared" si="2158"/>
        <v/>
      </c>
      <c r="AJ845" s="828" t="str">
        <f t="shared" si="2161"/>
        <v/>
      </c>
      <c r="AK845" s="828"/>
      <c r="AL845" s="313" t="str">
        <f t="shared" si="2173"/>
        <v/>
      </c>
      <c r="AM845" s="312"/>
      <c r="AN845" s="101"/>
      <c r="AO845" s="101"/>
      <c r="AP845" s="101"/>
      <c r="AQ845" s="101"/>
      <c r="AR845" s="101"/>
      <c r="AS845" s="101"/>
      <c r="AT845" s="101"/>
    </row>
    <row r="846" spans="1:46" ht="12.95" customHeight="1">
      <c r="A846" s="419">
        <v>10</v>
      </c>
      <c r="B846" s="87" t="s">
        <v>50</v>
      </c>
      <c r="C846" s="128" t="s">
        <v>102</v>
      </c>
      <c r="D846" s="129" t="s">
        <v>62</v>
      </c>
      <c r="E846" s="98">
        <v>83.95</v>
      </c>
      <c r="F846" s="705" t="s">
        <v>1306</v>
      </c>
      <c r="G846" s="357">
        <v>0</v>
      </c>
      <c r="H846" s="704" t="str">
        <f t="shared" si="2174"/>
        <v/>
      </c>
      <c r="I846" s="98">
        <f t="shared" si="2175"/>
        <v>0</v>
      </c>
      <c r="J846" s="98">
        <f>IF(H846="warranty",0,(I846*($J$1782)))</f>
        <v>0</v>
      </c>
      <c r="K846" s="831">
        <f t="shared" si="2176"/>
        <v>0</v>
      </c>
      <c r="L846" s="831"/>
      <c r="M846" s="832" t="str">
        <f>IF($H$1784=0,"",IF(G846=0,"",IF(F846="Qty=",CONCATENATE("$",ROUND(K846*(1-$H$1784),2)," with ",($H$1784*100),"% discount"),CONCATENATE("$",ROUND(K846*(1-$H$1784),2)," with ",(($H$1784*100+F846*100)-($H$1784*100*F846)),IF(F846&gt;0,"% discounts",IF($H$1781&gt;0,"% discounts","% discount"))))))</f>
        <v/>
      </c>
      <c r="N846" s="832"/>
      <c r="O846" s="832"/>
      <c r="P846" s="832"/>
      <c r="Q846" s="832"/>
      <c r="R846" s="832"/>
      <c r="S846" s="303">
        <f t="shared" si="2177"/>
        <v>0</v>
      </c>
      <c r="T846" s="541">
        <f>VLOOKUP(A846,'Discount Lookup'!D:E,2,FALSE)*G846</f>
        <v>0</v>
      </c>
      <c r="U846" s="83">
        <f>VLOOKUP(A846,'Discount Lookup'!G:H,2,FALSE)*G846</f>
        <v>0</v>
      </c>
      <c r="V846" s="100">
        <f>E846*($J$1782)*G846</f>
        <v>0</v>
      </c>
      <c r="W846" s="100">
        <f t="shared" si="2178"/>
        <v>0</v>
      </c>
      <c r="X846" s="100" t="b">
        <f t="shared" si="2179"/>
        <v>0</v>
      </c>
      <c r="Y846" s="201"/>
      <c r="Z846" s="829" t="str">
        <f t="shared" si="2160"/>
        <v/>
      </c>
      <c r="AA846" s="829"/>
      <c r="AB846" s="830" t="str">
        <f>IF(G846=0,"",IF(AD846="free","re-planting",IF(AD846="me","not NVP, by",IF($AD$8="yes",(VLOOKUP(A846,'Discount Lookup'!J:K,2)*G846*(1-$AC$1786)*(1+$AC$1788)),IF(AD846="NVP",(VLOOKUP(A846,'Discount Lookup'!J:K,2)*G846*(1-$AC$1786)*(1+$AC$1788)),IF(AD846="free","re-planting",IF(G846=0,"",IF($AD$8="",IF(AD846="me","not NVP, by",IF(AD846="",IF(G846&gt;0,(VLOOKUP(A846,'Discount Lookup'!J:K,2)*G846*(1-$AC$1786)*(1+$AC$1788)),""),"")),"not NVP, by"))))))))</f>
        <v/>
      </c>
      <c r="AC846" s="830"/>
      <c r="AD846" s="375" t="str">
        <f t="shared" si="2127"/>
        <v/>
      </c>
      <c r="AE846" s="833" t="str">
        <f t="shared" si="2180"/>
        <v/>
      </c>
      <c r="AF846" s="833"/>
      <c r="AG846" s="833"/>
      <c r="AH846" s="91">
        <f>IF(AD846="free",0,IF(AD846="me",0,IF(G846&gt;0,(VLOOKUP(A846,'Discount Lookup'!J:K,2)*G846),0)))</f>
        <v>0</v>
      </c>
      <c r="AI846" s="92" t="str">
        <f t="shared" si="2158"/>
        <v/>
      </c>
      <c r="AJ846" s="828" t="str">
        <f t="shared" si="2161"/>
        <v/>
      </c>
      <c r="AK846" s="828"/>
      <c r="AL846" s="313" t="str">
        <f t="shared" si="2173"/>
        <v/>
      </c>
      <c r="AM846" s="312"/>
      <c r="AN846" s="101"/>
      <c r="AO846" s="101"/>
      <c r="AP846" s="101"/>
      <c r="AQ846" s="101"/>
      <c r="AR846" s="101"/>
      <c r="AS846" s="101"/>
      <c r="AT846" s="101"/>
    </row>
    <row r="847" spans="1:46" ht="12.95" customHeight="1">
      <c r="A847" s="465"/>
      <c r="B847" s="149" t="s">
        <v>508</v>
      </c>
      <c r="C847" s="104"/>
      <c r="D847" s="104"/>
      <c r="E847" s="131"/>
      <c r="F847" s="710"/>
      <c r="G847" s="358"/>
      <c r="H847" s="744"/>
      <c r="I847" s="131"/>
      <c r="J847" s="119"/>
      <c r="K847" s="609"/>
      <c r="L847" s="609"/>
      <c r="M847" s="121"/>
      <c r="N847" s="145"/>
      <c r="O847" s="123"/>
      <c r="P847" s="124"/>
      <c r="Q847" s="841" t="s">
        <v>125</v>
      </c>
      <c r="R847" s="841"/>
      <c r="S847" s="841"/>
      <c r="T847" s="841"/>
      <c r="U847" s="841"/>
      <c r="V847" s="841"/>
      <c r="W847" s="286"/>
      <c r="X847" s="286"/>
      <c r="Y847" s="794"/>
      <c r="Z847" s="829" t="str">
        <f t="shared" si="2160"/>
        <v/>
      </c>
      <c r="AA847" s="829"/>
      <c r="AB847" s="830" t="str">
        <f>IF(G847=0,"",IF(AD847="free","re-planting",IF(AD847="me","not NVP, by",IF($AD$8="yes",(VLOOKUP(A847,'Discount Lookup'!J:K,2)*G847*(1-$AC$1786)*(1+$AC$1788)),IF(AD847="NVP",(VLOOKUP(A847,'Discount Lookup'!J:K,2)*G847*(1-$AC$1786)*(1+$AC$1788)),IF(AD847="free","re-planting",IF(G847=0,"",IF($AD$8="",IF(AD847="me","not NVP, by",IF(AD847="",IF(G847&gt;0,(VLOOKUP(A847,'Discount Lookup'!J:K,2)*G847*(1-$AC$1786)*(1+$AC$1788)),""),"")),"not NVP, by"))))))))</f>
        <v/>
      </c>
      <c r="AC847" s="830"/>
      <c r="AD847" s="375" t="str">
        <f t="shared" si="2127"/>
        <v/>
      </c>
      <c r="AE847" s="833" t="str">
        <f t="shared" si="2180"/>
        <v/>
      </c>
      <c r="AF847" s="833"/>
      <c r="AG847" s="833"/>
      <c r="AH847" s="91">
        <f>IF(AD847="free",0,IF(AD847="me",0,IF(G847&gt;0,(VLOOKUP(A847,'Discount Lookup'!J:K,2)*G847),0)))</f>
        <v>0</v>
      </c>
      <c r="AI847" s="92" t="str">
        <f t="shared" si="2158"/>
        <v/>
      </c>
      <c r="AJ847" s="828" t="str">
        <f t="shared" si="2161"/>
        <v/>
      </c>
      <c r="AK847" s="828"/>
      <c r="AL847" s="313" t="str">
        <f t="shared" si="2173"/>
        <v/>
      </c>
      <c r="AM847" s="312"/>
      <c r="AN847" s="101"/>
      <c r="AO847" s="101"/>
      <c r="AP847" s="101"/>
      <c r="AQ847" s="101"/>
      <c r="AR847" s="101"/>
      <c r="AS847" s="101"/>
      <c r="AT847" s="101"/>
    </row>
    <row r="848" spans="1:46" ht="12.95" customHeight="1">
      <c r="A848" s="852" t="s">
        <v>509</v>
      </c>
      <c r="B848" s="844"/>
      <c r="C848" s="844"/>
      <c r="D848" s="844"/>
      <c r="E848" s="844"/>
      <c r="F848" s="844"/>
      <c r="G848" s="844"/>
      <c r="H848" s="777" t="s">
        <v>436</v>
      </c>
      <c r="I848" s="88" t="s">
        <v>79</v>
      </c>
      <c r="J848" s="86"/>
      <c r="K848" s="603" t="s">
        <v>45</v>
      </c>
      <c r="L848" s="601" t="s">
        <v>46</v>
      </c>
      <c r="M848" s="86"/>
      <c r="N848" s="87" t="s">
        <v>69</v>
      </c>
      <c r="O848" s="87"/>
      <c r="P848" s="88"/>
      <c r="Q848" s="88"/>
      <c r="R848" s="86"/>
      <c r="S848" s="125"/>
      <c r="T848" s="543"/>
      <c r="U848" s="112"/>
      <c r="V848" s="100" t="b">
        <f>IF(G848&gt;0,IF(AD848="me","",G848))</f>
        <v>0</v>
      </c>
      <c r="W848" s="100"/>
      <c r="X848" s="100"/>
      <c r="Y848" s="201"/>
      <c r="Z848" s="829" t="str">
        <f t="shared" si="2160"/>
        <v/>
      </c>
      <c r="AA848" s="829"/>
      <c r="AB848" s="830" t="str">
        <f>IF(G848=0,"",IF(AD848="free","re-planting",IF(AD848="me","not NVP, by",IF($AD$8="yes",(VLOOKUP(A848,'Discount Lookup'!J:K,2)*G848*(1-$AC$1786)*(1+$AC$1788)),IF(AD848="NVP",(VLOOKUP(A848,'Discount Lookup'!J:K,2)*G848*(1-$AC$1786)*(1+$AC$1788)),IF(AD848="free","re-planting",IF(G848=0,"",IF($AD$8="",IF(AD848="me","not NVP, by",IF(AD848="",IF(G848&gt;0,(VLOOKUP(A848,'Discount Lookup'!J:K,2)*G848*(1-$AC$1786)*(1+$AC$1788)),""),"")),"not NVP, by"))))))))</f>
        <v/>
      </c>
      <c r="AC848" s="830"/>
      <c r="AD848" s="375" t="str">
        <f t="shared" si="2127"/>
        <v/>
      </c>
      <c r="AE848" s="833" t="str">
        <f t="shared" si="2180"/>
        <v/>
      </c>
      <c r="AF848" s="833"/>
      <c r="AG848" s="833"/>
      <c r="AH848" s="91">
        <f>IF(AD848="free",0,IF(AD848="me",0,IF(G848&gt;0,(VLOOKUP(A848,'Discount Lookup'!J:K,2)*G848),0)))</f>
        <v>0</v>
      </c>
      <c r="AI848" s="92" t="str">
        <f t="shared" si="2158"/>
        <v/>
      </c>
      <c r="AJ848" s="828" t="str">
        <f t="shared" si="2161"/>
        <v/>
      </c>
      <c r="AK848" s="828"/>
      <c r="AL848" s="313" t="str">
        <f t="shared" si="2173"/>
        <v/>
      </c>
      <c r="AM848" s="312"/>
      <c r="AN848" s="101"/>
      <c r="AO848" s="101"/>
      <c r="AP848" s="101"/>
      <c r="AQ848" s="101"/>
      <c r="AR848" s="101"/>
      <c r="AS848" s="101"/>
      <c r="AT848" s="101"/>
    </row>
    <row r="849" spans="1:46" ht="12.95" customHeight="1">
      <c r="A849" s="419">
        <v>3</v>
      </c>
      <c r="B849" s="87" t="s">
        <v>50</v>
      </c>
      <c r="C849" s="128" t="s">
        <v>99</v>
      </c>
      <c r="D849" s="129" t="s">
        <v>86</v>
      </c>
      <c r="E849" s="98">
        <v>26.95</v>
      </c>
      <c r="F849" s="705" t="s">
        <v>1306</v>
      </c>
      <c r="G849" s="357">
        <v>0</v>
      </c>
      <c r="H849" s="704" t="str">
        <f t="shared" ref="H849:H852" si="2181">IF(G849=0,"",IF(F849="Qty=",IF(G849=1,"plant","plants"),IF(F849&gt;0.0001,"warranty","Error")))</f>
        <v/>
      </c>
      <c r="I849" s="98">
        <f t="shared" ref="I849:I852" si="2182">IF(F849="Qty=",(E849*G849),((E849*(1-F849))*G849))</f>
        <v>0</v>
      </c>
      <c r="J849" s="98">
        <f>IF(H849="warranty",0,(I849*($J$1782)))</f>
        <v>0</v>
      </c>
      <c r="K849" s="831">
        <f t="shared" ref="K849:K852" si="2183">I849+J849</f>
        <v>0</v>
      </c>
      <c r="L849" s="831"/>
      <c r="M849" s="832" t="str">
        <f>IF($H$1784=0,"",IF(G849=0,"",IF(F849="Qty=",CONCATENATE("$",ROUND(K849*(1-$H$1784),2)," with ",($H$1784*100),"% discount"),CONCATENATE("$",ROUND(K849*(1-$H$1784),2)," with ",(($H$1784*100+F849*100)-($H$1784*100*F849)),IF(F849&gt;0,"% discounts",IF($H$1781&gt;0,"% discounts","% discount"))))))</f>
        <v/>
      </c>
      <c r="N849" s="832"/>
      <c r="O849" s="832"/>
      <c r="P849" s="832"/>
      <c r="Q849" s="832"/>
      <c r="R849" s="832"/>
      <c r="S849" s="303">
        <f t="shared" ref="S849" si="2184">E849*G849</f>
        <v>0</v>
      </c>
      <c r="T849" s="541">
        <f>VLOOKUP(A849,'Discount Lookup'!D:E,2,FALSE)*G849</f>
        <v>0</v>
      </c>
      <c r="U849" s="83">
        <f>VLOOKUP(A849,'Discount Lookup'!G:H,2,FALSE)*G849</f>
        <v>0</v>
      </c>
      <c r="V849" s="100">
        <f>E849*($J$1782)*G849</f>
        <v>0</v>
      </c>
      <c r="W849" s="100">
        <f t="shared" ref="W849" si="2185">I849</f>
        <v>0</v>
      </c>
      <c r="X849" s="100" t="b">
        <f t="shared" ref="X849:X852" si="2186">IF(G849&gt;0,IF(AD849="me","",G849))</f>
        <v>0</v>
      </c>
      <c r="Y849" s="201"/>
      <c r="Z849" s="829" t="str">
        <f t="shared" si="2160"/>
        <v/>
      </c>
      <c r="AA849" s="829"/>
      <c r="AB849" s="830" t="str">
        <f>IF(G849=0,"",IF(AD849="free","re-planting",IF(AD849="me","not NVP, by",IF($AD$8="yes",(VLOOKUP(A849,'Discount Lookup'!J:K,2)*G849*(1-$AC$1786)*(1+$AC$1788)),IF(AD849="NVP",(VLOOKUP(A849,'Discount Lookup'!J:K,2)*G849*(1-$AC$1786)*(1+$AC$1788)),IF(AD849="free","re-planting",IF(G849=0,"",IF($AD$8="",IF(AD849="me","not NVP, by",IF(AD849="",IF(G849&gt;0,(VLOOKUP(A849,'Discount Lookup'!J:K,2)*G849*(1-$AC$1786)*(1+$AC$1788)),""),"")),"not NVP, by"))))))))</f>
        <v/>
      </c>
      <c r="AC849" s="830"/>
      <c r="AD849" s="375" t="str">
        <f t="shared" si="2127"/>
        <v/>
      </c>
      <c r="AE849" s="833" t="str">
        <f t="shared" si="2180"/>
        <v/>
      </c>
      <c r="AF849" s="833"/>
      <c r="AG849" s="833"/>
      <c r="AH849" s="91">
        <f>IF(AD849="free",0,IF(AD849="me",0,IF(G849&gt;0,(VLOOKUP(A849,'Discount Lookup'!J:K,2)*G849),0)))</f>
        <v>0</v>
      </c>
      <c r="AI849" s="92" t="str">
        <f t="shared" si="2158"/>
        <v/>
      </c>
      <c r="AJ849" s="828" t="str">
        <f t="shared" si="2161"/>
        <v/>
      </c>
      <c r="AK849" s="828"/>
      <c r="AL849" s="313" t="str">
        <f t="shared" si="2173"/>
        <v/>
      </c>
      <c r="AM849" s="312"/>
      <c r="AN849" s="101"/>
      <c r="AO849" s="101"/>
      <c r="AP849" s="101"/>
      <c r="AQ849" s="101"/>
      <c r="AR849" s="101"/>
      <c r="AS849" s="101"/>
      <c r="AT849" s="101"/>
    </row>
    <row r="850" spans="1:46" ht="12.95" customHeight="1">
      <c r="A850" s="419">
        <v>7</v>
      </c>
      <c r="B850" s="87" t="s">
        <v>50</v>
      </c>
      <c r="C850" s="128" t="s">
        <v>1461</v>
      </c>
      <c r="D850" s="129" t="s">
        <v>54</v>
      </c>
      <c r="E850" s="98">
        <v>100.95</v>
      </c>
      <c r="F850" s="705" t="s">
        <v>1306</v>
      </c>
      <c r="G850" s="357">
        <v>0</v>
      </c>
      <c r="H850" s="704" t="str">
        <f t="shared" si="2181"/>
        <v/>
      </c>
      <c r="I850" s="98">
        <f t="shared" si="2182"/>
        <v>0</v>
      </c>
      <c r="J850" s="98">
        <f>IF(H850="warranty",0,(I850*($J$1782)))</f>
        <v>0</v>
      </c>
      <c r="K850" s="831">
        <f t="shared" si="2183"/>
        <v>0</v>
      </c>
      <c r="L850" s="831"/>
      <c r="M850" s="832" t="str">
        <f>IF($H$1784=0,"",IF(G850=0,"",IF(F850="Qty=",CONCATENATE("$",ROUND(K850*(1-$H$1784),2)," with ",($H$1784*100),"% discount"),CONCATENATE("$",ROUND(K850*(1-$H$1784),2)," with ",(($H$1784*100+F850*100)-($H$1784*100*F850)),IF(F850&gt;0,"% discounts",IF($H$1781&gt;0,"% discounts","% discount"))))))</f>
        <v/>
      </c>
      <c r="N850" s="832"/>
      <c r="O850" s="832"/>
      <c r="P850" s="832"/>
      <c r="Q850" s="832"/>
      <c r="R850" s="832"/>
      <c r="S850" s="303">
        <f t="shared" ref="S850" si="2187">E850*G850</f>
        <v>0</v>
      </c>
      <c r="T850" s="541">
        <f>VLOOKUP(A850,'Discount Lookup'!D:E,2,FALSE)*G850</f>
        <v>0</v>
      </c>
      <c r="U850" s="83">
        <f>VLOOKUP(A850,'Discount Lookup'!G:H,2,FALSE)*G850</f>
        <v>0</v>
      </c>
      <c r="V850" s="100">
        <f>E850*($J$1782)*G850</f>
        <v>0</v>
      </c>
      <c r="W850" s="100">
        <f t="shared" ref="W850" si="2188">I850</f>
        <v>0</v>
      </c>
      <c r="X850" s="100" t="b">
        <f t="shared" si="2186"/>
        <v>0</v>
      </c>
      <c r="Y850" s="201"/>
      <c r="Z850" s="829" t="str">
        <f t="shared" si="2160"/>
        <v/>
      </c>
      <c r="AA850" s="829"/>
      <c r="AB850" s="830" t="str">
        <f>IF(G850=0,"",IF(AD850="free","re-planting",IF(AD850="me","not NVP, by",IF($AD$8="yes",(VLOOKUP(A850,'Discount Lookup'!J:K,2)*G850*(1-$AC$1786)*(1+$AC$1788)),IF(AD850="NVP",(VLOOKUP(A850,'Discount Lookup'!J:K,2)*G850*(1-$AC$1786)*(1+$AC$1788)),IF(AD850="free","re-planting",IF(G850=0,"",IF($AD$8="",IF(AD850="me","not NVP, by",IF(AD850="",IF(G850&gt;0,(VLOOKUP(A850,'Discount Lookup'!J:K,2)*G850*(1-$AC$1786)*(1+$AC$1788)),""),"")),"not NVP, by"))))))))</f>
        <v/>
      </c>
      <c r="AC850" s="830"/>
      <c r="AD850" s="375" t="str">
        <f t="shared" si="2127"/>
        <v/>
      </c>
      <c r="AE850" s="833" t="str">
        <f t="shared" ref="AE850" si="2189">IF(G850&gt;0,(CONCATENATE((G850)," quantity, ",(A850)," ",B850)),"")</f>
        <v/>
      </c>
      <c r="AF850" s="833"/>
      <c r="AG850" s="833"/>
      <c r="AH850" s="91">
        <f>IF(AD850="free",0,IF(AD850="me",0,IF(G850&gt;0,(VLOOKUP(A850,'Discount Lookup'!J:K,2)*G850),0)))</f>
        <v>0</v>
      </c>
      <c r="AI850" s="92" t="str">
        <f t="shared" si="2158"/>
        <v/>
      </c>
      <c r="AJ850" s="828" t="str">
        <f t="shared" si="2161"/>
        <v/>
      </c>
      <c r="AK850" s="828"/>
      <c r="AL850" s="313" t="str">
        <f t="shared" si="2173"/>
        <v/>
      </c>
      <c r="AM850" s="312"/>
      <c r="AN850" s="101"/>
      <c r="AO850" s="101"/>
      <c r="AP850" s="101"/>
      <c r="AQ850" s="101"/>
      <c r="AR850" s="101"/>
      <c r="AS850" s="101"/>
      <c r="AT850" s="101"/>
    </row>
    <row r="851" spans="1:46" ht="12.95" customHeight="1">
      <c r="A851" s="419">
        <v>15</v>
      </c>
      <c r="B851" s="87" t="s">
        <v>50</v>
      </c>
      <c r="C851" s="128" t="s">
        <v>510</v>
      </c>
      <c r="D851" s="129" t="s">
        <v>63</v>
      </c>
      <c r="E851" s="98">
        <v>287.95</v>
      </c>
      <c r="F851" s="705" t="s">
        <v>1306</v>
      </c>
      <c r="G851" s="357">
        <v>0</v>
      </c>
      <c r="H851" s="704" t="str">
        <f t="shared" si="2181"/>
        <v/>
      </c>
      <c r="I851" s="98">
        <f t="shared" si="2182"/>
        <v>0</v>
      </c>
      <c r="J851" s="98">
        <f>IF(H851="warranty",0,(I851*($J$1782)))</f>
        <v>0</v>
      </c>
      <c r="K851" s="831">
        <f t="shared" si="2183"/>
        <v>0</v>
      </c>
      <c r="L851" s="831"/>
      <c r="M851" s="832" t="str">
        <f>IF($H$1784=0,"",IF(G851=0,"",IF(F851="Qty=",CONCATENATE("$",ROUND(K851*(1-$H$1784),2)," with ",($H$1784*100),"% discount"),CONCATENATE("$",ROUND(K851*(1-$H$1784),2)," with ",(($H$1784*100+F851*100)-($H$1784*100*F851)),IF(F851&gt;0,"% discounts",IF($H$1781&gt;0,"% discounts","% discount"))))))</f>
        <v/>
      </c>
      <c r="N851" s="832"/>
      <c r="O851" s="832"/>
      <c r="P851" s="832"/>
      <c r="Q851" s="832"/>
      <c r="R851" s="832"/>
      <c r="S851" s="303">
        <f t="shared" ref="S851" si="2190">E851*G851</f>
        <v>0</v>
      </c>
      <c r="T851" s="541">
        <f>VLOOKUP(A851,'Discount Lookup'!D:E,2,FALSE)*G851</f>
        <v>0</v>
      </c>
      <c r="U851" s="83">
        <f>VLOOKUP(A851,'Discount Lookup'!G:H,2,FALSE)*G851</f>
        <v>0</v>
      </c>
      <c r="V851" s="100">
        <f>E851*($J$1782)*G851</f>
        <v>0</v>
      </c>
      <c r="W851" s="100">
        <f t="shared" ref="W851" si="2191">I851</f>
        <v>0</v>
      </c>
      <c r="X851" s="100" t="b">
        <f t="shared" si="2186"/>
        <v>0</v>
      </c>
      <c r="Y851" s="201"/>
      <c r="Z851" s="829" t="str">
        <f t="shared" si="2160"/>
        <v/>
      </c>
      <c r="AA851" s="829"/>
      <c r="AB851" s="830" t="str">
        <f>IF(G851=0,"",IF(AD851="free","re-planting",IF(AD851="me","not NVP, by",IF($AD$8="yes",(VLOOKUP(A851,'Discount Lookup'!J:K,2)*G851*(1-$AC$1786)*(1+$AC$1788)),IF(AD851="NVP",(VLOOKUP(A851,'Discount Lookup'!J:K,2)*G851*(1-$AC$1786)*(1+$AC$1788)),IF(AD851="free","re-planting",IF(G851=0,"",IF($AD$8="",IF(AD851="me","not NVP, by",IF(AD851="",IF(G851&gt;0,(VLOOKUP(A851,'Discount Lookup'!J:K,2)*G851*(1-$AC$1786)*(1+$AC$1788)),""),"")),"not NVP, by"))))))))</f>
        <v/>
      </c>
      <c r="AC851" s="830"/>
      <c r="AD851" s="375" t="str">
        <f t="shared" si="2127"/>
        <v/>
      </c>
      <c r="AE851" s="833" t="str">
        <f t="shared" si="2180"/>
        <v/>
      </c>
      <c r="AF851" s="833"/>
      <c r="AG851" s="833"/>
      <c r="AH851" s="91">
        <f>IF(AD851="free",0,IF(AD851="me",0,IF(G851&gt;0,(VLOOKUP(A851,'Discount Lookup'!J:K,2)*G851),0)))</f>
        <v>0</v>
      </c>
      <c r="AI851" s="92" t="str">
        <f t="shared" si="2158"/>
        <v/>
      </c>
      <c r="AJ851" s="828" t="str">
        <f t="shared" si="2161"/>
        <v/>
      </c>
      <c r="AK851" s="828"/>
      <c r="AL851" s="313" t="str">
        <f t="shared" si="2173"/>
        <v/>
      </c>
      <c r="AM851" s="312"/>
      <c r="AN851" s="101"/>
      <c r="AO851" s="101"/>
      <c r="AP851" s="101"/>
      <c r="AQ851" s="101"/>
      <c r="AR851" s="101"/>
      <c r="AS851" s="101"/>
      <c r="AT851" s="101"/>
    </row>
    <row r="852" spans="1:46" ht="12.95" customHeight="1">
      <c r="A852" s="419">
        <v>30</v>
      </c>
      <c r="B852" s="87" t="s">
        <v>50</v>
      </c>
      <c r="C852" s="128" t="s">
        <v>1349</v>
      </c>
      <c r="D852" s="129" t="s">
        <v>63</v>
      </c>
      <c r="E852" s="98">
        <v>323.95</v>
      </c>
      <c r="F852" s="705" t="s">
        <v>1306</v>
      </c>
      <c r="G852" s="357">
        <v>0</v>
      </c>
      <c r="H852" s="704" t="str">
        <f t="shared" si="2181"/>
        <v/>
      </c>
      <c r="I852" s="98">
        <f t="shared" si="2182"/>
        <v>0</v>
      </c>
      <c r="J852" s="98">
        <f>IF(H852="warranty",0,(I852*($J$1782)))</f>
        <v>0</v>
      </c>
      <c r="K852" s="831">
        <f t="shared" si="2183"/>
        <v>0</v>
      </c>
      <c r="L852" s="831"/>
      <c r="M852" s="832" t="str">
        <f>IF($H$1784=0,"",IF(G852=0,"",IF(F852="Qty=",CONCATENATE("$",ROUND(K852*(1-$H$1784),2)," with ",($H$1784*100),"% discount"),CONCATENATE("$",ROUND(K852*(1-$H$1784),2)," with ",(($H$1784*100+F852*100)-($H$1784*100*F852)),IF(F852&gt;0,"% discounts",IF($H$1781&gt;0,"% discounts","% discount"))))))</f>
        <v/>
      </c>
      <c r="N852" s="832"/>
      <c r="O852" s="832"/>
      <c r="P852" s="832"/>
      <c r="Q852" s="832"/>
      <c r="R852" s="832"/>
      <c r="S852" s="303">
        <f t="shared" ref="S852" si="2192">E852*G852</f>
        <v>0</v>
      </c>
      <c r="T852" s="541">
        <f>VLOOKUP(A852,'Discount Lookup'!D:E,2,FALSE)*G852</f>
        <v>0</v>
      </c>
      <c r="U852" s="83">
        <f>VLOOKUP(A852,'Discount Lookup'!G:H,2,FALSE)*G852</f>
        <v>0</v>
      </c>
      <c r="V852" s="100">
        <f>E852*($J$1782)*G852</f>
        <v>0</v>
      </c>
      <c r="W852" s="100">
        <f t="shared" ref="W852" si="2193">I852</f>
        <v>0</v>
      </c>
      <c r="X852" s="100" t="b">
        <f t="shared" si="2186"/>
        <v>0</v>
      </c>
      <c r="Y852" s="201"/>
      <c r="Z852" s="829" t="str">
        <f t="shared" si="2160"/>
        <v/>
      </c>
      <c r="AA852" s="829"/>
      <c r="AB852" s="830" t="str">
        <f>IF(G852=0,"",IF(AD852="free","re-planting",IF(AD852="me","not NVP, by",IF($AD$8="yes",(VLOOKUP(A852,'Discount Lookup'!J:K,2)*G852*(1-$AC$1786)*(1+$AC$1788)),IF(AD852="NVP",(VLOOKUP(A852,'Discount Lookup'!J:K,2)*G852*(1-$AC$1786)*(1+$AC$1788)),IF(AD852="free","re-planting",IF(G852=0,"",IF($AD$8="",IF(AD852="me","not NVP, by",IF(AD852="",IF(G852&gt;0,(VLOOKUP(A852,'Discount Lookup'!J:K,2)*G852*(1-$AC$1786)*(1+$AC$1788)),""),"")),"not NVP, by"))))))))</f>
        <v/>
      </c>
      <c r="AC852" s="830"/>
      <c r="AD852" s="375" t="str">
        <f t="shared" si="2127"/>
        <v/>
      </c>
      <c r="AE852" s="833" t="str">
        <f t="shared" si="2180"/>
        <v/>
      </c>
      <c r="AF852" s="833"/>
      <c r="AG852" s="833"/>
      <c r="AH852" s="91">
        <f>IF(AD852="free",0,IF(AD852="me",0,IF(G852&gt;0,(VLOOKUP(A852,'Discount Lookup'!J:K,2)*G852),0)))</f>
        <v>0</v>
      </c>
      <c r="AI852" s="92" t="str">
        <f t="shared" si="2158"/>
        <v/>
      </c>
      <c r="AJ852" s="828" t="str">
        <f t="shared" si="2161"/>
        <v/>
      </c>
      <c r="AK852" s="828"/>
      <c r="AL852" s="313" t="str">
        <f t="shared" si="2173"/>
        <v/>
      </c>
      <c r="AM852" s="312"/>
      <c r="AN852" s="101"/>
      <c r="AO852" s="101"/>
      <c r="AP852" s="101"/>
      <c r="AQ852" s="101"/>
      <c r="AR852" s="101"/>
      <c r="AS852" s="101"/>
      <c r="AT852" s="101"/>
    </row>
    <row r="853" spans="1:46" ht="12.95" customHeight="1">
      <c r="A853" s="465"/>
      <c r="B853" s="149" t="s">
        <v>511</v>
      </c>
      <c r="C853" s="104"/>
      <c r="D853" s="104"/>
      <c r="E853" s="131"/>
      <c r="F853" s="710"/>
      <c r="G853" s="358"/>
      <c r="H853" s="744"/>
      <c r="I853" s="131"/>
      <c r="J853" s="840"/>
      <c r="K853" s="840"/>
      <c r="L853" s="840"/>
      <c r="M853" s="840"/>
      <c r="N853" s="840"/>
      <c r="O853" s="123"/>
      <c r="P853" s="124"/>
      <c r="Q853" s="124"/>
      <c r="R853" s="48"/>
      <c r="S853" s="48"/>
      <c r="T853" s="546"/>
      <c r="V853" s="100" t="b">
        <f>IF(G853&gt;0,IF(AD853="me","",G853))</f>
        <v>0</v>
      </c>
      <c r="W853" s="100"/>
      <c r="X853" s="100"/>
      <c r="Y853" s="201"/>
      <c r="Z853" s="829" t="str">
        <f t="shared" si="2160"/>
        <v/>
      </c>
      <c r="AA853" s="829"/>
      <c r="AB853" s="830" t="str">
        <f>IF(G853=0,"",IF(AD853="free","re-planting",IF(AD853="me","not NVP, by",IF($AD$8="yes",(VLOOKUP(A853,'Discount Lookup'!J:K,2)*G853*(1-$AC$1786)*(1+$AC$1788)),IF(AD853="NVP",(VLOOKUP(A853,'Discount Lookup'!J:K,2)*G853*(1-$AC$1786)*(1+$AC$1788)),IF(AD853="free","re-planting",IF(G853=0,"",IF($AD$8="",IF(AD853="me","not NVP, by",IF(AD853="",IF(G853&gt;0,(VLOOKUP(A853,'Discount Lookup'!J:K,2)*G853*(1-$AC$1786)*(1+$AC$1788)),""),"")),"not NVP, by"))))))))</f>
        <v/>
      </c>
      <c r="AC853" s="830"/>
      <c r="AD853" s="375" t="str">
        <f t="shared" si="2127"/>
        <v/>
      </c>
      <c r="AE853" s="833" t="str">
        <f t="shared" si="2180"/>
        <v/>
      </c>
      <c r="AF853" s="833"/>
      <c r="AG853" s="833"/>
      <c r="AH853" s="91">
        <f>IF(AD853="free",0,IF(AD853="me",0,IF(G853&gt;0,(VLOOKUP(A853,'Discount Lookup'!J:K,2)*G853),0)))</f>
        <v>0</v>
      </c>
      <c r="AI853" s="92" t="str">
        <f t="shared" si="2158"/>
        <v/>
      </c>
      <c r="AJ853" s="828" t="str">
        <f t="shared" si="2161"/>
        <v/>
      </c>
      <c r="AK853" s="828"/>
      <c r="AL853" s="313" t="str">
        <f t="shared" si="2173"/>
        <v/>
      </c>
      <c r="AM853" s="312"/>
      <c r="AN853" s="101"/>
      <c r="AO853" s="101"/>
      <c r="AP853" s="101"/>
      <c r="AQ853" s="101"/>
      <c r="AR853" s="101"/>
      <c r="AS853" s="101"/>
      <c r="AT853" s="101"/>
    </row>
    <row r="854" spans="1:46" ht="12.95" customHeight="1">
      <c r="A854" s="896" t="s">
        <v>562</v>
      </c>
      <c r="B854" s="897"/>
      <c r="C854" s="897"/>
      <c r="D854" s="897"/>
      <c r="E854" s="897"/>
      <c r="F854" s="897"/>
      <c r="G854" s="897"/>
      <c r="H854" s="776" t="s">
        <v>436</v>
      </c>
      <c r="I854" s="88" t="s">
        <v>79</v>
      </c>
      <c r="J854" s="86"/>
      <c r="K854" s="603" t="s">
        <v>45</v>
      </c>
      <c r="L854" s="601" t="s">
        <v>46</v>
      </c>
      <c r="M854" s="86"/>
      <c r="N854" s="87" t="s">
        <v>157</v>
      </c>
      <c r="O854" s="87"/>
      <c r="P854" s="88"/>
      <c r="Q854" s="88"/>
      <c r="R854" s="835" t="s">
        <v>49</v>
      </c>
      <c r="S854" s="835"/>
      <c r="T854" s="835"/>
      <c r="U854" s="835"/>
      <c r="V854" s="100" t="b">
        <f>IF(G854&gt;0,IF(AD854="me","",G854))</f>
        <v>0</v>
      </c>
      <c r="W854" s="100"/>
      <c r="X854" s="100"/>
      <c r="Y854" s="201"/>
      <c r="Z854" s="829" t="str">
        <f t="shared" si="2160"/>
        <v/>
      </c>
      <c r="AA854" s="829"/>
      <c r="AB854" s="830" t="str">
        <f>IF(G854=0,"",IF(AD854="free","re-planting",IF(AD854="me","not NVP, by",IF($AD$8="yes",(VLOOKUP(A854,'Discount Lookup'!J:K,2)*G854*(1-$AC$1786)*(1+$AC$1788)),IF(AD854="NVP",(VLOOKUP(A854,'Discount Lookup'!J:K,2)*G854*(1-$AC$1786)*(1+$AC$1788)),IF(AD854="free","re-planting",IF(G854=0,"",IF($AD$8="",IF(AD854="me","not NVP, by",IF(AD854="",IF(G854&gt;0,(VLOOKUP(A854,'Discount Lookup'!J:K,2)*G854*(1-$AC$1786)*(1+$AC$1788)),""),"")),"not NVP, by"))))))))</f>
        <v/>
      </c>
      <c r="AC854" s="830"/>
      <c r="AD854" s="375" t="str">
        <f t="shared" si="2127"/>
        <v/>
      </c>
      <c r="AE854" s="833" t="str">
        <f>IF(G854&gt;0,(CONCATENATE((G854)," quantity, ",(A854)," ",B854)),"")</f>
        <v/>
      </c>
      <c r="AF854" s="833"/>
      <c r="AG854" s="833"/>
      <c r="AH854" s="91">
        <f>IF(AD854="free",0,IF(AD854="me",0,IF(G854&gt;0,(VLOOKUP(A854,'Discount Lookup'!J:K,2)*G854),0)))</f>
        <v>0</v>
      </c>
      <c r="AI854" s="92" t="str">
        <f t="shared" si="2158"/>
        <v/>
      </c>
      <c r="AJ854" s="828" t="str">
        <f t="shared" si="2161"/>
        <v/>
      </c>
      <c r="AK854" s="828"/>
      <c r="AL854" s="313" t="str">
        <f t="shared" si="2173"/>
        <v/>
      </c>
      <c r="AM854" s="312"/>
      <c r="AN854" s="101"/>
      <c r="AO854" s="101"/>
      <c r="AP854" s="101"/>
      <c r="AQ854" s="101"/>
      <c r="AR854" s="101"/>
      <c r="AS854" s="101"/>
      <c r="AT854" s="101"/>
    </row>
    <row r="855" spans="1:46" ht="12.95" customHeight="1">
      <c r="A855" s="419">
        <v>7</v>
      </c>
      <c r="B855" s="87" t="s">
        <v>50</v>
      </c>
      <c r="C855" s="128" t="s">
        <v>1483</v>
      </c>
      <c r="D855" s="129" t="s">
        <v>54</v>
      </c>
      <c r="E855" s="98">
        <v>95.95</v>
      </c>
      <c r="F855" s="705" t="s">
        <v>1306</v>
      </c>
      <c r="G855" s="357">
        <v>0</v>
      </c>
      <c r="H855" s="704" t="str">
        <f t="shared" ref="H855" si="2194">IF(G855=0,"",IF(F855="Qty=",IF(G855=1,"plant","plants"),IF(F855&gt;0.0001,"warranty","Error")))</f>
        <v/>
      </c>
      <c r="I855" s="98">
        <f t="shared" ref="I855" si="2195">IF(F855="Qty=",(E855*G855),((E855*(1-F855))*G855))</f>
        <v>0</v>
      </c>
      <c r="J855" s="98">
        <f>IF(H855="warranty",0,(I855*($J$1782)))</f>
        <v>0</v>
      </c>
      <c r="K855" s="831">
        <f t="shared" ref="K855" si="2196">I855+J855</f>
        <v>0</v>
      </c>
      <c r="L855" s="831"/>
      <c r="M855" s="832" t="str">
        <f>IF($H$1784=0,"",IF(G855=0,"",IF(F855="Qty=",CONCATENATE("$",ROUND(K855*(1-$H$1784),2)," with ",($H$1784*100),"% discount"),CONCATENATE("$",ROUND(K855*(1-$H$1784),2)," with ",(($H$1784*100+F855*100)-($H$1784*100*F855)),IF(F855&gt;0,"% discounts",IF($H$1781&gt;0,"% discounts","% discount"))))))</f>
        <v/>
      </c>
      <c r="N855" s="832"/>
      <c r="O855" s="832"/>
      <c r="P855" s="832"/>
      <c r="Q855" s="832"/>
      <c r="R855" s="832"/>
      <c r="S855" s="303">
        <f t="shared" ref="S855" si="2197">E855*G855</f>
        <v>0</v>
      </c>
      <c r="T855" s="541">
        <f>VLOOKUP(A855,'Discount Lookup'!D:E,2,FALSE)*G855</f>
        <v>0</v>
      </c>
      <c r="U855" s="83">
        <f>VLOOKUP(A855,'Discount Lookup'!G:H,2,FALSE)*G855</f>
        <v>0</v>
      </c>
      <c r="V855" s="100">
        <f>E855*($J$1782)*G855</f>
        <v>0</v>
      </c>
      <c r="W855" s="100">
        <f t="shared" ref="W855" si="2198">I855</f>
        <v>0</v>
      </c>
      <c r="X855" s="100" t="b">
        <f>IF(G855&gt;0,IF(AD855="me","",G855))</f>
        <v>0</v>
      </c>
      <c r="Y855" s="201"/>
      <c r="Z855" s="829" t="str">
        <f t="shared" si="2160"/>
        <v/>
      </c>
      <c r="AA855" s="829"/>
      <c r="AB855" s="830" t="str">
        <f>IF(G855=0,"",IF(AD855="free","re-planting",IF(AD855="me","not NVP, by",IF($AD$8="yes",(VLOOKUP(A855,'Discount Lookup'!J:K,2)*G855*(1-$AC$1786)*(1+$AC$1788)),IF(AD855="NVP",(VLOOKUP(A855,'Discount Lookup'!J:K,2)*G855*(1-$AC$1786)*(1+$AC$1788)),IF(AD855="free","re-planting",IF(G855=0,"",IF($AD$8="",IF(AD855="me","not NVP, by",IF(AD855="",IF(G855&gt;0,(VLOOKUP(A855,'Discount Lookup'!J:K,2)*G855*(1-$AC$1786)*(1+$AC$1788)),""),"")),"not NVP, by"))))))))</f>
        <v/>
      </c>
      <c r="AC855" s="830"/>
      <c r="AD855" s="375" t="str">
        <f t="shared" si="2127"/>
        <v/>
      </c>
      <c r="AE855" s="833" t="str">
        <f>IF(G855&gt;0,(CONCATENATE((G855)," quantity, ",(A855)," ",B855)),"")</f>
        <v/>
      </c>
      <c r="AF855" s="833"/>
      <c r="AG855" s="833"/>
      <c r="AH855" s="91">
        <f>IF(AD855="free",0,IF(AD855="me",0,IF(G855&gt;0,(VLOOKUP(A855,'Discount Lookup'!J:K,2)*G855),0)))</f>
        <v>0</v>
      </c>
      <c r="AI855" s="92" t="str">
        <f t="shared" si="2158"/>
        <v/>
      </c>
      <c r="AJ855" s="828" t="str">
        <f t="shared" si="2161"/>
        <v/>
      </c>
      <c r="AK855" s="828"/>
      <c r="AL855" s="313" t="str">
        <f t="shared" si="2173"/>
        <v/>
      </c>
      <c r="AM855" s="312"/>
      <c r="AN855" s="101"/>
      <c r="AO855" s="101"/>
      <c r="AP855" s="101"/>
      <c r="AQ855" s="101"/>
      <c r="AR855" s="101"/>
      <c r="AS855" s="101"/>
      <c r="AT855" s="101"/>
    </row>
    <row r="856" spans="1:46" ht="12.95" customHeight="1">
      <c r="A856" s="468"/>
      <c r="B856" s="149" t="s">
        <v>563</v>
      </c>
      <c r="C856" s="118"/>
      <c r="D856" s="118"/>
      <c r="E856" s="119"/>
      <c r="F856" s="711"/>
      <c r="G856" s="358"/>
      <c r="H856" s="745"/>
      <c r="I856" s="119"/>
      <c r="J856" s="840"/>
      <c r="K856" s="840"/>
      <c r="L856" s="840"/>
      <c r="M856" s="840"/>
      <c r="N856" s="840"/>
      <c r="O856" s="123"/>
      <c r="P856" s="124"/>
      <c r="Q856" s="48"/>
      <c r="R856" s="48"/>
      <c r="S856" s="48"/>
      <c r="T856" s="546"/>
      <c r="Y856" s="132"/>
      <c r="Z856" s="829" t="str">
        <f t="shared" si="2160"/>
        <v/>
      </c>
      <c r="AA856" s="829"/>
      <c r="AB856" s="830" t="str">
        <f>IF(G856=0,"",IF(AD856="free","re-planting",IF(AD856="me","not NVP, by",IF($AD$8="yes",(VLOOKUP(A856,'Discount Lookup'!J:K,2)*G856*(1-$AC$1786)*(1+$AC$1788)),IF(AD856="NVP",(VLOOKUP(A856,'Discount Lookup'!J:K,2)*G856*(1-$AC$1786)*(1+$AC$1788)),IF(AD856="free","re-planting",IF(G856=0,"",IF($AD$8="",IF(AD856="me","not NVP, by",IF(AD856="",IF(G856&gt;0,(VLOOKUP(A856,'Discount Lookup'!J:K,2)*G856*(1-$AC$1786)*(1+$AC$1788)),""),"")),"not NVP, by"))))))))</f>
        <v/>
      </c>
      <c r="AC856" s="830"/>
      <c r="AD856" s="375" t="str">
        <f t="shared" si="2127"/>
        <v/>
      </c>
      <c r="AE856" s="833" t="str">
        <f>IF(G856&gt;0,(CONCATENATE((G856)," quantity, ",(A856)," ",B856)),"")</f>
        <v/>
      </c>
      <c r="AF856" s="833"/>
      <c r="AG856" s="833"/>
      <c r="AH856" s="91">
        <f>IF(AD856="free",0,IF(AD856="me",0,IF(G856&gt;0,(VLOOKUP(A856,'Discount Lookup'!J:K,2)*G856),0)))</f>
        <v>0</v>
      </c>
      <c r="AI856" s="92" t="str">
        <f t="shared" si="2158"/>
        <v/>
      </c>
      <c r="AJ856" s="828" t="str">
        <f t="shared" si="2161"/>
        <v/>
      </c>
      <c r="AK856" s="828"/>
      <c r="AL856" s="313" t="str">
        <f t="shared" si="2173"/>
        <v/>
      </c>
      <c r="AM856" s="312"/>
      <c r="AN856" s="101"/>
      <c r="AO856" s="101"/>
      <c r="AP856" s="101"/>
      <c r="AQ856" s="101"/>
      <c r="AR856" s="101"/>
      <c r="AS856" s="101"/>
      <c r="AT856" s="101"/>
    </row>
    <row r="857" spans="1:46" ht="12.95" customHeight="1">
      <c r="A857" s="847" t="s">
        <v>512</v>
      </c>
      <c r="B857" s="848"/>
      <c r="C857" s="848"/>
      <c r="D857" s="848"/>
      <c r="E857" s="848"/>
      <c r="F857" s="848"/>
      <c r="G857" s="848"/>
      <c r="H857" s="777" t="s">
        <v>436</v>
      </c>
      <c r="I857" s="88" t="s">
        <v>79</v>
      </c>
      <c r="J857" s="86"/>
      <c r="K857" s="603" t="s">
        <v>45</v>
      </c>
      <c r="L857" s="601" t="s">
        <v>46</v>
      </c>
      <c r="M857" s="86"/>
      <c r="N857" s="87" t="s">
        <v>69</v>
      </c>
      <c r="O857" s="87"/>
      <c r="P857" s="88"/>
      <c r="Q857" s="88"/>
      <c r="R857" s="86"/>
      <c r="S857" s="125"/>
      <c r="T857" s="543"/>
      <c r="U857" s="112"/>
      <c r="V857" s="100" t="b">
        <f>IF(G857&gt;0,IF(AD857="me","",G857))</f>
        <v>0</v>
      </c>
      <c r="W857" s="100"/>
      <c r="X857" s="100"/>
      <c r="Y857" s="201"/>
      <c r="Z857" s="829" t="str">
        <f t="shared" si="2160"/>
        <v/>
      </c>
      <c r="AA857" s="829"/>
      <c r="AB857" s="830" t="str">
        <f>IF(G857=0,"",IF(AD857="free","re-planting",IF(AD857="me","not NVP, by",IF($AD$8="yes",(VLOOKUP(A857,'Discount Lookup'!J:K,2)*G857*(1-$AC$1786)*(1+$AC$1788)),IF(AD857="NVP",(VLOOKUP(A857,'Discount Lookup'!J:K,2)*G857*(1-$AC$1786)*(1+$AC$1788)),IF(AD857="free","re-planting",IF(G857=0,"",IF($AD$8="",IF(AD857="me","not NVP, by",IF(AD857="",IF(G857&gt;0,(VLOOKUP(A857,'Discount Lookup'!J:K,2)*G857*(1-$AC$1786)*(1+$AC$1788)),""),"")),"not NVP, by"))))))))</f>
        <v/>
      </c>
      <c r="AC857" s="830"/>
      <c r="AD857" s="375" t="str">
        <f t="shared" si="2127"/>
        <v/>
      </c>
      <c r="AE857" s="833" t="str">
        <f t="shared" si="2180"/>
        <v/>
      </c>
      <c r="AF857" s="833"/>
      <c r="AG857" s="833"/>
      <c r="AH857" s="91">
        <f>IF(AD857="free",0,IF(AD857="me",0,IF(G857&gt;0,(VLOOKUP(A857,'Discount Lookup'!J:K,2)*G857),0)))</f>
        <v>0</v>
      </c>
      <c r="AI857" s="92" t="str">
        <f t="shared" si="2158"/>
        <v/>
      </c>
      <c r="AJ857" s="828" t="str">
        <f t="shared" si="2161"/>
        <v/>
      </c>
      <c r="AK857" s="828"/>
      <c r="AL857" s="313" t="str">
        <f t="shared" si="2173"/>
        <v/>
      </c>
      <c r="AM857" s="312"/>
      <c r="AN857" s="101"/>
      <c r="AO857" s="101"/>
      <c r="AP857" s="101"/>
      <c r="AQ857" s="101"/>
      <c r="AR857" s="101"/>
      <c r="AS857" s="101"/>
      <c r="AT857" s="101"/>
    </row>
    <row r="858" spans="1:46" ht="12.95" customHeight="1">
      <c r="A858" s="419">
        <v>3</v>
      </c>
      <c r="B858" s="87" t="s">
        <v>50</v>
      </c>
      <c r="C858" s="128" t="s">
        <v>135</v>
      </c>
      <c r="D858" s="129" t="s">
        <v>86</v>
      </c>
      <c r="E858" s="98">
        <v>31.95</v>
      </c>
      <c r="F858" s="705" t="s">
        <v>1306</v>
      </c>
      <c r="G858" s="357">
        <v>0</v>
      </c>
      <c r="H858" s="704" t="str">
        <f t="shared" ref="H858:H866" si="2199">IF(G858=0,"",IF(F858="Qty=",IF(G858=1,"plant","plants"),IF(F858&gt;0.0001,"warranty","Error")))</f>
        <v/>
      </c>
      <c r="I858" s="98">
        <f t="shared" ref="I858:I866" si="2200">IF(F858="Qty=",(E858*G858),((E858*(1-F858))*G858))</f>
        <v>0</v>
      </c>
      <c r="J858" s="98">
        <f t="shared" ref="J858:J866" si="2201">IF(H858="warranty",0,(I858*($J$1782)))</f>
        <v>0</v>
      </c>
      <c r="K858" s="831">
        <f t="shared" ref="K858:K866" si="2202">I858+J858</f>
        <v>0</v>
      </c>
      <c r="L858" s="831"/>
      <c r="M858" s="832" t="str">
        <f t="shared" ref="M858:M866" si="2203">IF($H$1784=0,"",IF(G858=0,"",IF(F858="Qty=",CONCATENATE("$",ROUND(K858*(1-$H$1784),2)," with ",($H$1784*100),"% discount"),CONCATENATE("$",ROUND(K858*(1-$H$1784),2)," with ",(($H$1784*100+F858*100)-($H$1784*100*F858)),IF(F858&gt;0,"% discounts",IF($H$1781&gt;0,"% discounts","% discount"))))))</f>
        <v/>
      </c>
      <c r="N858" s="832"/>
      <c r="O858" s="832"/>
      <c r="P858" s="832"/>
      <c r="Q858" s="832"/>
      <c r="R858" s="832"/>
      <c r="S858" s="303">
        <f t="shared" ref="S858:S865" si="2204">E858*G858</f>
        <v>0</v>
      </c>
      <c r="T858" s="541">
        <f>VLOOKUP(A858,'Discount Lookup'!D:E,2,FALSE)*G858</f>
        <v>0</v>
      </c>
      <c r="U858" s="83">
        <f>VLOOKUP(A858,'Discount Lookup'!G:H,2,FALSE)*G858</f>
        <v>0</v>
      </c>
      <c r="V858" s="100">
        <f t="shared" ref="V858:V866" si="2205">E858*($J$1782)*G858</f>
        <v>0</v>
      </c>
      <c r="W858" s="100">
        <f t="shared" ref="W858:W865" si="2206">I858</f>
        <v>0</v>
      </c>
      <c r="X858" s="100" t="b">
        <f t="shared" ref="X858:X864" si="2207">IF(G858&gt;0,IF(AD858="me","",G858))</f>
        <v>0</v>
      </c>
      <c r="Y858" s="201"/>
      <c r="Z858" s="829" t="str">
        <f t="shared" si="2160"/>
        <v/>
      </c>
      <c r="AA858" s="829"/>
      <c r="AB858" s="830" t="str">
        <f>IF(G858=0,"",IF(AD858="free","re-planting",IF(AD858="me","not NVP, by",IF($AD$8="yes",(VLOOKUP(A858,'Discount Lookup'!J:K,2)*G858*(1-$AC$1786)*(1+$AC$1788)),IF(AD858="NVP",(VLOOKUP(A858,'Discount Lookup'!J:K,2)*G858*(1-$AC$1786)*(1+$AC$1788)),IF(AD858="free","re-planting",IF(G858=0,"",IF($AD$8="",IF(AD858="me","not NVP, by",IF(AD858="",IF(G858&gt;0,(VLOOKUP(A858,'Discount Lookup'!J:K,2)*G858*(1-$AC$1786)*(1+$AC$1788)),""),"")),"not NVP, by"))))))))</f>
        <v/>
      </c>
      <c r="AC858" s="830"/>
      <c r="AD858" s="375" t="str">
        <f t="shared" si="2127"/>
        <v/>
      </c>
      <c r="AE858" s="833" t="str">
        <f t="shared" si="2180"/>
        <v/>
      </c>
      <c r="AF858" s="833"/>
      <c r="AG858" s="833"/>
      <c r="AH858" s="91">
        <f>IF(AD858="free",0,IF(AD858="me",0,IF(G858&gt;0,(VLOOKUP(A858,'Discount Lookup'!J:K,2)*G858),0)))</f>
        <v>0</v>
      </c>
      <c r="AI858" s="92" t="str">
        <f t="shared" si="2158"/>
        <v/>
      </c>
      <c r="AJ858" s="828" t="str">
        <f t="shared" si="2161"/>
        <v/>
      </c>
      <c r="AK858" s="828"/>
      <c r="AL858" s="313" t="str">
        <f t="shared" si="2173"/>
        <v/>
      </c>
      <c r="AM858" s="312"/>
      <c r="AN858" s="101"/>
      <c r="AO858" s="101"/>
      <c r="AP858" s="101"/>
      <c r="AQ858" s="101"/>
      <c r="AR858" s="101"/>
      <c r="AS858" s="101"/>
      <c r="AT858" s="101"/>
    </row>
    <row r="859" spans="1:46" ht="12.95" customHeight="1">
      <c r="A859" s="419">
        <v>3</v>
      </c>
      <c r="B859" s="87" t="s">
        <v>50</v>
      </c>
      <c r="C859" s="399" t="s">
        <v>136</v>
      </c>
      <c r="D859" s="129" t="s">
        <v>87</v>
      </c>
      <c r="E859" s="98">
        <v>31.95</v>
      </c>
      <c r="F859" s="705" t="s">
        <v>1306</v>
      </c>
      <c r="G859" s="357">
        <v>0</v>
      </c>
      <c r="H859" s="704" t="str">
        <f t="shared" si="2199"/>
        <v/>
      </c>
      <c r="I859" s="98">
        <f t="shared" si="2200"/>
        <v>0</v>
      </c>
      <c r="J859" s="98">
        <f t="shared" si="2201"/>
        <v>0</v>
      </c>
      <c r="K859" s="831">
        <f t="shared" si="2202"/>
        <v>0</v>
      </c>
      <c r="L859" s="831"/>
      <c r="M859" s="832" t="str">
        <f t="shared" si="2203"/>
        <v/>
      </c>
      <c r="N859" s="832"/>
      <c r="O859" s="832"/>
      <c r="P859" s="832"/>
      <c r="Q859" s="832"/>
      <c r="R859" s="832"/>
      <c r="S859" s="303">
        <f t="shared" si="2204"/>
        <v>0</v>
      </c>
      <c r="T859" s="541">
        <f>VLOOKUP(A859,'Discount Lookup'!D:E,2,FALSE)*G859</f>
        <v>0</v>
      </c>
      <c r="U859" s="83">
        <f>VLOOKUP(A859,'Discount Lookup'!G:H,2,FALSE)*G859</f>
        <v>0</v>
      </c>
      <c r="V859" s="100">
        <f t="shared" si="2205"/>
        <v>0</v>
      </c>
      <c r="W859" s="100">
        <f t="shared" si="2206"/>
        <v>0</v>
      </c>
      <c r="X859" s="100" t="b">
        <f t="shared" si="2207"/>
        <v>0</v>
      </c>
      <c r="Y859" s="201"/>
      <c r="Z859" s="829" t="str">
        <f t="shared" si="2160"/>
        <v/>
      </c>
      <c r="AA859" s="829"/>
      <c r="AB859" s="830" t="str">
        <f>IF(G859=0,"",IF(AD859="free","re-planting",IF(AD859="me","not NVP, by",IF($AD$8="yes",(VLOOKUP(A859,'Discount Lookup'!J:K,2)*G859*(1-$AC$1786)*(1+$AC$1788)),IF(AD859="NVP",(VLOOKUP(A859,'Discount Lookup'!J:K,2)*G859*(1-$AC$1786)*(1+$AC$1788)),IF(AD859="free","re-planting",IF(G859=0,"",IF($AD$8="",IF(AD859="me","not NVP, by",IF(AD859="",IF(G859&gt;0,(VLOOKUP(A859,'Discount Lookup'!J:K,2)*G859*(1-$AC$1786)*(1+$AC$1788)),""),"")),"not NVP, by"))))))))</f>
        <v/>
      </c>
      <c r="AC859" s="830"/>
      <c r="AD859" s="375" t="str">
        <f t="shared" si="2127"/>
        <v/>
      </c>
      <c r="AE859" s="833" t="str">
        <f t="shared" si="2180"/>
        <v/>
      </c>
      <c r="AF859" s="833"/>
      <c r="AG859" s="833"/>
      <c r="AH859" s="91">
        <f>IF(AD859="free",0,IF(AD859="me",0,IF(G859&gt;0,(VLOOKUP(A859,'Discount Lookup'!J:K,2)*G859),0)))</f>
        <v>0</v>
      </c>
      <c r="AI859" s="92" t="str">
        <f t="shared" si="2158"/>
        <v/>
      </c>
      <c r="AJ859" s="828" t="str">
        <f t="shared" si="2161"/>
        <v/>
      </c>
      <c r="AK859" s="828"/>
      <c r="AL859" s="313" t="str">
        <f t="shared" si="2173"/>
        <v/>
      </c>
      <c r="AM859" s="312"/>
      <c r="AN859" s="101"/>
      <c r="AO859" s="101"/>
      <c r="AP859" s="101"/>
      <c r="AQ859" s="101"/>
      <c r="AR859" s="101"/>
      <c r="AS859" s="101"/>
      <c r="AT859" s="101"/>
    </row>
    <row r="860" spans="1:46" ht="12.95" customHeight="1">
      <c r="A860" s="419">
        <v>7</v>
      </c>
      <c r="B860" s="87" t="s">
        <v>50</v>
      </c>
      <c r="C860" s="128" t="s">
        <v>144</v>
      </c>
      <c r="D860" s="129" t="s">
        <v>62</v>
      </c>
      <c r="E860" s="98">
        <v>56.95</v>
      </c>
      <c r="F860" s="705" t="s">
        <v>1306</v>
      </c>
      <c r="G860" s="357">
        <v>0</v>
      </c>
      <c r="H860" s="704" t="str">
        <f t="shared" ref="H860" si="2208">IF(G860=0,"",IF(F860="Qty=",IF(G860=1,"plant","plants"),IF(F860&gt;0.0001,"warranty","Error")))</f>
        <v/>
      </c>
      <c r="I860" s="98">
        <f t="shared" ref="I860" si="2209">IF(F860="Qty=",(E860*G860),((E860*(1-F860))*G860))</f>
        <v>0</v>
      </c>
      <c r="J860" s="98">
        <f t="shared" si="2201"/>
        <v>0</v>
      </c>
      <c r="K860" s="831">
        <f t="shared" si="2202"/>
        <v>0</v>
      </c>
      <c r="L860" s="831"/>
      <c r="M860" s="832" t="str">
        <f t="shared" si="2203"/>
        <v/>
      </c>
      <c r="N860" s="832"/>
      <c r="O860" s="832"/>
      <c r="P860" s="832"/>
      <c r="Q860" s="832"/>
      <c r="R860" s="832"/>
      <c r="S860" s="303">
        <f t="shared" ref="S860" si="2210">E860*G860</f>
        <v>0</v>
      </c>
      <c r="T860" s="541">
        <f>VLOOKUP(A860,'Discount Lookup'!D:E,2,FALSE)*G860</f>
        <v>0</v>
      </c>
      <c r="U860" s="83">
        <f>VLOOKUP(A860,'Discount Lookup'!G:H,2,FALSE)*G860</f>
        <v>0</v>
      </c>
      <c r="V860" s="100">
        <f t="shared" si="2205"/>
        <v>0</v>
      </c>
      <c r="W860" s="100">
        <f t="shared" ref="W860" si="2211">I860</f>
        <v>0</v>
      </c>
      <c r="X860" s="100" t="b">
        <f t="shared" ref="X860" si="2212">IF(G860&gt;0,IF(AD860="me","",G860))</f>
        <v>0</v>
      </c>
      <c r="Y860" s="201"/>
      <c r="Z860" s="829" t="str">
        <f t="shared" ref="Z860" si="2213">IF(G860=0,"",IF(AD860="me","",IF($AD$8="me","",IF(AD860="free","warranty",IF($AD$8="yes","NVP planting:","to NVP install:")))))</f>
        <v/>
      </c>
      <c r="AA860" s="829"/>
      <c r="AB860" s="830" t="str">
        <f>IF(G860=0,"",IF(AD860="free","re-planting",IF(AD860="me","not NVP, by",IF($AD$8="yes",(VLOOKUP(A860,'Discount Lookup'!J:K,2)*G860*(1-$AC$1786)*(1+$AC$1788)),IF(AD860="NVP",(VLOOKUP(A860,'Discount Lookup'!J:K,2)*G860*(1-$AC$1786)*(1+$AC$1788)),IF(AD860="free","re-planting",IF(G860=0,"",IF($AD$8="",IF(AD860="me","not NVP, by",IF(AD860="",IF(G860&gt;0,(VLOOKUP(A860,'Discount Lookup'!J:K,2)*G860*(1-$AC$1786)*(1+$AC$1788)),""),"")),"not NVP, by"))))))))</f>
        <v/>
      </c>
      <c r="AC860" s="830"/>
      <c r="AD860" s="375" t="str">
        <f t="shared" si="2127"/>
        <v/>
      </c>
      <c r="AE860" s="833" t="str">
        <f t="shared" ref="AE860" si="2214">IF(G860&gt;0,(CONCATENATE((G860)," quantity, ",(A860)," ",B860)),"")</f>
        <v/>
      </c>
      <c r="AF860" s="833"/>
      <c r="AG860" s="833"/>
      <c r="AH860" s="91">
        <f>IF(AD860="free",0,IF(AD860="me",0,IF(G860&gt;0,(VLOOKUP(A860,'Discount Lookup'!J:K,2)*G860),0)))</f>
        <v>0</v>
      </c>
      <c r="AI860" s="92" t="str">
        <f t="shared" si="2158"/>
        <v/>
      </c>
      <c r="AJ860" s="828" t="str">
        <f t="shared" ref="AJ860" si="2215">IF(G860=0,"",IF(AD860="me","  delivery-only",IF($AD$8="me","  delivery-only",CONCATENATE(" $",ROUND(AI860/G860,2)," each"))))</f>
        <v/>
      </c>
      <c r="AK860" s="828"/>
      <c r="AL860" s="313" t="str">
        <f t="shared" si="2173"/>
        <v/>
      </c>
      <c r="AM860" s="312"/>
      <c r="AN860" s="101"/>
      <c r="AO860" s="101"/>
      <c r="AP860" s="101"/>
      <c r="AQ860" s="101"/>
      <c r="AR860" s="101"/>
      <c r="AS860" s="101"/>
      <c r="AT860" s="101"/>
    </row>
    <row r="861" spans="1:46" ht="12.95" customHeight="1">
      <c r="A861" s="419">
        <v>7</v>
      </c>
      <c r="B861" s="87" t="s">
        <v>50</v>
      </c>
      <c r="C861" s="128" t="s">
        <v>1226</v>
      </c>
      <c r="D861" s="129" t="s">
        <v>54</v>
      </c>
      <c r="E861" s="98">
        <v>104.95</v>
      </c>
      <c r="F861" s="705" t="s">
        <v>1306</v>
      </c>
      <c r="G861" s="357">
        <v>0</v>
      </c>
      <c r="H861" s="704" t="str">
        <f t="shared" si="2199"/>
        <v/>
      </c>
      <c r="I861" s="98">
        <f t="shared" si="2200"/>
        <v>0</v>
      </c>
      <c r="J861" s="98">
        <f t="shared" si="2201"/>
        <v>0</v>
      </c>
      <c r="K861" s="831">
        <f t="shared" si="2202"/>
        <v>0</v>
      </c>
      <c r="L861" s="831"/>
      <c r="M861" s="832" t="str">
        <f t="shared" si="2203"/>
        <v/>
      </c>
      <c r="N861" s="832"/>
      <c r="O861" s="832"/>
      <c r="P861" s="832"/>
      <c r="Q861" s="832"/>
      <c r="R861" s="832"/>
      <c r="S861" s="303">
        <f t="shared" ref="S861:S863" si="2216">E861*G861</f>
        <v>0</v>
      </c>
      <c r="T861" s="541">
        <f>VLOOKUP(A861,'Discount Lookup'!D:E,2,FALSE)*G861</f>
        <v>0</v>
      </c>
      <c r="U861" s="83">
        <f>VLOOKUP(A861,'Discount Lookup'!G:H,2,FALSE)*G861</f>
        <v>0</v>
      </c>
      <c r="V861" s="100">
        <f t="shared" si="2205"/>
        <v>0</v>
      </c>
      <c r="W861" s="100">
        <f t="shared" ref="W861:W863" si="2217">I861</f>
        <v>0</v>
      </c>
      <c r="X861" s="100" t="b">
        <f t="shared" si="2207"/>
        <v>0</v>
      </c>
      <c r="Y861" s="201"/>
      <c r="Z861" s="829" t="str">
        <f t="shared" si="2160"/>
        <v/>
      </c>
      <c r="AA861" s="829"/>
      <c r="AB861" s="830" t="str">
        <f>IF(G861=0,"",IF(AD861="free","re-planting",IF(AD861="me","not NVP, by",IF($AD$8="yes",(VLOOKUP(A861,'Discount Lookup'!J:K,2)*G861*(1-$AC$1786)*(1+$AC$1788)),IF(AD861="NVP",(VLOOKUP(A861,'Discount Lookup'!J:K,2)*G861*(1-$AC$1786)*(1+$AC$1788)),IF(AD861="free","re-planting",IF(G861=0,"",IF($AD$8="",IF(AD861="me","not NVP, by",IF(AD861="",IF(G861&gt;0,(VLOOKUP(A861,'Discount Lookup'!J:K,2)*G861*(1-$AC$1786)*(1+$AC$1788)),""),"")),"not NVP, by"))))))))</f>
        <v/>
      </c>
      <c r="AC861" s="830"/>
      <c r="AD861" s="375" t="str">
        <f t="shared" si="2127"/>
        <v/>
      </c>
      <c r="AE861" s="833" t="str">
        <f t="shared" si="2180"/>
        <v/>
      </c>
      <c r="AF861" s="833"/>
      <c r="AG861" s="833"/>
      <c r="AH861" s="91">
        <f>IF(AD861="free",0,IF(AD861="me",0,IF(G861&gt;0,(VLOOKUP(A861,'Discount Lookup'!J:K,2)*G861),0)))</f>
        <v>0</v>
      </c>
      <c r="AI861" s="92" t="str">
        <f t="shared" si="2158"/>
        <v/>
      </c>
      <c r="AJ861" s="828" t="str">
        <f t="shared" si="2161"/>
        <v/>
      </c>
      <c r="AK861" s="828"/>
      <c r="AL861" s="313" t="str">
        <f t="shared" si="2173"/>
        <v/>
      </c>
      <c r="AM861" s="312"/>
      <c r="AN861" s="101"/>
      <c r="AO861" s="101"/>
      <c r="AP861" s="101"/>
      <c r="AQ861" s="101"/>
      <c r="AR861" s="101"/>
      <c r="AS861" s="101"/>
      <c r="AT861" s="101"/>
    </row>
    <row r="862" spans="1:46" ht="12.95" customHeight="1">
      <c r="A862" s="419">
        <v>7</v>
      </c>
      <c r="B862" s="87" t="s">
        <v>50</v>
      </c>
      <c r="C862" s="128" t="s">
        <v>102</v>
      </c>
      <c r="D862" s="129" t="s">
        <v>63</v>
      </c>
      <c r="E862" s="98">
        <v>102.95</v>
      </c>
      <c r="F862" s="705" t="s">
        <v>1306</v>
      </c>
      <c r="G862" s="357">
        <v>0</v>
      </c>
      <c r="H862" s="704" t="str">
        <f t="shared" si="2199"/>
        <v/>
      </c>
      <c r="I862" s="98">
        <f t="shared" si="2200"/>
        <v>0</v>
      </c>
      <c r="J862" s="98">
        <f t="shared" si="2201"/>
        <v>0</v>
      </c>
      <c r="K862" s="831">
        <f t="shared" si="2202"/>
        <v>0</v>
      </c>
      <c r="L862" s="831"/>
      <c r="M862" s="832" t="str">
        <f t="shared" si="2203"/>
        <v/>
      </c>
      <c r="N862" s="832"/>
      <c r="O862" s="832"/>
      <c r="P862" s="832"/>
      <c r="Q862" s="832"/>
      <c r="R862" s="832"/>
      <c r="S862" s="303">
        <f t="shared" ref="S862" si="2218">E862*G862</f>
        <v>0</v>
      </c>
      <c r="T862" s="541">
        <f>VLOOKUP(A862,'Discount Lookup'!D:E,2,FALSE)*G862</f>
        <v>0</v>
      </c>
      <c r="U862" s="83">
        <f>VLOOKUP(A862,'Discount Lookup'!G:H,2,FALSE)*G862</f>
        <v>0</v>
      </c>
      <c r="V862" s="100">
        <f t="shared" si="2205"/>
        <v>0</v>
      </c>
      <c r="W862" s="100">
        <f t="shared" ref="W862" si="2219">I862</f>
        <v>0</v>
      </c>
      <c r="X862" s="100" t="b">
        <f t="shared" ref="X862" si="2220">IF(G862&gt;0,IF(AD862="me","",G862))</f>
        <v>0</v>
      </c>
      <c r="Y862" s="201"/>
      <c r="Z862" s="829" t="str">
        <f t="shared" si="2160"/>
        <v/>
      </c>
      <c r="AA862" s="829"/>
      <c r="AB862" s="830" t="str">
        <f>IF(G862=0,"",IF(AD862="free","re-planting",IF(AD862="me","not NVP, by",IF($AD$8="yes",(VLOOKUP(A862,'Discount Lookup'!J:K,2)*G862*(1-$AC$1786)*(1+$AC$1788)),IF(AD862="NVP",(VLOOKUP(A862,'Discount Lookup'!J:K,2)*G862*(1-$AC$1786)*(1+$AC$1788)),IF(AD862="free","re-planting",IF(G862=0,"",IF($AD$8="",IF(AD862="me","not NVP, by",IF(AD862="",IF(G862&gt;0,(VLOOKUP(A862,'Discount Lookup'!J:K,2)*G862*(1-$AC$1786)*(1+$AC$1788)),""),"")),"not NVP, by"))))))))</f>
        <v/>
      </c>
      <c r="AC862" s="830"/>
      <c r="AD862" s="375" t="str">
        <f t="shared" si="2127"/>
        <v/>
      </c>
      <c r="AE862" s="833" t="str">
        <f t="shared" ref="AE862" si="2221">IF(G862&gt;0,(CONCATENATE((G862)," quantity, ",(A862)," ",B862)),"")</f>
        <v/>
      </c>
      <c r="AF862" s="833"/>
      <c r="AG862" s="833"/>
      <c r="AH862" s="91">
        <f>IF(AD862="free",0,IF(AD862="me",0,IF(G862&gt;0,(VLOOKUP(A862,'Discount Lookup'!J:K,2)*G862),0)))</f>
        <v>0</v>
      </c>
      <c r="AI862" s="92" t="str">
        <f t="shared" si="2158"/>
        <v/>
      </c>
      <c r="AJ862" s="828" t="str">
        <f t="shared" si="2161"/>
        <v/>
      </c>
      <c r="AK862" s="828"/>
      <c r="AL862" s="313" t="str">
        <f t="shared" si="2173"/>
        <v/>
      </c>
      <c r="AM862" s="312"/>
      <c r="AN862" s="101"/>
      <c r="AO862" s="101"/>
      <c r="AP862" s="101"/>
      <c r="AQ862" s="101"/>
      <c r="AR862" s="101"/>
      <c r="AS862" s="101"/>
      <c r="AT862" s="101"/>
    </row>
    <row r="863" spans="1:46" ht="12.95" customHeight="1">
      <c r="A863" s="419">
        <v>7</v>
      </c>
      <c r="B863" s="87" t="s">
        <v>50</v>
      </c>
      <c r="C863" s="128" t="s">
        <v>1519</v>
      </c>
      <c r="D863" s="129" t="s">
        <v>90</v>
      </c>
      <c r="E863" s="98">
        <v>192.95</v>
      </c>
      <c r="F863" s="705" t="s">
        <v>1306</v>
      </c>
      <c r="G863" s="357">
        <v>0</v>
      </c>
      <c r="H863" s="704" t="str">
        <f t="shared" si="2199"/>
        <v/>
      </c>
      <c r="I863" s="98">
        <f t="shared" si="2200"/>
        <v>0</v>
      </c>
      <c r="J863" s="98">
        <f t="shared" si="2201"/>
        <v>0</v>
      </c>
      <c r="K863" s="831">
        <f t="shared" si="2202"/>
        <v>0</v>
      </c>
      <c r="L863" s="831"/>
      <c r="M863" s="832" t="str">
        <f t="shared" si="2203"/>
        <v/>
      </c>
      <c r="N863" s="832"/>
      <c r="O863" s="832"/>
      <c r="P863" s="832"/>
      <c r="Q863" s="832"/>
      <c r="R863" s="832"/>
      <c r="S863" s="303">
        <f t="shared" si="2216"/>
        <v>0</v>
      </c>
      <c r="T863" s="541">
        <f>VLOOKUP(A863,'Discount Lookup'!D:E,2,FALSE)*G863</f>
        <v>0</v>
      </c>
      <c r="U863" s="83">
        <f>VLOOKUP(A863,'Discount Lookup'!G:H,2,FALSE)*G863</f>
        <v>0</v>
      </c>
      <c r="V863" s="100">
        <f t="shared" si="2205"/>
        <v>0</v>
      </c>
      <c r="W863" s="100">
        <f t="shared" si="2217"/>
        <v>0</v>
      </c>
      <c r="X863" s="100" t="b">
        <f t="shared" ref="X863" si="2222">IF(G863&gt;0,IF(AD863="me","",G863))</f>
        <v>0</v>
      </c>
      <c r="Y863" s="201"/>
      <c r="Z863" s="829" t="str">
        <f t="shared" si="2160"/>
        <v/>
      </c>
      <c r="AA863" s="829"/>
      <c r="AB863" s="830" t="str">
        <f>IF(G863=0,"",IF(AD863="free","re-planting",IF(AD863="me","not NVP, by",IF($AD$8="yes",(VLOOKUP(A863,'Discount Lookup'!J:K,2)*G863*(1-$AC$1786)*(1+$AC$1788)),IF(AD863="NVP",(VLOOKUP(A863,'Discount Lookup'!J:K,2)*G863*(1-$AC$1786)*(1+$AC$1788)),IF(AD863="free","re-planting",IF(G863=0,"",IF($AD$8="",IF(AD863="me","not NVP, by",IF(AD863="",IF(G863&gt;0,(VLOOKUP(A863,'Discount Lookup'!J:K,2)*G863*(1-$AC$1786)*(1+$AC$1788)),""),"")),"not NVP, by"))))))))</f>
        <v/>
      </c>
      <c r="AC863" s="830"/>
      <c r="AD863" s="375" t="str">
        <f t="shared" si="2127"/>
        <v/>
      </c>
      <c r="AE863" s="833" t="str">
        <f t="shared" ref="AE863" si="2223">IF(G863&gt;0,(CONCATENATE((G863)," quantity, ",(A863)," ",B863)),"")</f>
        <v/>
      </c>
      <c r="AF863" s="833"/>
      <c r="AG863" s="833"/>
      <c r="AH863" s="91">
        <f>IF(AD863="free",0,IF(AD863="me",0,IF(G863&gt;0,(VLOOKUP(A863,'Discount Lookup'!J:K,2)*G863),0)))</f>
        <v>0</v>
      </c>
      <c r="AI863" s="92" t="str">
        <f t="shared" si="2158"/>
        <v/>
      </c>
      <c r="AJ863" s="828" t="str">
        <f t="shared" si="2161"/>
        <v/>
      </c>
      <c r="AK863" s="828"/>
      <c r="AL863" s="313" t="str">
        <f t="shared" si="2173"/>
        <v/>
      </c>
      <c r="AM863" s="312"/>
      <c r="AN863" s="101"/>
      <c r="AO863" s="101"/>
      <c r="AP863" s="101"/>
      <c r="AQ863" s="101"/>
      <c r="AR863" s="101"/>
      <c r="AS863" s="101"/>
      <c r="AT863" s="101"/>
    </row>
    <row r="864" spans="1:46" ht="12.95" customHeight="1">
      <c r="A864" s="419">
        <v>15</v>
      </c>
      <c r="B864" s="87" t="s">
        <v>50</v>
      </c>
      <c r="C864" s="128" t="s">
        <v>1033</v>
      </c>
      <c r="D864" s="129" t="s">
        <v>90</v>
      </c>
      <c r="E864" s="98">
        <v>366.95</v>
      </c>
      <c r="F864" s="705" t="s">
        <v>1306</v>
      </c>
      <c r="G864" s="357">
        <v>0</v>
      </c>
      <c r="H864" s="704" t="str">
        <f t="shared" si="2199"/>
        <v/>
      </c>
      <c r="I864" s="98">
        <f t="shared" si="2200"/>
        <v>0</v>
      </c>
      <c r="J864" s="98">
        <f t="shared" si="2201"/>
        <v>0</v>
      </c>
      <c r="K864" s="831">
        <f t="shared" si="2202"/>
        <v>0</v>
      </c>
      <c r="L864" s="831"/>
      <c r="M864" s="832" t="str">
        <f t="shared" si="2203"/>
        <v/>
      </c>
      <c r="N864" s="832"/>
      <c r="O864" s="832"/>
      <c r="P864" s="832"/>
      <c r="Q864" s="832"/>
      <c r="R864" s="832"/>
      <c r="S864" s="303">
        <f t="shared" si="2204"/>
        <v>0</v>
      </c>
      <c r="T864" s="541">
        <f>VLOOKUP(A864,'Discount Lookup'!D:E,2,FALSE)*G864</f>
        <v>0</v>
      </c>
      <c r="U864" s="83">
        <f>VLOOKUP(A864,'Discount Lookup'!G:H,2,FALSE)*G864</f>
        <v>0</v>
      </c>
      <c r="V864" s="100">
        <f t="shared" si="2205"/>
        <v>0</v>
      </c>
      <c r="W864" s="100">
        <f t="shared" si="2206"/>
        <v>0</v>
      </c>
      <c r="X864" s="100" t="b">
        <f t="shared" si="2207"/>
        <v>0</v>
      </c>
      <c r="Y864" s="201"/>
      <c r="Z864" s="829" t="str">
        <f t="shared" si="2160"/>
        <v/>
      </c>
      <c r="AA864" s="829"/>
      <c r="AB864" s="830" t="str">
        <f>IF(G864=0,"",IF(AD864="free","re-planting",IF(AD864="me","not NVP, by",IF($AD$8="yes",(VLOOKUP(A864,'Discount Lookup'!J:K,2)*G864*(1-$AC$1786)*(1+$AC$1788)),IF(AD864="NVP",(VLOOKUP(A864,'Discount Lookup'!J:K,2)*G864*(1-$AC$1786)*(1+$AC$1788)),IF(AD864="free","re-planting",IF(G864=0,"",IF($AD$8="",IF(AD864="me","not NVP, by",IF(AD864="",IF(G864&gt;0,(VLOOKUP(A864,'Discount Lookup'!J:K,2)*G864*(1-$AC$1786)*(1+$AC$1788)),""),"")),"not NVP, by"))))))))</f>
        <v/>
      </c>
      <c r="AC864" s="830"/>
      <c r="AD864" s="375" t="str">
        <f t="shared" si="2127"/>
        <v/>
      </c>
      <c r="AE864" s="833" t="str">
        <f t="shared" si="2180"/>
        <v/>
      </c>
      <c r="AF864" s="833"/>
      <c r="AG864" s="833"/>
      <c r="AH864" s="91">
        <f>IF(AD864="free",0,IF(AD864="me",0,IF(G864&gt;0,(VLOOKUP(A864,'Discount Lookup'!J:K,2)*G864),0)))</f>
        <v>0</v>
      </c>
      <c r="AI864" s="92" t="str">
        <f t="shared" si="2158"/>
        <v/>
      </c>
      <c r="AJ864" s="828" t="str">
        <f t="shared" si="2161"/>
        <v/>
      </c>
      <c r="AK864" s="828"/>
      <c r="AL864" s="313" t="str">
        <f t="shared" si="2173"/>
        <v/>
      </c>
      <c r="AM864" s="312"/>
      <c r="AN864" s="101"/>
      <c r="AO864" s="101"/>
      <c r="AP864" s="101"/>
      <c r="AQ864" s="101"/>
      <c r="AR864" s="101"/>
      <c r="AS864" s="101"/>
      <c r="AT864" s="101"/>
    </row>
    <row r="865" spans="1:92" ht="12.95" customHeight="1">
      <c r="A865" s="419">
        <v>45</v>
      </c>
      <c r="B865" s="87" t="s">
        <v>50</v>
      </c>
      <c r="C865" s="128" t="s">
        <v>1282</v>
      </c>
      <c r="D865" s="129" t="s">
        <v>54</v>
      </c>
      <c r="E865" s="98">
        <v>499.95</v>
      </c>
      <c r="F865" s="705" t="s">
        <v>1306</v>
      </c>
      <c r="G865" s="357">
        <v>0</v>
      </c>
      <c r="H865" s="704" t="str">
        <f t="shared" si="2199"/>
        <v/>
      </c>
      <c r="I865" s="98">
        <f t="shared" si="2200"/>
        <v>0</v>
      </c>
      <c r="J865" s="98">
        <f t="shared" si="2201"/>
        <v>0</v>
      </c>
      <c r="K865" s="831">
        <f t="shared" si="2202"/>
        <v>0</v>
      </c>
      <c r="L865" s="831"/>
      <c r="M865" s="832" t="str">
        <f t="shared" si="2203"/>
        <v/>
      </c>
      <c r="N865" s="832"/>
      <c r="O865" s="832"/>
      <c r="P865" s="832"/>
      <c r="Q865" s="832"/>
      <c r="R865" s="832"/>
      <c r="S865" s="303">
        <f t="shared" si="2204"/>
        <v>0</v>
      </c>
      <c r="T865" s="541">
        <f>VLOOKUP(A865,'Discount Lookup'!D:E,2,FALSE)*G865</f>
        <v>0</v>
      </c>
      <c r="U865" s="83">
        <f>VLOOKUP(A865,'Discount Lookup'!G:H,2,FALSE)*G865</f>
        <v>0</v>
      </c>
      <c r="V865" s="100">
        <f t="shared" si="2205"/>
        <v>0</v>
      </c>
      <c r="W865" s="100">
        <f t="shared" si="2206"/>
        <v>0</v>
      </c>
      <c r="X865" s="100" t="b">
        <f t="shared" ref="X865" si="2224">IF(G865&gt;0,IF(AD865="me","",G865))</f>
        <v>0</v>
      </c>
      <c r="Y865" s="201"/>
      <c r="Z865" s="829" t="str">
        <f t="shared" si="2160"/>
        <v/>
      </c>
      <c r="AA865" s="829"/>
      <c r="AB865" s="830" t="str">
        <f>IF(G865=0,"",IF(AD865="free","re-planting",IF(AD865="me","not NVP, by",IF($AD$8="yes",(VLOOKUP(A865,'Discount Lookup'!J:K,2)*G865*(1-$AC$1786)*(1+$AC$1788)),IF(AD865="NVP",(VLOOKUP(A865,'Discount Lookup'!J:K,2)*G865*(1-$AC$1786)*(1+$AC$1788)),IF(AD865="free","re-planting",IF(G865=0,"",IF($AD$8="",IF(AD865="me","not NVP, by",IF(AD865="",IF(G865&gt;0,(VLOOKUP(A865,'Discount Lookup'!J:K,2)*G865*(1-$AC$1786)*(1+$AC$1788)),""),"")),"not NVP, by"))))))))</f>
        <v/>
      </c>
      <c r="AC865" s="830"/>
      <c r="AD865" s="375" t="str">
        <f t="shared" si="2127"/>
        <v/>
      </c>
      <c r="AE865" s="833" t="str">
        <f t="shared" ref="AE865" si="2225">IF(G865&gt;0,(CONCATENATE((G865)," quantity, ",(A865)," ",B865)),"")</f>
        <v/>
      </c>
      <c r="AF865" s="833"/>
      <c r="AG865" s="833"/>
      <c r="AH865" s="91">
        <f>IF(AD865="free",0,IF(AD865="me",0,IF(G865&gt;0,(VLOOKUP(A865,'Discount Lookup'!J:K,2)*G865),0)))</f>
        <v>0</v>
      </c>
      <c r="AI865" s="92" t="str">
        <f t="shared" si="2158"/>
        <v/>
      </c>
      <c r="AJ865" s="828" t="str">
        <f t="shared" si="2161"/>
        <v/>
      </c>
      <c r="AK865" s="828"/>
      <c r="AL865" s="313" t="str">
        <f t="shared" si="2173"/>
        <v/>
      </c>
      <c r="AM865" s="312"/>
      <c r="AN865" s="101"/>
      <c r="AO865" s="101"/>
      <c r="AP865" s="101"/>
      <c r="AQ865" s="101"/>
      <c r="AR865" s="101"/>
      <c r="AS865" s="101"/>
      <c r="AT865" s="101"/>
    </row>
    <row r="866" spans="1:92" ht="12.95" customHeight="1">
      <c r="A866" s="419">
        <v>65</v>
      </c>
      <c r="B866" s="87" t="s">
        <v>50</v>
      </c>
      <c r="C866" s="128" t="s">
        <v>1283</v>
      </c>
      <c r="D866" s="129" t="s">
        <v>54</v>
      </c>
      <c r="E866" s="98">
        <v>579.95000000000005</v>
      </c>
      <c r="F866" s="705" t="s">
        <v>1306</v>
      </c>
      <c r="G866" s="357">
        <v>0</v>
      </c>
      <c r="H866" s="704" t="str">
        <f t="shared" si="2199"/>
        <v/>
      </c>
      <c r="I866" s="98">
        <f t="shared" si="2200"/>
        <v>0</v>
      </c>
      <c r="J866" s="98">
        <f t="shared" si="2201"/>
        <v>0</v>
      </c>
      <c r="K866" s="831">
        <f t="shared" si="2202"/>
        <v>0</v>
      </c>
      <c r="L866" s="831"/>
      <c r="M866" s="832" t="str">
        <f t="shared" si="2203"/>
        <v/>
      </c>
      <c r="N866" s="832"/>
      <c r="O866" s="832"/>
      <c r="P866" s="832"/>
      <c r="Q866" s="832"/>
      <c r="R866" s="832"/>
      <c r="S866" s="303">
        <f t="shared" ref="S866" si="2226">E866*G866</f>
        <v>0</v>
      </c>
      <c r="T866" s="541">
        <f>VLOOKUP(A866,'Discount Lookup'!D:E,2,FALSE)*G866</f>
        <v>0</v>
      </c>
      <c r="U866" s="83">
        <f>VLOOKUP(A866,'Discount Lookup'!G:H,2,FALSE)*G866</f>
        <v>0</v>
      </c>
      <c r="V866" s="100">
        <f t="shared" si="2205"/>
        <v>0</v>
      </c>
      <c r="W866" s="100">
        <f t="shared" ref="W866" si="2227">I866</f>
        <v>0</v>
      </c>
      <c r="X866" s="100" t="b">
        <f t="shared" ref="X866" si="2228">IF(G866&gt;0,IF(AD866="me","",G866))</f>
        <v>0</v>
      </c>
      <c r="Y866" s="201"/>
      <c r="Z866" s="829" t="str">
        <f t="shared" si="2160"/>
        <v/>
      </c>
      <c r="AA866" s="829"/>
      <c r="AB866" s="830" t="str">
        <f>IF(G866=0,"",IF(AD866="free","re-planting",IF(AD866="me","not NVP, by",IF($AD$8="yes",(VLOOKUP(A866,'Discount Lookup'!J:K,2)*G866*(1-$AC$1786)*(1+$AC$1788)),IF(AD866="NVP",(VLOOKUP(A866,'Discount Lookup'!J:K,2)*G866*(1-$AC$1786)*(1+$AC$1788)),IF(AD866="free","re-planting",IF(G866=0,"",IF($AD$8="",IF(AD866="me","not NVP, by",IF(AD866="",IF(G866&gt;0,(VLOOKUP(A866,'Discount Lookup'!J:K,2)*G866*(1-$AC$1786)*(1+$AC$1788)),""),"")),"not NVP, by"))))))))</f>
        <v/>
      </c>
      <c r="AC866" s="830"/>
      <c r="AD866" s="375" t="str">
        <f t="shared" si="2127"/>
        <v/>
      </c>
      <c r="AE866" s="833" t="str">
        <f t="shared" ref="AE866" si="2229">IF(G866&gt;0,(CONCATENATE((G866)," quantity, ",(A866)," ",B866)),"")</f>
        <v/>
      </c>
      <c r="AF866" s="833"/>
      <c r="AG866" s="833"/>
      <c r="AH866" s="91">
        <f>IF(AD866="free",0,IF(AD866="me",0,IF(G866&gt;0,(VLOOKUP(A866,'Discount Lookup'!J:K,2)*G866),0)))</f>
        <v>0</v>
      </c>
      <c r="AI866" s="92" t="str">
        <f t="shared" si="2158"/>
        <v/>
      </c>
      <c r="AJ866" s="828" t="str">
        <f t="shared" si="2161"/>
        <v/>
      </c>
      <c r="AK866" s="828"/>
      <c r="AL866" s="313" t="str">
        <f t="shared" si="2173"/>
        <v/>
      </c>
      <c r="AM866" s="312"/>
      <c r="AN866" s="101"/>
      <c r="AO866" s="101"/>
      <c r="AP866" s="101"/>
      <c r="AQ866" s="101"/>
      <c r="AR866" s="101"/>
      <c r="AS866" s="101"/>
      <c r="AT866" s="101"/>
    </row>
    <row r="867" spans="1:92" ht="12.95" customHeight="1">
      <c r="A867" s="468"/>
      <c r="B867" s="149" t="s">
        <v>513</v>
      </c>
      <c r="C867" s="118"/>
      <c r="D867" s="118"/>
      <c r="E867" s="119"/>
      <c r="F867" s="711"/>
      <c r="G867" s="358"/>
      <c r="H867" s="745"/>
      <c r="I867" s="119"/>
      <c r="J867" s="119"/>
      <c r="K867" s="609"/>
      <c r="L867" s="609"/>
      <c r="M867" s="121"/>
      <c r="N867" s="145"/>
      <c r="O867" s="123"/>
      <c r="P867" s="124"/>
      <c r="Q867" s="124"/>
      <c r="R867" s="83"/>
      <c r="S867" s="82">
        <f>E867*G867</f>
        <v>0</v>
      </c>
      <c r="T867" s="540"/>
      <c r="U867" s="83"/>
      <c r="V867" s="100" t="b">
        <f>IF(G867&gt;0,IF(AD867="me","",G867))</f>
        <v>0</v>
      </c>
      <c r="W867" s="100"/>
      <c r="X867" s="100"/>
      <c r="Y867" s="201"/>
      <c r="Z867" s="829" t="str">
        <f t="shared" si="2160"/>
        <v/>
      </c>
      <c r="AA867" s="829"/>
      <c r="AB867" s="830" t="str">
        <f>IF(G867=0,"",IF(AD867="free","re-planting",IF(AD867="me","not NVP, by",IF($AD$8="yes",(VLOOKUP(A867,'Discount Lookup'!J:K,2)*G867*(1-$AC$1786)*(1+$AC$1788)),IF(AD867="NVP",(VLOOKUP(A867,'Discount Lookup'!J:K,2)*G867*(1-$AC$1786)*(1+$AC$1788)),IF(AD867="free","re-planting",IF(G867=0,"",IF($AD$8="",IF(AD867="me","not NVP, by",IF(AD867="",IF(G867&gt;0,(VLOOKUP(A867,'Discount Lookup'!J:K,2)*G867*(1-$AC$1786)*(1+$AC$1788)),""),"")),"not NVP, by"))))))))</f>
        <v/>
      </c>
      <c r="AC867" s="830"/>
      <c r="AD867" s="375" t="str">
        <f t="shared" si="2127"/>
        <v/>
      </c>
      <c r="AE867" s="833" t="str">
        <f t="shared" si="2180"/>
        <v/>
      </c>
      <c r="AF867" s="833"/>
      <c r="AG867" s="833"/>
      <c r="AH867" s="91">
        <f>IF(AD867="free",0,IF(AD867="me",0,IF(G867&gt;0,(VLOOKUP(A867,'Discount Lookup'!J:K,2)*G867),0)))</f>
        <v>0</v>
      </c>
      <c r="AI867" s="92" t="str">
        <f t="shared" si="2158"/>
        <v/>
      </c>
      <c r="AJ867" s="828" t="str">
        <f t="shared" si="2161"/>
        <v/>
      </c>
      <c r="AK867" s="828"/>
      <c r="AL867" s="313" t="str">
        <f t="shared" si="2173"/>
        <v/>
      </c>
      <c r="AM867" s="312"/>
      <c r="AN867" s="101"/>
      <c r="AO867" s="101"/>
      <c r="AP867" s="101"/>
      <c r="AQ867" s="101"/>
      <c r="AR867" s="101"/>
      <c r="AS867" s="101"/>
      <c r="AT867" s="101"/>
    </row>
    <row r="868" spans="1:92" ht="12.95" customHeight="1">
      <c r="A868" s="896" t="s">
        <v>514</v>
      </c>
      <c r="B868" s="897"/>
      <c r="C868" s="897"/>
      <c r="D868" s="897"/>
      <c r="E868" s="897"/>
      <c r="F868" s="897"/>
      <c r="G868" s="897"/>
      <c r="H868" s="776" t="s">
        <v>436</v>
      </c>
      <c r="I868" s="88" t="s">
        <v>79</v>
      </c>
      <c r="J868" s="86"/>
      <c r="K868" s="603" t="s">
        <v>45</v>
      </c>
      <c r="L868" s="601" t="s">
        <v>46</v>
      </c>
      <c r="M868" s="86"/>
      <c r="N868" s="87" t="s">
        <v>69</v>
      </c>
      <c r="O868" s="87"/>
      <c r="P868" s="88"/>
      <c r="Q868" s="88"/>
      <c r="R868" s="86"/>
      <c r="S868" s="125"/>
      <c r="T868" s="543"/>
      <c r="U868" s="112"/>
      <c r="V868" s="100" t="b">
        <f>IF(G868&gt;0,IF(AD868="me","",G868))</f>
        <v>0</v>
      </c>
      <c r="W868" s="100"/>
      <c r="X868" s="100"/>
      <c r="Y868" s="201"/>
      <c r="Z868" s="829" t="str">
        <f t="shared" si="2160"/>
        <v/>
      </c>
      <c r="AA868" s="829"/>
      <c r="AB868" s="830" t="str">
        <f>IF(G868=0,"",IF(AD868="free","re-planting",IF(AD868="me","not NVP, by",IF($AD$8="yes",(VLOOKUP(A868,'Discount Lookup'!J:K,2)*G868*(1-$AC$1786)*(1+$AC$1788)),IF(AD868="NVP",(VLOOKUP(A868,'Discount Lookup'!J:K,2)*G868*(1-$AC$1786)*(1+$AC$1788)),IF(AD868="free","re-planting",IF(G868=0,"",IF($AD$8="",IF(AD868="me","not NVP, by",IF(AD868="",IF(G868&gt;0,(VLOOKUP(A868,'Discount Lookup'!J:K,2)*G868*(1-$AC$1786)*(1+$AC$1788)),""),"")),"not NVP, by"))))))))</f>
        <v/>
      </c>
      <c r="AC868" s="830"/>
      <c r="AD868" s="375" t="str">
        <f t="shared" si="2127"/>
        <v/>
      </c>
      <c r="AE868" s="833" t="str">
        <f t="shared" si="2180"/>
        <v/>
      </c>
      <c r="AF868" s="833"/>
      <c r="AG868" s="833"/>
      <c r="AH868" s="91">
        <f>IF(AD868="free",0,IF(AD868="me",0,IF(G868&gt;0,(VLOOKUP(A868,'Discount Lookup'!J:K,2)*G868),0)))</f>
        <v>0</v>
      </c>
      <c r="AI868" s="92" t="str">
        <f t="shared" si="2158"/>
        <v/>
      </c>
      <c r="AJ868" s="828" t="str">
        <f t="shared" si="2161"/>
        <v/>
      </c>
      <c r="AK868" s="828"/>
      <c r="AL868" s="313" t="str">
        <f t="shared" si="2173"/>
        <v/>
      </c>
      <c r="AM868" s="312"/>
      <c r="AN868" s="101"/>
      <c r="AO868" s="101"/>
      <c r="AP868" s="101"/>
      <c r="AQ868" s="101"/>
      <c r="AR868" s="101"/>
      <c r="AS868" s="101"/>
      <c r="AT868" s="101"/>
    </row>
    <row r="869" spans="1:92" ht="12.95" customHeight="1">
      <c r="A869" s="419">
        <v>3</v>
      </c>
      <c r="B869" s="87" t="s">
        <v>50</v>
      </c>
      <c r="C869" s="128" t="s">
        <v>51</v>
      </c>
      <c r="D869" s="129" t="s">
        <v>94</v>
      </c>
      <c r="E869" s="98">
        <v>23.95</v>
      </c>
      <c r="F869" s="705" t="s">
        <v>1306</v>
      </c>
      <c r="G869" s="357">
        <v>0</v>
      </c>
      <c r="H869" s="704" t="str">
        <f t="shared" ref="H869:H870" si="2230">IF(G869=0,"",IF(F869="Qty=",IF(G869=1,"plant","plants"),IF(F869&gt;0.0001,"warranty","Error")))</f>
        <v/>
      </c>
      <c r="I869" s="98">
        <f t="shared" ref="I869:I870" si="2231">IF(F869="Qty=",(E869*G869),((E869*(1-F869))*G869))</f>
        <v>0</v>
      </c>
      <c r="J869" s="98">
        <f>IF(H869="warranty",0,(I869*($J$1782)))</f>
        <v>0</v>
      </c>
      <c r="K869" s="831">
        <f t="shared" ref="K869:K871" si="2232">I869+J869</f>
        <v>0</v>
      </c>
      <c r="L869" s="831"/>
      <c r="M869" s="832" t="str">
        <f>IF($H$1784=0,"",IF(G869=0,"",IF(F869="Qty=",CONCATENATE("$",ROUND(K869*(1-$H$1784),2)," with ",($H$1784*100),"% discount"),CONCATENATE("$",ROUND(K869*(1-$H$1784),2)," with ",(($H$1784*100+F869*100)-($H$1784*100*F869)),IF(F869&gt;0,"% discounts",IF($H$1781&gt;0,"% discounts","% discount"))))))</f>
        <v/>
      </c>
      <c r="N869" s="832"/>
      <c r="O869" s="832"/>
      <c r="P869" s="832"/>
      <c r="Q869" s="832"/>
      <c r="R869" s="832"/>
      <c r="S869" s="303">
        <f t="shared" ref="S869:S870" si="2233">E869*G869</f>
        <v>0</v>
      </c>
      <c r="T869" s="541">
        <f>VLOOKUP(A869,'Discount Lookup'!D:E,2,FALSE)*G869</f>
        <v>0</v>
      </c>
      <c r="U869" s="83">
        <f>VLOOKUP(A869,'Discount Lookup'!G:H,2,FALSE)*G869</f>
        <v>0</v>
      </c>
      <c r="V869" s="100">
        <f>E869*($J$1782)*G869</f>
        <v>0</v>
      </c>
      <c r="W869" s="100">
        <f t="shared" ref="W869:W870" si="2234">I869</f>
        <v>0</v>
      </c>
      <c r="X869" s="100" t="b">
        <f>IF(G869&gt;0,IF(AD869="me","",G869))</f>
        <v>0</v>
      </c>
      <c r="Y869" s="201"/>
      <c r="Z869" s="829" t="str">
        <f t="shared" ref="Z869:Z870" si="2235">IF(G869=0,"",IF(AD869="me","",IF($AD$8="me","",IF(AD869="free","warranty",IF($AD$8="yes","NVP planting:","to NVP install:")))))</f>
        <v/>
      </c>
      <c r="AA869" s="829"/>
      <c r="AB869" s="830" t="str">
        <f>IF(G869=0,"",IF(AD869="free","re-planting",IF(AD869="me","not NVP, by",IF($AD$8="yes",(VLOOKUP(A869,'Discount Lookup'!J:K,2)*G869*(1-$AC$1786)*(1+$AC$1788)),IF(AD869="NVP",(VLOOKUP(A869,'Discount Lookup'!J:K,2)*G869*(1-$AC$1786)*(1+$AC$1788)),IF(AD869="free","re-planting",IF(G869=0,"",IF($AD$8="",IF(AD869="me","not NVP, by",IF(AD869="",IF(G869&gt;0,(VLOOKUP(A869,'Discount Lookup'!J:K,2)*G869*(1-$AC$1786)*(1+$AC$1788)),""),"")),"not NVP, by"))))))))</f>
        <v/>
      </c>
      <c r="AC869" s="830"/>
      <c r="AD869" s="375" t="str">
        <f t="shared" si="2127"/>
        <v/>
      </c>
      <c r="AE869" s="833" t="str">
        <f t="shared" si="2180"/>
        <v/>
      </c>
      <c r="AF869" s="833"/>
      <c r="AG869" s="833"/>
      <c r="AH869" s="91">
        <f>IF(AD869="free",0,IF(AD869="me",0,IF(G869&gt;0,(VLOOKUP(A869,'Discount Lookup'!J:K,2)*G869),0)))</f>
        <v>0</v>
      </c>
      <c r="AI869" s="92" t="str">
        <f t="shared" ref="AI869:AI900" si="2236">IF(G869=0,"",IF(AD869="free",(K869*(1-$H$1784)),IF($AD$8="me",(K869*(1-$H$1784)),IF(AD869="me",(K869*(1-$H$1784)),(K869*(1-$H$1784))+AB869))))</f>
        <v/>
      </c>
      <c r="AJ869" s="828" t="str">
        <f t="shared" ref="AJ869:AJ870" si="2237">IF(G869=0,"",IF(AD869="me","  delivery-only",IF($AD$8="me","  delivery-only",CONCATENATE(" $",ROUND(AI869/G869,2)," each"))))</f>
        <v/>
      </c>
      <c r="AK869" s="828"/>
      <c r="AL869" s="313" t="str">
        <f t="shared" si="2173"/>
        <v/>
      </c>
      <c r="AM869" s="312"/>
      <c r="AN869" s="101"/>
      <c r="AO869" s="101"/>
      <c r="AP869" s="101"/>
      <c r="AQ869" s="101"/>
      <c r="AR869" s="101"/>
      <c r="AS869" s="101"/>
      <c r="AT869" s="101"/>
    </row>
    <row r="870" spans="1:92" ht="12.95" customHeight="1">
      <c r="A870" s="419">
        <v>7</v>
      </c>
      <c r="B870" s="87" t="s">
        <v>50</v>
      </c>
      <c r="C870" s="128" t="s">
        <v>85</v>
      </c>
      <c r="D870" s="129" t="s">
        <v>90</v>
      </c>
      <c r="E870" s="98">
        <v>86.95</v>
      </c>
      <c r="F870" s="705" t="s">
        <v>1306</v>
      </c>
      <c r="G870" s="357">
        <v>0</v>
      </c>
      <c r="H870" s="704" t="str">
        <f t="shared" si="2230"/>
        <v/>
      </c>
      <c r="I870" s="98">
        <f t="shared" si="2231"/>
        <v>0</v>
      </c>
      <c r="J870" s="98">
        <f>IF(H870="warranty",0,(I870*($J$1782)))</f>
        <v>0</v>
      </c>
      <c r="K870" s="831">
        <f t="shared" si="2232"/>
        <v>0</v>
      </c>
      <c r="L870" s="831"/>
      <c r="M870" s="832" t="str">
        <f>IF($H$1784=0,"",IF(G870=0,"",IF(F870="Qty=",CONCATENATE("$",ROUND(K870*(1-$H$1784),2)," with ",($H$1784*100),"% discount"),CONCATENATE("$",ROUND(K870*(1-$H$1784),2)," with ",(($H$1784*100+F870*100)-($H$1784*100*F870)),IF(F870&gt;0,"% discounts",IF($H$1781&gt;0,"% discounts","% discount"))))))</f>
        <v/>
      </c>
      <c r="N870" s="832"/>
      <c r="O870" s="832"/>
      <c r="P870" s="832"/>
      <c r="Q870" s="832"/>
      <c r="R870" s="832"/>
      <c r="S870" s="303">
        <f t="shared" si="2233"/>
        <v>0</v>
      </c>
      <c r="T870" s="541">
        <f>VLOOKUP(A870,'Discount Lookup'!D:E,2,FALSE)*G870</f>
        <v>0</v>
      </c>
      <c r="U870" s="83">
        <f>VLOOKUP(A870,'Discount Lookup'!G:H,2,FALSE)*G870</f>
        <v>0</v>
      </c>
      <c r="V870" s="100">
        <f>E870*($J$1782)*G870</f>
        <v>0</v>
      </c>
      <c r="W870" s="100">
        <f t="shared" si="2234"/>
        <v>0</v>
      </c>
      <c r="X870" s="100" t="b">
        <f>IF(G870&gt;0,IF(AD870="me","",G870))</f>
        <v>0</v>
      </c>
      <c r="Y870" s="201"/>
      <c r="Z870" s="829" t="str">
        <f t="shared" si="2235"/>
        <v/>
      </c>
      <c r="AA870" s="829"/>
      <c r="AB870" s="830" t="str">
        <f>IF(G870=0,"",IF(AD870="free","re-planting",IF(AD870="me","not NVP, by",IF($AD$8="yes",(VLOOKUP(A870,'Discount Lookup'!J:K,2)*G870*(1-$AC$1786)*(1+$AC$1788)),IF(AD870="NVP",(VLOOKUP(A870,'Discount Lookup'!J:K,2)*G870*(1-$AC$1786)*(1+$AC$1788)),IF(AD870="free","re-planting",IF(G870=0,"",IF($AD$8="",IF(AD870="me","not NVP, by",IF(AD870="",IF(G870&gt;0,(VLOOKUP(A870,'Discount Lookup'!J:K,2)*G870*(1-$AC$1786)*(1+$AC$1788)),""),"")),"not NVP, by"))))))))</f>
        <v/>
      </c>
      <c r="AC870" s="830"/>
      <c r="AD870" s="375" t="str">
        <f t="shared" ref="AD870" si="2238">IF(G870=0,"",IF($AD$8="me","me",IF(H870="warranty","free",IF($AD$8="yes","NVP",""))))</f>
        <v/>
      </c>
      <c r="AE870" s="833" t="str">
        <f t="shared" si="2180"/>
        <v/>
      </c>
      <c r="AF870" s="833"/>
      <c r="AG870" s="833"/>
      <c r="AH870" s="91">
        <f>IF(AD870="free",0,IF(AD870="me",0,IF(G870&gt;0,(VLOOKUP(A870,'Discount Lookup'!J:K,2)*G870),0)))</f>
        <v>0</v>
      </c>
      <c r="AI870" s="92" t="str">
        <f t="shared" si="2236"/>
        <v/>
      </c>
      <c r="AJ870" s="828" t="str">
        <f t="shared" si="2237"/>
        <v/>
      </c>
      <c r="AK870" s="828"/>
      <c r="AL870" s="313" t="str">
        <f t="shared" si="2173"/>
        <v/>
      </c>
      <c r="AM870" s="312"/>
      <c r="AN870" s="101"/>
      <c r="AO870" s="101"/>
      <c r="AP870" s="101"/>
      <c r="AQ870" s="101"/>
      <c r="AR870" s="101"/>
      <c r="AS870" s="101"/>
      <c r="AT870" s="101"/>
    </row>
    <row r="871" spans="1:92" ht="12.95" customHeight="1">
      <c r="A871" s="419">
        <v>7</v>
      </c>
      <c r="B871" s="87" t="s">
        <v>50</v>
      </c>
      <c r="C871" s="128" t="s">
        <v>1531</v>
      </c>
      <c r="D871" s="129" t="s">
        <v>94</v>
      </c>
      <c r="E871" s="98">
        <v>59.95</v>
      </c>
      <c r="F871" s="705" t="s">
        <v>1306</v>
      </c>
      <c r="G871" s="357">
        <v>0</v>
      </c>
      <c r="H871" s="704" t="str">
        <f t="shared" ref="H871" si="2239">IF(G871=0,"",IF(F871="Qty=",IF(G871=1,"plant","plants"),IF(F871&gt;0.0001,"warranty","Error")))</f>
        <v/>
      </c>
      <c r="I871" s="98">
        <f t="shared" ref="I871" si="2240">IF(F871="Qty=",(E871*G871),((E871*(1-F871))*G871))</f>
        <v>0</v>
      </c>
      <c r="J871" s="98">
        <f>IF(H871="warranty",0,(I871*($J$1782)))</f>
        <v>0</v>
      </c>
      <c r="K871" s="831">
        <f t="shared" si="2232"/>
        <v>0</v>
      </c>
      <c r="L871" s="831"/>
      <c r="M871" s="832" t="str">
        <f>IF($H$1784=0,"",IF(G871=0,"",IF(F871="Qty=",CONCATENATE("$",ROUND(K871*(1-$H$1784),2)," with ",($H$1784*100),"% discount"),CONCATENATE("$",ROUND(K871*(1-$H$1784),2)," with ",(($H$1784*100+F871*100)-($H$1784*100*F871)),IF(F871&gt;0,"% discounts",IF($H$1781&gt;0,"% discounts","% discount"))))))</f>
        <v/>
      </c>
      <c r="N871" s="832"/>
      <c r="O871" s="832"/>
      <c r="P871" s="832"/>
      <c r="Q871" s="832"/>
      <c r="R871" s="832"/>
      <c r="S871" s="303">
        <f t="shared" ref="S871" si="2241">E871*G871</f>
        <v>0</v>
      </c>
      <c r="T871" s="541">
        <f>VLOOKUP(A871,'Discount Lookup'!D:E,2,FALSE)*G871</f>
        <v>0</v>
      </c>
      <c r="U871" s="83">
        <f>VLOOKUP(A871,'Discount Lookup'!G:H,2,FALSE)*G871</f>
        <v>0</v>
      </c>
      <c r="V871" s="100">
        <f>E871*($J$1782)*G871</f>
        <v>0</v>
      </c>
      <c r="W871" s="100">
        <f t="shared" ref="W871" si="2242">I871</f>
        <v>0</v>
      </c>
      <c r="X871" s="100" t="b">
        <f>IF(G871&gt;0,IF(AD871="me","",G871))</f>
        <v>0</v>
      </c>
      <c r="Y871" s="201"/>
      <c r="Z871" s="829" t="str">
        <f t="shared" si="2160"/>
        <v/>
      </c>
      <c r="AA871" s="829"/>
      <c r="AB871" s="830" t="str">
        <f>IF(G871=0,"",IF(AD871="free","re-planting",IF(AD871="me","not NVP, by",IF($AD$8="yes",(VLOOKUP(A871,'Discount Lookup'!J:K,2)*G871*(1-$AC$1786)*(1+$AC$1788)),IF(AD871="NVP",(VLOOKUP(A871,'Discount Lookup'!J:K,2)*G871*(1-$AC$1786)*(1+$AC$1788)),IF(AD871="free","re-planting",IF(G871=0,"",IF($AD$8="",IF(AD871="me","not NVP, by",IF(AD871="",IF(G871&gt;0,(VLOOKUP(A871,'Discount Lookup'!J:K,2)*G871*(1-$AC$1786)*(1+$AC$1788)),""),"")),"not NVP, by"))))))))</f>
        <v/>
      </c>
      <c r="AC871" s="830"/>
      <c r="AD871" s="375" t="str">
        <f t="shared" si="2127"/>
        <v/>
      </c>
      <c r="AE871" s="833" t="str">
        <f t="shared" ref="AE871" si="2243">IF(G871&gt;0,(CONCATENATE((G871)," quantity, ",(A871)," ",B871)),"")</f>
        <v/>
      </c>
      <c r="AF871" s="833"/>
      <c r="AG871" s="833"/>
      <c r="AH871" s="91">
        <f>IF(AD871="free",0,IF(AD871="me",0,IF(G871&gt;0,(VLOOKUP(A871,'Discount Lookup'!J:K,2)*G871),0)))</f>
        <v>0</v>
      </c>
      <c r="AI871" s="92" t="str">
        <f t="shared" si="2236"/>
        <v/>
      </c>
      <c r="AJ871" s="828" t="str">
        <f t="shared" si="2161"/>
        <v/>
      </c>
      <c r="AK871" s="828"/>
      <c r="AL871" s="313" t="str">
        <f t="shared" si="2173"/>
        <v/>
      </c>
      <c r="AM871" s="312"/>
      <c r="AN871" s="101"/>
      <c r="AO871" s="101"/>
      <c r="AP871" s="101"/>
      <c r="AQ871" s="101"/>
      <c r="AR871" s="101"/>
      <c r="AS871" s="101"/>
      <c r="AT871" s="101"/>
    </row>
    <row r="872" spans="1:92" ht="12.95" customHeight="1">
      <c r="A872" s="468"/>
      <c r="B872" s="149" t="s">
        <v>515</v>
      </c>
      <c r="C872" s="117"/>
      <c r="D872" s="118"/>
      <c r="E872" s="119"/>
      <c r="F872" s="711"/>
      <c r="G872" s="356"/>
      <c r="H872" s="745"/>
      <c r="I872" s="119"/>
      <c r="J872" s="119"/>
      <c r="K872" s="609"/>
      <c r="L872" s="609"/>
      <c r="M872" s="121"/>
      <c r="N872" s="122" t="s">
        <v>460</v>
      </c>
      <c r="O872" s="123"/>
      <c r="P872" s="124"/>
      <c r="Q872" s="124"/>
      <c r="R872" s="83"/>
      <c r="S872" s="82">
        <f>E872*G872</f>
        <v>0</v>
      </c>
      <c r="T872" s="540"/>
      <c r="U872" s="83"/>
      <c r="V872" s="100" t="b">
        <f>IF(G872&gt;0,IF(AD872="me","",G872))</f>
        <v>0</v>
      </c>
      <c r="W872" s="100"/>
      <c r="X872" s="100"/>
      <c r="Y872" s="201"/>
      <c r="Z872" s="829" t="str">
        <f t="shared" si="2160"/>
        <v/>
      </c>
      <c r="AA872" s="829"/>
      <c r="AB872" s="830" t="str">
        <f>IF(G872=0,"",IF(AD872="free","re-planting",IF(AD872="me","not NVP, by",IF($AD$8="yes",(VLOOKUP(A872,'Discount Lookup'!J:K,2)*G872*(1-$AC$1786)*(1+$AC$1788)),IF(AD872="NVP",(VLOOKUP(A872,'Discount Lookup'!J:K,2)*G872*(1-$AC$1786)*(1+$AC$1788)),IF(AD872="free","re-planting",IF(G872=0,"",IF($AD$8="",IF(AD872="me","not NVP, by",IF(AD872="",IF(G872&gt;0,(VLOOKUP(A872,'Discount Lookup'!J:K,2)*G872*(1-$AC$1786)*(1+$AC$1788)),""),"")),"not NVP, by"))))))))</f>
        <v/>
      </c>
      <c r="AC872" s="830"/>
      <c r="AD872" s="375" t="str">
        <f t="shared" si="2127"/>
        <v/>
      </c>
      <c r="AE872" s="833" t="str">
        <f t="shared" si="2180"/>
        <v/>
      </c>
      <c r="AF872" s="833"/>
      <c r="AG872" s="833"/>
      <c r="AH872" s="91">
        <f>IF(AD872="free",0,IF(AD872="me",0,IF(G872&gt;0,(VLOOKUP(A872,'Discount Lookup'!J:K,2)*G872),0)))</f>
        <v>0</v>
      </c>
      <c r="AI872" s="92" t="str">
        <f t="shared" si="2236"/>
        <v/>
      </c>
      <c r="AJ872" s="828" t="str">
        <f t="shared" si="2161"/>
        <v/>
      </c>
      <c r="AK872" s="828"/>
      <c r="AL872" s="313" t="str">
        <f t="shared" si="2173"/>
        <v/>
      </c>
      <c r="AM872" s="312"/>
      <c r="AN872" s="101"/>
      <c r="AO872" s="101"/>
      <c r="AP872" s="101"/>
      <c r="AQ872" s="101"/>
      <c r="AR872" s="101"/>
      <c r="AS872" s="101"/>
      <c r="AT872" s="101"/>
    </row>
    <row r="873" spans="1:92" ht="12.95" customHeight="1">
      <c r="A873" s="896" t="s">
        <v>516</v>
      </c>
      <c r="B873" s="897"/>
      <c r="C873" s="897"/>
      <c r="D873" s="897"/>
      <c r="E873" s="897"/>
      <c r="F873" s="897"/>
      <c r="G873" s="897"/>
      <c r="H873" s="776" t="s">
        <v>439</v>
      </c>
      <c r="I873" s="88" t="s">
        <v>79</v>
      </c>
      <c r="J873" s="86"/>
      <c r="K873" s="603" t="s">
        <v>45</v>
      </c>
      <c r="L873" s="601" t="s">
        <v>46</v>
      </c>
      <c r="M873" s="86"/>
      <c r="N873" s="87" t="s">
        <v>69</v>
      </c>
      <c r="O873" s="87"/>
      <c r="P873" s="88"/>
      <c r="Q873" s="88"/>
      <c r="R873" s="86"/>
      <c r="S873" s="125"/>
      <c r="T873" s="543"/>
      <c r="U873" s="112"/>
      <c r="V873" s="100" t="b">
        <f>IF(G873&gt;0,IF(AD873="me","",G873))</f>
        <v>0</v>
      </c>
      <c r="W873" s="100"/>
      <c r="X873" s="100"/>
      <c r="Y873" s="201"/>
      <c r="Z873" s="829" t="str">
        <f t="shared" si="2160"/>
        <v/>
      </c>
      <c r="AA873" s="829"/>
      <c r="AB873" s="830" t="str">
        <f>IF(G873=0,"",IF(AD873="free","re-planting",IF(AD873="me","not NVP, by",IF($AD$8="yes",(VLOOKUP(A873,'Discount Lookup'!J:K,2)*G873*(1-$AC$1786)*(1+$AC$1788)),IF(AD873="NVP",(VLOOKUP(A873,'Discount Lookup'!J:K,2)*G873*(1-$AC$1786)*(1+$AC$1788)),IF(AD873="free","re-planting",IF(G873=0,"",IF($AD$8="",IF(AD873="me","not NVP, by",IF(AD873="",IF(G873&gt;0,(VLOOKUP(A873,'Discount Lookup'!J:K,2)*G873*(1-$AC$1786)*(1+$AC$1788)),""),"")),"not NVP, by"))))))))</f>
        <v/>
      </c>
      <c r="AC873" s="830"/>
      <c r="AD873" s="375" t="str">
        <f t="shared" si="2127"/>
        <v/>
      </c>
      <c r="AE873" s="833" t="str">
        <f t="shared" si="2180"/>
        <v/>
      </c>
      <c r="AF873" s="833"/>
      <c r="AG873" s="833"/>
      <c r="AH873" s="91">
        <f>IF(AD873="free",0,IF(AD873="me",0,IF(G873&gt;0,(VLOOKUP(A873,'Discount Lookup'!J:K,2)*G873),0)))</f>
        <v>0</v>
      </c>
      <c r="AI873" s="92" t="str">
        <f t="shared" si="2236"/>
        <v/>
      </c>
      <c r="AJ873" s="828" t="str">
        <f t="shared" si="2161"/>
        <v/>
      </c>
      <c r="AK873" s="828"/>
      <c r="AL873" s="313" t="str">
        <f t="shared" si="2173"/>
        <v/>
      </c>
      <c r="AM873" s="312"/>
      <c r="AN873" s="101"/>
      <c r="AO873" s="101"/>
      <c r="AP873" s="101"/>
      <c r="AQ873" s="101"/>
      <c r="AR873" s="101"/>
      <c r="AS873" s="101"/>
      <c r="AT873" s="101"/>
    </row>
    <row r="874" spans="1:92" ht="12.95" customHeight="1">
      <c r="A874" s="419">
        <v>3</v>
      </c>
      <c r="B874" s="87" t="s">
        <v>50</v>
      </c>
      <c r="C874" s="128" t="s">
        <v>99</v>
      </c>
      <c r="D874" s="129" t="s">
        <v>94</v>
      </c>
      <c r="E874" s="98">
        <v>31.95</v>
      </c>
      <c r="F874" s="705" t="s">
        <v>1306</v>
      </c>
      <c r="G874" s="357">
        <v>0</v>
      </c>
      <c r="H874" s="704" t="str">
        <f t="shared" ref="H874" si="2244">IF(G874=0,"",IF(F874="Qty=",IF(G874=1,"plant","plants"),IF(F874&gt;0.0001,"warranty","Error")))</f>
        <v/>
      </c>
      <c r="I874" s="98">
        <f t="shared" ref="I874" si="2245">IF(F874="Qty=",(E874*G874),((E874*(1-F874))*G874))</f>
        <v>0</v>
      </c>
      <c r="J874" s="98">
        <f>IF(H874="warranty",0,(I874*($J$1782)))</f>
        <v>0</v>
      </c>
      <c r="K874" s="831">
        <f t="shared" ref="K874" si="2246">I874+J874</f>
        <v>0</v>
      </c>
      <c r="L874" s="831"/>
      <c r="M874" s="832" t="str">
        <f>IF($H$1784=0,"",IF(G874=0,"",IF(F874="Qty=",CONCATENATE("$",ROUND(K874*(1-$H$1784),2)," with ",($H$1784*100),"% discount"),CONCATENATE("$",ROUND(K874*(1-$H$1784),2)," with ",(($H$1784*100+F874*100)-($H$1784*100*F874)),IF(F874&gt;0,"% discounts",IF($H$1781&gt;0,"% discounts","% discount"))))))</f>
        <v/>
      </c>
      <c r="N874" s="832"/>
      <c r="O874" s="832"/>
      <c r="P874" s="832"/>
      <c r="Q874" s="832"/>
      <c r="R874" s="832"/>
      <c r="S874" s="303">
        <f t="shared" ref="S874" si="2247">E874*G874</f>
        <v>0</v>
      </c>
      <c r="T874" s="541">
        <f>VLOOKUP(A874,'Discount Lookup'!D:E,2,FALSE)*G874</f>
        <v>0</v>
      </c>
      <c r="U874" s="83">
        <f>VLOOKUP(A874,'Discount Lookup'!G:H,2,FALSE)*G874</f>
        <v>0</v>
      </c>
      <c r="V874" s="100">
        <f>E874*($J$1782)*G874</f>
        <v>0</v>
      </c>
      <c r="W874" s="100">
        <f t="shared" ref="W874" si="2248">I874</f>
        <v>0</v>
      </c>
      <c r="X874" s="100" t="b">
        <f>IF(G874&gt;0,IF(AD874="me","",G874))</f>
        <v>0</v>
      </c>
      <c r="Y874" s="201"/>
      <c r="Z874" s="829" t="str">
        <f t="shared" si="2160"/>
        <v/>
      </c>
      <c r="AA874" s="829"/>
      <c r="AB874" s="830" t="str">
        <f>IF(G874=0,"",IF(AD874="free","re-planting",IF(AD874="me","not NVP, by",IF($AD$8="yes",(VLOOKUP(A874,'Discount Lookup'!J:K,2)*G874*(1-$AC$1786)*(1+$AC$1788)),IF(AD874="NVP",(VLOOKUP(A874,'Discount Lookup'!J:K,2)*G874*(1-$AC$1786)*(1+$AC$1788)),IF(AD874="free","re-planting",IF(G874=0,"",IF($AD$8="",IF(AD874="me","not NVP, by",IF(AD874="",IF(G874&gt;0,(VLOOKUP(A874,'Discount Lookup'!J:K,2)*G874*(1-$AC$1786)*(1+$AC$1788)),""),"")),"not NVP, by"))))))))</f>
        <v/>
      </c>
      <c r="AC874" s="830"/>
      <c r="AD874" s="375" t="str">
        <f t="shared" si="2127"/>
        <v/>
      </c>
      <c r="AE874" s="833" t="str">
        <f t="shared" si="2180"/>
        <v/>
      </c>
      <c r="AF874" s="833"/>
      <c r="AG874" s="833"/>
      <c r="AH874" s="91">
        <f>IF(AD874="free",0,IF(AD874="me",0,IF(G874&gt;0,(VLOOKUP(A874,'Discount Lookup'!J:K,2)*G874),0)))</f>
        <v>0</v>
      </c>
      <c r="AI874" s="92" t="str">
        <f t="shared" si="2236"/>
        <v/>
      </c>
      <c r="AJ874" s="828" t="str">
        <f t="shared" si="2161"/>
        <v/>
      </c>
      <c r="AK874" s="828"/>
      <c r="AL874" s="313" t="str">
        <f t="shared" si="2173"/>
        <v/>
      </c>
      <c r="AM874" s="312"/>
      <c r="AN874" s="101"/>
      <c r="AO874" s="101"/>
      <c r="AP874" s="101"/>
      <c r="AQ874" s="101"/>
      <c r="AR874" s="101"/>
      <c r="AS874" s="101"/>
      <c r="AT874" s="101"/>
    </row>
    <row r="875" spans="1:92" ht="12.95" customHeight="1">
      <c r="A875" s="469"/>
      <c r="B875" s="149" t="s">
        <v>517</v>
      </c>
      <c r="D875" s="104"/>
      <c r="E875" s="131"/>
      <c r="F875" s="710"/>
      <c r="G875" s="358"/>
      <c r="H875" s="744"/>
      <c r="I875" s="131"/>
      <c r="J875" s="131"/>
      <c r="K875" s="608"/>
      <c r="L875" s="608"/>
      <c r="M875" s="121"/>
      <c r="N875" s="121"/>
      <c r="O875" s="123"/>
      <c r="P875" s="124"/>
      <c r="Q875" s="124"/>
      <c r="R875" s="83"/>
      <c r="S875" s="82">
        <f>E875*G875</f>
        <v>0</v>
      </c>
      <c r="T875" s="540"/>
      <c r="U875" s="83"/>
      <c r="V875" s="100" t="b">
        <f>IF(G875&gt;0,IF(AD875="me","",G875))</f>
        <v>0</v>
      </c>
      <c r="W875" s="100"/>
      <c r="X875" s="100"/>
      <c r="Y875" s="201"/>
      <c r="Z875" s="829" t="str">
        <f t="shared" si="2160"/>
        <v/>
      </c>
      <c r="AA875" s="829"/>
      <c r="AB875" s="830" t="str">
        <f>IF(G875=0,"",IF(AD875="free","re-planting",IF(AD875="me","not NVP, by",IF($AD$8="yes",(VLOOKUP(A875,'Discount Lookup'!J:K,2)*G875*(1-$AC$1786)*(1+$AC$1788)),IF(AD875="NVP",(VLOOKUP(A875,'Discount Lookup'!J:K,2)*G875*(1-$AC$1786)*(1+$AC$1788)),IF(AD875="free","re-planting",IF(G875=0,"",IF($AD$8="",IF(AD875="me","not NVP, by",IF(AD875="",IF(G875&gt;0,(VLOOKUP(A875,'Discount Lookup'!J:K,2)*G875*(1-$AC$1786)*(1+$AC$1788)),""),"")),"not NVP, by"))))))))</f>
        <v/>
      </c>
      <c r="AC875" s="830"/>
      <c r="AD875" s="375" t="str">
        <f t="shared" si="2127"/>
        <v/>
      </c>
      <c r="AE875" s="833" t="str">
        <f t="shared" si="2180"/>
        <v/>
      </c>
      <c r="AF875" s="833"/>
      <c r="AG875" s="833"/>
      <c r="AH875" s="91">
        <f>IF(AD875="free",0,IF(AD875="me",0,IF(G875&gt;0,(VLOOKUP(A875,'Discount Lookup'!J:K,2)*G875),0)))</f>
        <v>0</v>
      </c>
      <c r="AI875" s="92" t="str">
        <f t="shared" si="2236"/>
        <v/>
      </c>
      <c r="AJ875" s="828" t="str">
        <f t="shared" si="2161"/>
        <v/>
      </c>
      <c r="AK875" s="828"/>
      <c r="AL875" s="313" t="str">
        <f t="shared" si="2173"/>
        <v/>
      </c>
      <c r="AM875" s="312"/>
      <c r="AN875" s="101"/>
      <c r="AO875" s="101"/>
      <c r="AP875" s="101"/>
      <c r="AQ875" s="101"/>
      <c r="AR875" s="101"/>
      <c r="AS875" s="101"/>
      <c r="AT875" s="101"/>
      <c r="CD875" s="884"/>
      <c r="CE875" s="884"/>
      <c r="CF875" s="300"/>
      <c r="CG875" s="885"/>
      <c r="CH875" s="885"/>
      <c r="CI875" s="885"/>
      <c r="CJ875" s="91"/>
      <c r="CK875" s="301"/>
      <c r="CL875" s="882"/>
      <c r="CM875" s="882"/>
      <c r="CN875" s="882"/>
    </row>
    <row r="876" spans="1:92" ht="12.95" customHeight="1">
      <c r="A876" s="863" t="s">
        <v>518</v>
      </c>
      <c r="B876" s="864"/>
      <c r="C876" s="864"/>
      <c r="D876" s="864"/>
      <c r="E876" s="864"/>
      <c r="F876" s="864"/>
      <c r="G876" s="864"/>
      <c r="H876" s="776" t="s">
        <v>439</v>
      </c>
      <c r="I876" s="88" t="s">
        <v>79</v>
      </c>
      <c r="J876" s="86"/>
      <c r="K876" s="603" t="s">
        <v>45</v>
      </c>
      <c r="L876" s="601" t="s">
        <v>46</v>
      </c>
      <c r="M876" s="86"/>
      <c r="N876" s="87" t="s">
        <v>75</v>
      </c>
      <c r="O876" s="87"/>
      <c r="P876" s="88"/>
      <c r="Q876" s="88"/>
      <c r="R876" s="86"/>
      <c r="S876" s="125"/>
      <c r="T876" s="543"/>
      <c r="U876" s="112"/>
      <c r="V876" s="100" t="b">
        <f>IF(G876&gt;0,IF(AD876="me","",G876))</f>
        <v>0</v>
      </c>
      <c r="W876" s="100"/>
      <c r="X876" s="100"/>
      <c r="Y876" s="201"/>
      <c r="Z876" s="829" t="str">
        <f t="shared" si="2160"/>
        <v/>
      </c>
      <c r="AA876" s="829"/>
      <c r="AB876" s="830" t="str">
        <f>IF(G876=0,"",IF(AD876="free","re-planting",IF(AD876="me","not NVP, by",IF($AD$8="yes",(VLOOKUP(A876,'Discount Lookup'!J:K,2)*G876*(1-$AC$1786)*(1+$AC$1788)),IF(AD876="NVP",(VLOOKUP(A876,'Discount Lookup'!J:K,2)*G876*(1-$AC$1786)*(1+$AC$1788)),IF(AD876="free","re-planting",IF(G876=0,"",IF($AD$8="",IF(AD876="me","not NVP, by",IF(AD876="",IF(G876&gt;0,(VLOOKUP(A876,'Discount Lookup'!J:K,2)*G876*(1-$AC$1786)*(1+$AC$1788)),""),"")),"not NVP, by"))))))))</f>
        <v/>
      </c>
      <c r="AC876" s="830"/>
      <c r="AD876" s="375" t="str">
        <f t="shared" ref="AD876:AD937" si="2249">IF(G876=0,"",IF($AD$8="me","me",IF(H876="warranty","free",IF($AD$8="yes","NVP",""))))</f>
        <v/>
      </c>
      <c r="AE876" s="833" t="str">
        <f t="shared" si="2180"/>
        <v/>
      </c>
      <c r="AF876" s="833"/>
      <c r="AG876" s="833"/>
      <c r="AH876" s="91">
        <f>IF(AD876="free",0,IF(AD876="me",0,IF(G876&gt;0,(VLOOKUP(A876,'Discount Lookup'!J:K,2)*G876),0)))</f>
        <v>0</v>
      </c>
      <c r="AI876" s="92" t="str">
        <f t="shared" si="2236"/>
        <v/>
      </c>
      <c r="AJ876" s="828" t="str">
        <f t="shared" si="2161"/>
        <v/>
      </c>
      <c r="AK876" s="828"/>
      <c r="AL876" s="313" t="str">
        <f t="shared" si="2173"/>
        <v/>
      </c>
      <c r="AM876" s="312"/>
      <c r="AN876" s="101"/>
      <c r="AO876" s="101"/>
      <c r="AP876" s="101"/>
      <c r="AQ876" s="101"/>
      <c r="AR876" s="101"/>
      <c r="AS876" s="101"/>
      <c r="AT876" s="101"/>
      <c r="CD876" s="884"/>
      <c r="CE876" s="884"/>
      <c r="CF876" s="300"/>
      <c r="CG876" s="885"/>
      <c r="CH876" s="885"/>
      <c r="CI876" s="885"/>
      <c r="CJ876" s="91"/>
      <c r="CK876" s="301"/>
      <c r="CL876" s="882"/>
      <c r="CM876" s="882"/>
      <c r="CN876" s="882"/>
    </row>
    <row r="877" spans="1:92" ht="12.95" customHeight="1">
      <c r="A877" s="419">
        <v>2</v>
      </c>
      <c r="B877" s="87" t="s">
        <v>50</v>
      </c>
      <c r="C877" s="128" t="s">
        <v>135</v>
      </c>
      <c r="D877" s="129" t="s">
        <v>87</v>
      </c>
      <c r="E877" s="98">
        <v>28.95</v>
      </c>
      <c r="F877" s="705" t="s">
        <v>1306</v>
      </c>
      <c r="G877" s="357">
        <v>0</v>
      </c>
      <c r="H877" s="704" t="str">
        <f t="shared" ref="H877" si="2250">IF(G877=0,"",IF(F877="Qty=",IF(G877=1,"plant","plants"),IF(F877&gt;0.0001,"warranty","Error")))</f>
        <v/>
      </c>
      <c r="I877" s="98">
        <f t="shared" ref="I877" si="2251">IF(F877="Qty=",(E877*G877),((E877*(1-F877))*G877))</f>
        <v>0</v>
      </c>
      <c r="J877" s="98">
        <f>IF(H877="warranty",0,(I877*($J$1782)))</f>
        <v>0</v>
      </c>
      <c r="K877" s="831">
        <f t="shared" ref="K877:K880" si="2252">I877+J877</f>
        <v>0</v>
      </c>
      <c r="L877" s="831"/>
      <c r="M877" s="832" t="str">
        <f>IF($H$1784=0,"",IF(G877=0,"",IF(F877="Qty=",CONCATENATE("$",ROUND(K877*(1-$H$1784),2)," with ",($H$1784*100),"% discount"),CONCATENATE("$",ROUND(K877*(1-$H$1784),2)," with ",(($H$1784*100+F877*100)-($H$1784*100*F877)),IF(F877&gt;0,"% discounts",IF($H$1781&gt;0,"% discounts","% discount"))))))</f>
        <v/>
      </c>
      <c r="N877" s="832"/>
      <c r="O877" s="832"/>
      <c r="P877" s="832"/>
      <c r="Q877" s="832"/>
      <c r="R877" s="832"/>
      <c r="S877" s="303">
        <f t="shared" ref="S877" si="2253">E877*G877</f>
        <v>0</v>
      </c>
      <c r="T877" s="541">
        <f>VLOOKUP(A877,'Discount Lookup'!D:E,2,FALSE)*G877</f>
        <v>0</v>
      </c>
      <c r="U877" s="83">
        <f>VLOOKUP(A877,'Discount Lookup'!G:H,2,FALSE)*G877</f>
        <v>0</v>
      </c>
      <c r="V877" s="100">
        <f>E877*($J$1782)*G877</f>
        <v>0</v>
      </c>
      <c r="W877" s="100">
        <f t="shared" ref="W877" si="2254">I877</f>
        <v>0</v>
      </c>
      <c r="X877" s="100" t="b">
        <f t="shared" ref="X877" si="2255">IF(G877&gt;0,IF(AD877="me","",G877))</f>
        <v>0</v>
      </c>
      <c r="Y877" s="201"/>
      <c r="Z877" s="829" t="str">
        <f t="shared" ref="Z877" si="2256">IF(G877=0,"",IF(AD877="me","",IF($AD$8="me","",IF(AD877="free","warranty",IF($AD$8="yes","NVP planting:","to NVP install:")))))</f>
        <v/>
      </c>
      <c r="AA877" s="829"/>
      <c r="AB877" s="830" t="str">
        <f>IF(G877=0,"",IF(AD877="free","re-planting",IF(AD877="me","not NVP, by",IF($AD$8="yes",(VLOOKUP(A877,'Discount Lookup'!J:K,2)*G877*(1-$AC$1786)*(1+$AC$1788)),IF(AD877="NVP",(VLOOKUP(A877,'Discount Lookup'!J:K,2)*G877*(1-$AC$1786)*(1+$AC$1788)),IF(AD877="free","re-planting",IF(G877=0,"",IF($AD$8="",IF(AD877="me","not NVP, by",IF(AD877="",IF(G877&gt;0,(VLOOKUP(A877,'Discount Lookup'!J:K,2)*G877*(1-$AC$1786)*(1+$AC$1788)),""),"")),"not NVP, by"))))))))</f>
        <v/>
      </c>
      <c r="AC877" s="830"/>
      <c r="AD877" s="375" t="str">
        <f t="shared" si="2249"/>
        <v/>
      </c>
      <c r="AE877" s="833" t="str">
        <f t="shared" ref="AE877" si="2257">IF(G877&gt;0,(CONCATENATE((G877)," quantity, ",(A877)," ",B877)),"")</f>
        <v/>
      </c>
      <c r="AF877" s="833"/>
      <c r="AG877" s="833"/>
      <c r="AH877" s="91">
        <f>IF(AD877="free",0,IF(AD877="me",0,IF(G877&gt;0,(VLOOKUP(A877,'Discount Lookup'!J:K,2)*G877),0)))</f>
        <v>0</v>
      </c>
      <c r="AI877" s="92" t="str">
        <f t="shared" si="2236"/>
        <v/>
      </c>
      <c r="AJ877" s="828" t="str">
        <f t="shared" ref="AJ877" si="2258">IF(G877=0,"",IF(AD877="me","  delivery-only",IF($AD$8="me","  delivery-only",CONCATENATE(" $",ROUND(AI877/G877,2)," each"))))</f>
        <v/>
      </c>
      <c r="AK877" s="828"/>
      <c r="AL877" s="313" t="str">
        <f t="shared" si="2173"/>
        <v/>
      </c>
      <c r="AM877" s="312"/>
      <c r="AN877" s="101"/>
      <c r="AO877" s="101"/>
      <c r="AP877" s="101"/>
      <c r="AQ877" s="101"/>
      <c r="AR877" s="101"/>
      <c r="AS877" s="101"/>
      <c r="AT877" s="101"/>
      <c r="BW877" s="99"/>
      <c r="BX877" s="99"/>
      <c r="BY877" s="200"/>
      <c r="BZ877" s="299"/>
      <c r="CA877" s="201"/>
      <c r="CB877" s="883"/>
      <c r="CC877" s="883"/>
    </row>
    <row r="878" spans="1:92" ht="12.95" customHeight="1">
      <c r="A878" s="419">
        <v>3</v>
      </c>
      <c r="B878" s="87" t="s">
        <v>50</v>
      </c>
      <c r="C878" s="128" t="s">
        <v>135</v>
      </c>
      <c r="D878" s="129" t="s">
        <v>86</v>
      </c>
      <c r="E878" s="98">
        <v>32.950000000000003</v>
      </c>
      <c r="F878" s="705" t="s">
        <v>1306</v>
      </c>
      <c r="G878" s="357">
        <v>0</v>
      </c>
      <c r="H878" s="704" t="str">
        <f t="shared" ref="H878:H880" si="2259">IF(G878=0,"",IF(F878="Qty=",IF(G878=1,"plant","plants"),IF(F878&gt;0.0001,"warranty","Error")))</f>
        <v/>
      </c>
      <c r="I878" s="98">
        <f t="shared" ref="I878:I880" si="2260">IF(F878="Qty=",(E878*G878),((E878*(1-F878))*G878))</f>
        <v>0</v>
      </c>
      <c r="J878" s="98">
        <f>IF(H878="warranty",0,(I878*($J$1782)))</f>
        <v>0</v>
      </c>
      <c r="K878" s="831">
        <f t="shared" si="2252"/>
        <v>0</v>
      </c>
      <c r="L878" s="831"/>
      <c r="M878" s="832" t="str">
        <f>IF($H$1784=0,"",IF(G878=0,"",IF(F878="Qty=",CONCATENATE("$",ROUND(K878*(1-$H$1784),2)," with ",($H$1784*100),"% discount"),CONCATENATE("$",ROUND(K878*(1-$H$1784),2)," with ",(($H$1784*100+F878*100)-($H$1784*100*F878)),IF(F878&gt;0,"% discounts",IF($H$1781&gt;0,"% discounts","% discount"))))))</f>
        <v/>
      </c>
      <c r="N878" s="832"/>
      <c r="O878" s="832"/>
      <c r="P878" s="832"/>
      <c r="Q878" s="832"/>
      <c r="R878" s="832"/>
      <c r="S878" s="303">
        <f t="shared" ref="S878:S880" si="2261">E878*G878</f>
        <v>0</v>
      </c>
      <c r="T878" s="541">
        <f>VLOOKUP(A878,'Discount Lookup'!D:E,2,FALSE)*G878</f>
        <v>0</v>
      </c>
      <c r="U878" s="83">
        <f>VLOOKUP(A878,'Discount Lookup'!G:H,2,FALSE)*G878</f>
        <v>0</v>
      </c>
      <c r="V878" s="100">
        <f>E878*($J$1782)*G878</f>
        <v>0</v>
      </c>
      <c r="W878" s="100">
        <f t="shared" ref="W878:W880" si="2262">I878</f>
        <v>0</v>
      </c>
      <c r="X878" s="100" t="b">
        <f t="shared" ref="X878:X880" si="2263">IF(G878&gt;0,IF(AD878="me","",G878))</f>
        <v>0</v>
      </c>
      <c r="Y878" s="201"/>
      <c r="Z878" s="829" t="str">
        <f t="shared" si="2160"/>
        <v/>
      </c>
      <c r="AA878" s="829"/>
      <c r="AB878" s="830" t="str">
        <f>IF(G878=0,"",IF(AD878="free","re-planting",IF(AD878="me","not NVP, by",IF($AD$8="yes",(VLOOKUP(A878,'Discount Lookup'!J:K,2)*G878*(1-$AC$1786)*(1+$AC$1788)),IF(AD878="NVP",(VLOOKUP(A878,'Discount Lookup'!J:K,2)*G878*(1-$AC$1786)*(1+$AC$1788)),IF(AD878="free","re-planting",IF(G878=0,"",IF($AD$8="",IF(AD878="me","not NVP, by",IF(AD878="",IF(G878&gt;0,(VLOOKUP(A878,'Discount Lookup'!J:K,2)*G878*(1-$AC$1786)*(1+$AC$1788)),""),"")),"not NVP, by"))))))))</f>
        <v/>
      </c>
      <c r="AC878" s="830"/>
      <c r="AD878" s="375" t="str">
        <f t="shared" si="2249"/>
        <v/>
      </c>
      <c r="AE878" s="833" t="str">
        <f t="shared" si="2180"/>
        <v/>
      </c>
      <c r="AF878" s="833"/>
      <c r="AG878" s="833"/>
      <c r="AH878" s="91">
        <f>IF(AD878="free",0,IF(AD878="me",0,IF(G878&gt;0,(VLOOKUP(A878,'Discount Lookup'!J:K,2)*G878),0)))</f>
        <v>0</v>
      </c>
      <c r="AI878" s="92" t="str">
        <f t="shared" si="2236"/>
        <v/>
      </c>
      <c r="AJ878" s="828" t="str">
        <f t="shared" si="2161"/>
        <v/>
      </c>
      <c r="AK878" s="828"/>
      <c r="AL878" s="313" t="str">
        <f t="shared" si="2173"/>
        <v/>
      </c>
      <c r="AM878" s="312"/>
      <c r="AN878" s="101"/>
      <c r="AO878" s="101"/>
      <c r="AP878" s="101"/>
      <c r="AQ878" s="101"/>
      <c r="AR878" s="101"/>
      <c r="AS878" s="101"/>
      <c r="AT878" s="101"/>
      <c r="BW878" s="99"/>
      <c r="BX878" s="99"/>
      <c r="BY878" s="200"/>
      <c r="BZ878" s="299"/>
      <c r="CA878" s="201"/>
      <c r="CB878" s="883"/>
      <c r="CC878" s="883"/>
    </row>
    <row r="879" spans="1:92" ht="12.95" customHeight="1">
      <c r="A879" s="419">
        <v>5</v>
      </c>
      <c r="B879" s="87" t="s">
        <v>50</v>
      </c>
      <c r="C879" s="128" t="s">
        <v>153</v>
      </c>
      <c r="D879" s="129" t="s">
        <v>90</v>
      </c>
      <c r="E879" s="98">
        <v>22.95</v>
      </c>
      <c r="F879" s="705" t="s">
        <v>1306</v>
      </c>
      <c r="G879" s="357">
        <v>0</v>
      </c>
      <c r="H879" s="704" t="str">
        <f t="shared" si="2259"/>
        <v/>
      </c>
      <c r="I879" s="98">
        <f t="shared" si="2260"/>
        <v>0</v>
      </c>
      <c r="J879" s="98">
        <f>IF(H879="warranty",0,(I879*($J$1782)))</f>
        <v>0</v>
      </c>
      <c r="K879" s="831">
        <f t="shared" si="2252"/>
        <v>0</v>
      </c>
      <c r="L879" s="831"/>
      <c r="M879" s="832" t="str">
        <f>IF($H$1784=0,"",IF(G879=0,"",IF(F879="Qty=",CONCATENATE("$",ROUND(K879*(1-$H$1784),2)," with ",($H$1784*100),"% discount"),CONCATENATE("$",ROUND(K879*(1-$H$1784),2)," with ",(($H$1784*100+F879*100)-($H$1784*100*F879)),IF(F879&gt;0,"% discounts",IF($H$1781&gt;0,"% discounts","% discount"))))))</f>
        <v/>
      </c>
      <c r="N879" s="832"/>
      <c r="O879" s="832"/>
      <c r="P879" s="832"/>
      <c r="Q879" s="832"/>
      <c r="R879" s="832"/>
      <c r="S879" s="303">
        <f t="shared" si="2261"/>
        <v>0</v>
      </c>
      <c r="T879" s="541">
        <f>VLOOKUP(A879,'Discount Lookup'!D:E,2,FALSE)*G879</f>
        <v>0</v>
      </c>
      <c r="U879" s="83">
        <f>VLOOKUP(A879,'Discount Lookup'!G:H,2,FALSE)*G879</f>
        <v>0</v>
      </c>
      <c r="V879" s="100">
        <f>E879*($J$1782)*G879</f>
        <v>0</v>
      </c>
      <c r="W879" s="100">
        <f t="shared" si="2262"/>
        <v>0</v>
      </c>
      <c r="X879" s="100" t="b">
        <f t="shared" si="2263"/>
        <v>0</v>
      </c>
      <c r="Y879" s="201"/>
      <c r="Z879" s="829" t="str">
        <f t="shared" si="2160"/>
        <v/>
      </c>
      <c r="AA879" s="829"/>
      <c r="AB879" s="830" t="str">
        <f>IF(G879=0,"",IF(AD879="free","re-planting",IF(AD879="me","not NVP, by",IF($AD$8="yes",(VLOOKUP(A879,'Discount Lookup'!J:K,2)*G879*(1-$AC$1786)*(1+$AC$1788)),IF(AD879="NVP",(VLOOKUP(A879,'Discount Lookup'!J:K,2)*G879*(1-$AC$1786)*(1+$AC$1788)),IF(AD879="free","re-planting",IF(G879=0,"",IF($AD$8="",IF(AD879="me","not NVP, by",IF(AD879="",IF(G879&gt;0,(VLOOKUP(A879,'Discount Lookup'!J:K,2)*G879*(1-$AC$1786)*(1+$AC$1788)),""),"")),"not NVP, by"))))))))</f>
        <v/>
      </c>
      <c r="AC879" s="830"/>
      <c r="AD879" s="375" t="str">
        <f t="shared" si="2249"/>
        <v/>
      </c>
      <c r="AE879" s="833" t="str">
        <f t="shared" si="2180"/>
        <v/>
      </c>
      <c r="AF879" s="833"/>
      <c r="AG879" s="833"/>
      <c r="AH879" s="91">
        <f>IF(AD879="free",0,IF(AD879="me",0,IF(G879&gt;0,(VLOOKUP(A879,'Discount Lookup'!J:K,2)*G879),0)))</f>
        <v>0</v>
      </c>
      <c r="AI879" s="92" t="str">
        <f t="shared" si="2236"/>
        <v/>
      </c>
      <c r="AJ879" s="828" t="str">
        <f t="shared" si="2161"/>
        <v/>
      </c>
      <c r="AK879" s="828"/>
      <c r="AL879" s="313" t="str">
        <f t="shared" si="2173"/>
        <v/>
      </c>
      <c r="AM879" s="312"/>
      <c r="AN879" s="101"/>
      <c r="AO879" s="101"/>
      <c r="AP879" s="101"/>
      <c r="AQ879" s="101"/>
      <c r="AR879" s="101"/>
      <c r="AS879" s="101"/>
      <c r="AT879" s="101"/>
    </row>
    <row r="880" spans="1:92" ht="12.95" customHeight="1">
      <c r="A880" s="419">
        <v>7</v>
      </c>
      <c r="B880" s="87" t="s">
        <v>50</v>
      </c>
      <c r="C880" s="426" t="s">
        <v>51</v>
      </c>
      <c r="D880" s="129" t="s">
        <v>94</v>
      </c>
      <c r="E880" s="98">
        <v>59.95</v>
      </c>
      <c r="F880" s="705" t="s">
        <v>1306</v>
      </c>
      <c r="G880" s="357">
        <v>0</v>
      </c>
      <c r="H880" s="704" t="str">
        <f t="shared" si="2259"/>
        <v/>
      </c>
      <c r="I880" s="98">
        <f t="shared" si="2260"/>
        <v>0</v>
      </c>
      <c r="J880" s="98">
        <f>IF(H880="warranty",0,(I880*($J$1782)))</f>
        <v>0</v>
      </c>
      <c r="K880" s="831">
        <f t="shared" si="2252"/>
        <v>0</v>
      </c>
      <c r="L880" s="831"/>
      <c r="M880" s="832" t="str">
        <f>IF($H$1784=0,"",IF(G880=0,"",IF(F880="Qty=",CONCATENATE("$",ROUND(K880*(1-$H$1784),2)," with ",($H$1784*100),"% discount"),CONCATENATE("$",ROUND(K880*(1-$H$1784),2)," with ",(($H$1784*100+F880*100)-($H$1784*100*F880)),IF(F880&gt;0,"% discounts",IF($H$1781&gt;0,"% discounts","% discount"))))))</f>
        <v/>
      </c>
      <c r="N880" s="832"/>
      <c r="O880" s="832"/>
      <c r="P880" s="832"/>
      <c r="Q880" s="832"/>
      <c r="R880" s="832"/>
      <c r="S880" s="303">
        <f t="shared" si="2261"/>
        <v>0</v>
      </c>
      <c r="T880" s="541">
        <f>VLOOKUP(A880,'Discount Lookup'!D:E,2,FALSE)*G880</f>
        <v>0</v>
      </c>
      <c r="U880" s="83">
        <f>VLOOKUP(A880,'Discount Lookup'!G:H,2,FALSE)*G880</f>
        <v>0</v>
      </c>
      <c r="V880" s="100">
        <f>E880*($J$1782)*G880</f>
        <v>0</v>
      </c>
      <c r="W880" s="100">
        <f t="shared" si="2262"/>
        <v>0</v>
      </c>
      <c r="X880" s="100" t="b">
        <f t="shared" si="2263"/>
        <v>0</v>
      </c>
      <c r="Y880" s="201"/>
      <c r="Z880" s="829" t="str">
        <f t="shared" si="2160"/>
        <v/>
      </c>
      <c r="AA880" s="829"/>
      <c r="AB880" s="830" t="str">
        <f>IF(G880=0,"",IF(AD880="free","re-planting",IF(AD880="me","not NVP, by",IF($AD$8="yes",(VLOOKUP(A880,'Discount Lookup'!J:K,2)*G880*(1-$AC$1786)*(1+$AC$1788)),IF(AD880="NVP",(VLOOKUP(A880,'Discount Lookup'!J:K,2)*G880*(1-$AC$1786)*(1+$AC$1788)),IF(AD880="free","re-planting",IF(G880=0,"",IF($AD$8="",IF(AD880="me","not NVP, by",IF(AD880="",IF(G880&gt;0,(VLOOKUP(A880,'Discount Lookup'!J:K,2)*G880*(1-$AC$1786)*(1+$AC$1788)),""),"")),"not NVP, by"))))))))</f>
        <v/>
      </c>
      <c r="AC880" s="830"/>
      <c r="AD880" s="375" t="str">
        <f t="shared" si="2249"/>
        <v/>
      </c>
      <c r="AE880" s="833" t="str">
        <f t="shared" si="2180"/>
        <v/>
      </c>
      <c r="AF880" s="833"/>
      <c r="AG880" s="833"/>
      <c r="AH880" s="91">
        <f>IF(AD880="free",0,IF(AD880="me",0,IF(G880&gt;0,(VLOOKUP(A880,'Discount Lookup'!J:K,2)*G880),0)))</f>
        <v>0</v>
      </c>
      <c r="AI880" s="92" t="str">
        <f t="shared" si="2236"/>
        <v/>
      </c>
      <c r="AJ880" s="828" t="str">
        <f t="shared" si="2161"/>
        <v/>
      </c>
      <c r="AK880" s="828"/>
      <c r="AL880" s="313" t="str">
        <f t="shared" si="2173"/>
        <v/>
      </c>
      <c r="AM880" s="312"/>
      <c r="AN880" s="101"/>
      <c r="AO880" s="101"/>
      <c r="AP880" s="101"/>
      <c r="AQ880" s="101"/>
      <c r="AR880" s="101"/>
      <c r="AS880" s="101"/>
      <c r="AT880" s="101"/>
      <c r="BV880" s="99"/>
    </row>
    <row r="881" spans="1:74" ht="12.75" customHeight="1">
      <c r="A881" s="468"/>
      <c r="B881" s="149" t="s">
        <v>1201</v>
      </c>
      <c r="C881" s="118"/>
      <c r="D881" s="118"/>
      <c r="E881" s="119"/>
      <c r="F881" s="711"/>
      <c r="G881" s="358"/>
      <c r="H881" s="745"/>
      <c r="I881" s="119"/>
      <c r="J881" s="119"/>
      <c r="K881" s="609"/>
      <c r="L881" s="609"/>
      <c r="M881" s="108"/>
      <c r="N881" s="108"/>
      <c r="O881" s="123">
        <f>VLOOKUP(A881,'Discount Lookup'!D:E,2,FALSE)*G881</f>
        <v>0</v>
      </c>
      <c r="P881" s="124">
        <f>VLOOKUP(A881,'Discount Lookup'!G:H,2,FALSE)*G881</f>
        <v>0</v>
      </c>
      <c r="Q881" s="841" t="s">
        <v>125</v>
      </c>
      <c r="R881" s="841"/>
      <c r="S881" s="841"/>
      <c r="T881" s="841"/>
      <c r="U881" s="841"/>
      <c r="V881" s="841"/>
      <c r="W881" s="286"/>
      <c r="X881" s="286"/>
      <c r="Y881" s="794"/>
      <c r="Z881" s="829" t="str">
        <f t="shared" si="2160"/>
        <v/>
      </c>
      <c r="AA881" s="829"/>
      <c r="AB881" s="830" t="str">
        <f>IF(G881=0,"",IF(AD881="free","re-planting",IF(AD881="me","not NVP, by",IF($AD$8="yes",(VLOOKUP(A881,'Discount Lookup'!J:K,2)*G881*(1-$AC$1786)*(1+$AC$1788)),IF(AD881="NVP",(VLOOKUP(A881,'Discount Lookup'!J:K,2)*G881*(1-$AC$1786)*(1+$AC$1788)),IF(AD881="free","re-planting",IF(G881=0,"",IF($AD$8="",IF(AD881="me","not NVP, by",IF(AD881="",IF(G881&gt;0,(VLOOKUP(A881,'Discount Lookup'!J:K,2)*G881*(1-$AC$1786)*(1+$AC$1788)),""),"")),"not NVP, by"))))))))</f>
        <v/>
      </c>
      <c r="AC881" s="830"/>
      <c r="AD881" s="375" t="str">
        <f t="shared" si="2249"/>
        <v/>
      </c>
      <c r="AE881" s="833" t="str">
        <f t="shared" si="2180"/>
        <v/>
      </c>
      <c r="AF881" s="833"/>
      <c r="AG881" s="833"/>
      <c r="AH881" s="91">
        <f>IF(AD881="free",0,IF(AD881="me",0,IF(G881&gt;0,(VLOOKUP(A881,'Discount Lookup'!J:K,2)*G881),0)))</f>
        <v>0</v>
      </c>
      <c r="AI881" s="92" t="str">
        <f t="shared" si="2236"/>
        <v/>
      </c>
      <c r="AJ881" s="828" t="str">
        <f t="shared" si="2161"/>
        <v/>
      </c>
      <c r="AK881" s="828"/>
      <c r="AL881" s="313" t="str">
        <f t="shared" si="2173"/>
        <v/>
      </c>
      <c r="AM881" s="312"/>
      <c r="AN881" s="101"/>
      <c r="AO881" s="101"/>
      <c r="AP881" s="101"/>
      <c r="AQ881" s="101"/>
      <c r="AR881" s="101"/>
      <c r="AS881" s="101"/>
      <c r="AT881" s="101"/>
      <c r="BV881" s="99"/>
    </row>
    <row r="882" spans="1:74" ht="12.75" customHeight="1">
      <c r="A882" s="896" t="s">
        <v>520</v>
      </c>
      <c r="B882" s="897"/>
      <c r="C882" s="897"/>
      <c r="D882" s="897"/>
      <c r="E882" s="897"/>
      <c r="F882" s="897"/>
      <c r="G882" s="897"/>
      <c r="H882" s="776" t="s">
        <v>521</v>
      </c>
      <c r="I882" s="88" t="s">
        <v>235</v>
      </c>
      <c r="J882" s="126"/>
      <c r="K882" s="603" t="s">
        <v>45</v>
      </c>
      <c r="L882" s="601" t="s">
        <v>46</v>
      </c>
      <c r="M882" s="86"/>
      <c r="N882" s="87" t="s">
        <v>69</v>
      </c>
      <c r="O882" s="87"/>
      <c r="P882" s="88"/>
      <c r="Q882" s="88"/>
      <c r="R882" s="86"/>
      <c r="S882" s="125"/>
      <c r="T882" s="543"/>
      <c r="U882" s="112"/>
      <c r="V882" s="100" t="b">
        <f>IF(G882&gt;0,IF(AD882="me","",G882))</f>
        <v>0</v>
      </c>
      <c r="W882" s="100"/>
      <c r="X882" s="100"/>
      <c r="Y882" s="201"/>
      <c r="Z882" s="829" t="str">
        <f t="shared" si="2160"/>
        <v/>
      </c>
      <c r="AA882" s="829"/>
      <c r="AB882" s="830" t="str">
        <f>IF(G882=0,"",IF(AD882="free","re-planting",IF(AD882="me","not NVP, by",IF($AD$8="yes",(VLOOKUP(A882,'Discount Lookup'!J:K,2)*G882*(1-$AC$1786)*(1+$AC$1788)),IF(AD882="NVP",(VLOOKUP(A882,'Discount Lookup'!J:K,2)*G882*(1-$AC$1786)*(1+$AC$1788)),IF(AD882="free","re-planting",IF(G882=0,"",IF($AD$8="",IF(AD882="me","not NVP, by",IF(AD882="",IF(G882&gt;0,(VLOOKUP(A882,'Discount Lookup'!J:K,2)*G882*(1-$AC$1786)*(1+$AC$1788)),""),"")),"not NVP, by"))))))))</f>
        <v/>
      </c>
      <c r="AC882" s="830"/>
      <c r="AD882" s="375" t="str">
        <f t="shared" si="2249"/>
        <v/>
      </c>
      <c r="AE882" s="833" t="str">
        <f t="shared" ref="AE882:AE886" si="2264">IF(G882&gt;0,(CONCATENATE((G882)," quantity, ",(A882)," ",B882)),"")</f>
        <v/>
      </c>
      <c r="AF882" s="833"/>
      <c r="AG882" s="833"/>
      <c r="AH882" s="91">
        <f>IF(AD882="free",0,IF(AD882="me",0,IF(G882&gt;0,(VLOOKUP(A882,'Discount Lookup'!J:K,2)*G882),0)))</f>
        <v>0</v>
      </c>
      <c r="AI882" s="92" t="str">
        <f t="shared" si="2236"/>
        <v/>
      </c>
      <c r="AJ882" s="828" t="str">
        <f t="shared" si="2161"/>
        <v/>
      </c>
      <c r="AK882" s="828"/>
      <c r="AL882" s="313" t="str">
        <f t="shared" si="2173"/>
        <v/>
      </c>
      <c r="AM882" s="312"/>
      <c r="AN882" s="101"/>
      <c r="AO882" s="101"/>
      <c r="AP882" s="101"/>
      <c r="AQ882" s="101"/>
      <c r="AR882" s="101"/>
      <c r="AS882" s="101"/>
      <c r="AT882" s="101"/>
    </row>
    <row r="883" spans="1:74" ht="12.95" customHeight="1">
      <c r="A883" s="419">
        <v>3</v>
      </c>
      <c r="B883" s="87" t="s">
        <v>50</v>
      </c>
      <c r="C883" s="399" t="s">
        <v>51</v>
      </c>
      <c r="D883" s="129" t="s">
        <v>87</v>
      </c>
      <c r="E883" s="98">
        <v>29.95</v>
      </c>
      <c r="F883" s="705" t="s">
        <v>1306</v>
      </c>
      <c r="G883" s="357">
        <v>0</v>
      </c>
      <c r="H883" s="704" t="str">
        <f t="shared" ref="H883:H884" si="2265">IF(G883=0,"",IF(F883="Qty=",IF(G883=1,"plant","plants"),IF(F883&gt;0.0001,"warranty","Error")))</f>
        <v/>
      </c>
      <c r="I883" s="98">
        <f t="shared" ref="I883:I884" si="2266">IF(F883="Qty=",(E883*G883),((E883*(1-F883))*G883))</f>
        <v>0</v>
      </c>
      <c r="J883" s="98">
        <f>IF(H883="warranty",0,(I883*($J$1782)))</f>
        <v>0</v>
      </c>
      <c r="K883" s="831">
        <f t="shared" ref="K883:K884" si="2267">I883+J883</f>
        <v>0</v>
      </c>
      <c r="L883" s="831"/>
      <c r="M883" s="832" t="str">
        <f>IF($H$1784=0,"",IF(G883=0,"",IF(F883="Qty=",CONCATENATE("$",ROUND(K883*(1-$H$1784),2)," with ",($H$1784*100),"% discount"),CONCATENATE("$",ROUND(K883*(1-$H$1784),2)," with ",(($H$1784*100+F883*100)-($H$1784*100*F883)),IF(F883&gt;0,"% discounts",IF($H$1781&gt;0,"% discounts","% discount"))))))</f>
        <v/>
      </c>
      <c r="N883" s="832"/>
      <c r="O883" s="832"/>
      <c r="P883" s="832"/>
      <c r="Q883" s="832"/>
      <c r="R883" s="832"/>
      <c r="S883" s="303">
        <f t="shared" ref="S883:S884" si="2268">E883*G883</f>
        <v>0</v>
      </c>
      <c r="T883" s="541">
        <f>VLOOKUP(A883,'Discount Lookup'!D:E,2,FALSE)*G883</f>
        <v>0</v>
      </c>
      <c r="U883" s="83">
        <f>VLOOKUP(A883,'Discount Lookup'!G:H,2,FALSE)*G883</f>
        <v>0</v>
      </c>
      <c r="V883" s="100">
        <f>E883*($J$1782)*G883</f>
        <v>0</v>
      </c>
      <c r="W883" s="100">
        <f t="shared" ref="W883:W884" si="2269">I883</f>
        <v>0</v>
      </c>
      <c r="X883" s="100" t="b">
        <f>IF(G883&gt;0,IF(AD883="me","",G883))</f>
        <v>0</v>
      </c>
      <c r="Y883" s="201"/>
      <c r="Z883" s="829" t="str">
        <f t="shared" ref="Z883:Z884" si="2270">IF(G883=0,"",IF(AD883="me","",IF($AD$8="me","",IF(AD883="free","warranty",IF($AD$8="yes","NVP planting:","to NVP install:")))))</f>
        <v/>
      </c>
      <c r="AA883" s="829"/>
      <c r="AB883" s="830" t="str">
        <f>IF(G883=0,"",IF(AD883="free","re-planting",IF(AD883="me","not NVP, by",IF($AD$8="yes",(VLOOKUP(A883,'Discount Lookup'!J:K,2)*G883*(1-$AC$1786)*(1+$AC$1788)),IF(AD883="NVP",(VLOOKUP(A883,'Discount Lookup'!J:K,2)*G883*(1-$AC$1786)*(1+$AC$1788)),IF(AD883="free","re-planting",IF(G883=0,"",IF($AD$8="",IF(AD883="me","not NVP, by",IF(AD883="",IF(G883&gt;0,(VLOOKUP(A883,'Discount Lookup'!J:K,2)*G883*(1-$AC$1786)*(1+$AC$1788)),""),"")),"not NVP, by"))))))))</f>
        <v/>
      </c>
      <c r="AC883" s="830"/>
      <c r="AD883" s="375" t="str">
        <f t="shared" ref="AD883:AD884" si="2271">IF(G883=0,"",IF($AD$8="me","me",IF(H883="warranty","free",IF($AD$8="yes","NVP",""))))</f>
        <v/>
      </c>
      <c r="AE883" s="833" t="str">
        <f t="shared" ref="AE883:AE884" si="2272">IF(G883&gt;0,(CONCATENATE((G883)," quantity, ",(A883)," ",B883)),"")</f>
        <v/>
      </c>
      <c r="AF883" s="833"/>
      <c r="AG883" s="833"/>
      <c r="AH883" s="91">
        <f>IF(AD883="free",0,IF(AD883="me",0,IF(G883&gt;0,(VLOOKUP(A883,'Discount Lookup'!J:K,2)*G883),0)))</f>
        <v>0</v>
      </c>
      <c r="AI883" s="92" t="str">
        <f t="shared" si="2236"/>
        <v/>
      </c>
      <c r="AJ883" s="828" t="str">
        <f t="shared" ref="AJ883:AJ884" si="2273">IF(G883=0,"",IF(AD883="me","  delivery-only",IF($AD$8="me","  delivery-only",CONCATENATE(" $",ROUND(AI883/G883,2)," each"))))</f>
        <v/>
      </c>
      <c r="AK883" s="828"/>
      <c r="AL883" s="313" t="str">
        <f t="shared" si="2173"/>
        <v/>
      </c>
      <c r="AM883" s="312"/>
      <c r="AN883" s="101"/>
      <c r="AO883" s="101"/>
      <c r="AP883" s="101"/>
      <c r="AQ883" s="101"/>
      <c r="AR883" s="101"/>
      <c r="AS883" s="101"/>
      <c r="AT883" s="101"/>
    </row>
    <row r="884" spans="1:74" ht="12.95" customHeight="1">
      <c r="A884" s="419">
        <v>3</v>
      </c>
      <c r="B884" s="87" t="s">
        <v>50</v>
      </c>
      <c r="C884" s="399" t="s">
        <v>102</v>
      </c>
      <c r="D884" s="129" t="s">
        <v>94</v>
      </c>
      <c r="E884" s="98">
        <v>24.95</v>
      </c>
      <c r="F884" s="705" t="s">
        <v>1306</v>
      </c>
      <c r="G884" s="357">
        <v>0</v>
      </c>
      <c r="H884" s="704" t="str">
        <f t="shared" si="2265"/>
        <v/>
      </c>
      <c r="I884" s="98">
        <f t="shared" si="2266"/>
        <v>0</v>
      </c>
      <c r="J884" s="98">
        <f>IF(H884="warranty",0,(I884*($J$1782)))</f>
        <v>0</v>
      </c>
      <c r="K884" s="831">
        <f t="shared" si="2267"/>
        <v>0</v>
      </c>
      <c r="L884" s="831"/>
      <c r="M884" s="832" t="str">
        <f>IF($H$1784=0,"",IF(G884=0,"",IF(F884="Qty=",CONCATENATE("$",ROUND(K884*(1-$H$1784),2)," with ",($H$1784*100),"% discount"),CONCATENATE("$",ROUND(K884*(1-$H$1784),2)," with ",(($H$1784*100+F884*100)-($H$1784*100*F884)),IF(F884&gt;0,"% discounts",IF($H$1781&gt;0,"% discounts","% discount"))))))</f>
        <v/>
      </c>
      <c r="N884" s="832"/>
      <c r="O884" s="832"/>
      <c r="P884" s="832"/>
      <c r="Q884" s="832"/>
      <c r="R884" s="832"/>
      <c r="S884" s="303">
        <f t="shared" si="2268"/>
        <v>0</v>
      </c>
      <c r="T884" s="541">
        <f>VLOOKUP(A884,'Discount Lookup'!D:E,2,FALSE)*G884</f>
        <v>0</v>
      </c>
      <c r="U884" s="83">
        <f>VLOOKUP(A884,'Discount Lookup'!G:H,2,FALSE)*G884</f>
        <v>0</v>
      </c>
      <c r="V884" s="100">
        <f>E884*($J$1782)*G884</f>
        <v>0</v>
      </c>
      <c r="W884" s="100">
        <f t="shared" si="2269"/>
        <v>0</v>
      </c>
      <c r="X884" s="100" t="b">
        <f>IF(G884&gt;0,IF(AD884="me","",G884))</f>
        <v>0</v>
      </c>
      <c r="Y884" s="201"/>
      <c r="Z884" s="829" t="str">
        <f t="shared" si="2270"/>
        <v/>
      </c>
      <c r="AA884" s="829"/>
      <c r="AB884" s="830" t="str">
        <f>IF(G884=0,"",IF(AD884="free","re-planting",IF(AD884="me","not NVP, by",IF($AD$8="yes",(VLOOKUP(A884,'Discount Lookup'!J:K,2)*G884*(1-$AC$1786)*(1+$AC$1788)),IF(AD884="NVP",(VLOOKUP(A884,'Discount Lookup'!J:K,2)*G884*(1-$AC$1786)*(1+$AC$1788)),IF(AD884="free","re-planting",IF(G884=0,"",IF($AD$8="",IF(AD884="me","not NVP, by",IF(AD884="",IF(G884&gt;0,(VLOOKUP(A884,'Discount Lookup'!J:K,2)*G884*(1-$AC$1786)*(1+$AC$1788)),""),"")),"not NVP, by"))))))))</f>
        <v/>
      </c>
      <c r="AC884" s="830"/>
      <c r="AD884" s="375" t="str">
        <f t="shared" si="2271"/>
        <v/>
      </c>
      <c r="AE884" s="833" t="str">
        <f t="shared" si="2272"/>
        <v/>
      </c>
      <c r="AF884" s="833"/>
      <c r="AG884" s="833"/>
      <c r="AH884" s="91">
        <f>IF(AD884="free",0,IF(AD884="me",0,IF(G884&gt;0,(VLOOKUP(A884,'Discount Lookup'!J:K,2)*G884),0)))</f>
        <v>0</v>
      </c>
      <c r="AI884" s="92" t="str">
        <f t="shared" si="2236"/>
        <v/>
      </c>
      <c r="AJ884" s="828" t="str">
        <f t="shared" si="2273"/>
        <v/>
      </c>
      <c r="AK884" s="828"/>
      <c r="AL884" s="313" t="str">
        <f t="shared" si="2173"/>
        <v/>
      </c>
      <c r="AM884" s="312"/>
      <c r="AN884" s="101"/>
      <c r="AO884" s="101"/>
      <c r="AP884" s="101"/>
      <c r="AQ884" s="101"/>
      <c r="AR884" s="101"/>
      <c r="AS884" s="101"/>
      <c r="AT884" s="101"/>
    </row>
    <row r="885" spans="1:74" ht="12.95" customHeight="1">
      <c r="A885" s="419">
        <v>7</v>
      </c>
      <c r="B885" s="87" t="s">
        <v>50</v>
      </c>
      <c r="C885" s="399" t="s">
        <v>85</v>
      </c>
      <c r="D885" s="129" t="s">
        <v>87</v>
      </c>
      <c r="E885" s="98">
        <v>62.95</v>
      </c>
      <c r="F885" s="705" t="s">
        <v>1306</v>
      </c>
      <c r="G885" s="357">
        <v>0</v>
      </c>
      <c r="H885" s="704" t="str">
        <f t="shared" ref="H885" si="2274">IF(G885=0,"",IF(F885="Qty=",IF(G885=1,"plant","plants"),IF(F885&gt;0.0001,"warranty","Error")))</f>
        <v/>
      </c>
      <c r="I885" s="98">
        <f t="shared" ref="I885" si="2275">IF(F885="Qty=",(E885*G885),((E885*(1-F885))*G885))</f>
        <v>0</v>
      </c>
      <c r="J885" s="98">
        <f>IF(H885="warranty",0,(I885*($J$1782)))</f>
        <v>0</v>
      </c>
      <c r="K885" s="831">
        <f t="shared" ref="K885" si="2276">I885+J885</f>
        <v>0</v>
      </c>
      <c r="L885" s="831"/>
      <c r="M885" s="832" t="str">
        <f>IF($H$1784=0,"",IF(G885=0,"",IF(F885="Qty=",CONCATENATE("$",ROUND(K885*(1-$H$1784),2)," with ",($H$1784*100),"% discount"),CONCATENATE("$",ROUND(K885*(1-$H$1784),2)," with ",(($H$1784*100+F885*100)-($H$1784*100*F885)),IF(F885&gt;0,"% discounts",IF($H$1781&gt;0,"% discounts","% discount"))))))</f>
        <v/>
      </c>
      <c r="N885" s="832"/>
      <c r="O885" s="832"/>
      <c r="P885" s="832"/>
      <c r="Q885" s="832"/>
      <c r="R885" s="832"/>
      <c r="S885" s="303">
        <f t="shared" ref="S885" si="2277">E885*G885</f>
        <v>0</v>
      </c>
      <c r="T885" s="541">
        <f>VLOOKUP(A885,'Discount Lookup'!D:E,2,FALSE)*G885</f>
        <v>0</v>
      </c>
      <c r="U885" s="83">
        <f>VLOOKUP(A885,'Discount Lookup'!G:H,2,FALSE)*G885</f>
        <v>0</v>
      </c>
      <c r="V885" s="100">
        <f>E885*($J$1782)*G885</f>
        <v>0</v>
      </c>
      <c r="W885" s="100">
        <f t="shared" ref="W885" si="2278">I885</f>
        <v>0</v>
      </c>
      <c r="X885" s="100" t="b">
        <f>IF(G885&gt;0,IF(AD885="me","",G885))</f>
        <v>0</v>
      </c>
      <c r="Y885" s="201"/>
      <c r="Z885" s="829" t="str">
        <f t="shared" si="2160"/>
        <v/>
      </c>
      <c r="AA885" s="829"/>
      <c r="AB885" s="830" t="str">
        <f>IF(G885=0,"",IF(AD885="free","re-planting",IF(AD885="me","not NVP, by",IF($AD$8="yes",(VLOOKUP(A885,'Discount Lookup'!J:K,2)*G885*(1-$AC$1786)*(1+$AC$1788)),IF(AD885="NVP",(VLOOKUP(A885,'Discount Lookup'!J:K,2)*G885*(1-$AC$1786)*(1+$AC$1788)),IF(AD885="free","re-planting",IF(G885=0,"",IF($AD$8="",IF(AD885="me","not NVP, by",IF(AD885="",IF(G885&gt;0,(VLOOKUP(A885,'Discount Lookup'!J:K,2)*G885*(1-$AC$1786)*(1+$AC$1788)),""),"")),"not NVP, by"))))))))</f>
        <v/>
      </c>
      <c r="AC885" s="830"/>
      <c r="AD885" s="375" t="str">
        <f t="shared" si="2249"/>
        <v/>
      </c>
      <c r="AE885" s="833" t="str">
        <f t="shared" si="2264"/>
        <v/>
      </c>
      <c r="AF885" s="833"/>
      <c r="AG885" s="833"/>
      <c r="AH885" s="91">
        <f>IF(AD885="free",0,IF(AD885="me",0,IF(G885&gt;0,(VLOOKUP(A885,'Discount Lookup'!J:K,2)*G885),0)))</f>
        <v>0</v>
      </c>
      <c r="AI885" s="92" t="str">
        <f t="shared" si="2236"/>
        <v/>
      </c>
      <c r="AJ885" s="828" t="str">
        <f t="shared" si="2161"/>
        <v/>
      </c>
      <c r="AK885" s="828"/>
      <c r="AL885" s="313" t="str">
        <f t="shared" si="2173"/>
        <v/>
      </c>
      <c r="AM885" s="312"/>
      <c r="AN885" s="101"/>
      <c r="AO885" s="101"/>
      <c r="AP885" s="101"/>
      <c r="AQ885" s="101"/>
      <c r="AR885" s="101"/>
      <c r="AS885" s="101"/>
      <c r="AT885" s="101"/>
    </row>
    <row r="886" spans="1:74" ht="12.95" customHeight="1">
      <c r="A886" s="468"/>
      <c r="B886" s="149" t="s">
        <v>522</v>
      </c>
      <c r="C886" s="117"/>
      <c r="D886" s="118"/>
      <c r="E886" s="119"/>
      <c r="F886" s="711"/>
      <c r="G886" s="356"/>
      <c r="H886" s="745"/>
      <c r="I886" s="119"/>
      <c r="J886" s="840"/>
      <c r="K886" s="840"/>
      <c r="L886" s="840"/>
      <c r="M886" s="121"/>
      <c r="N886" s="122" t="s">
        <v>460</v>
      </c>
      <c r="O886" s="123"/>
      <c r="P886" s="124"/>
      <c r="Q886" s="124"/>
      <c r="R886" s="83"/>
      <c r="S886" s="82">
        <f>E886*G886</f>
        <v>0</v>
      </c>
      <c r="T886" s="540"/>
      <c r="U886" s="83"/>
      <c r="V886" s="100" t="b">
        <f>IF(G886&gt;0,IF(AD886="me","",G886))</f>
        <v>0</v>
      </c>
      <c r="W886" s="100"/>
      <c r="X886" s="100"/>
      <c r="Y886" s="201"/>
      <c r="Z886" s="829" t="str">
        <f t="shared" si="2160"/>
        <v/>
      </c>
      <c r="AA886" s="829"/>
      <c r="AB886" s="830" t="str">
        <f>IF(G886=0,"",IF(AD886="free","re-planting",IF(AD886="me","not NVP, by",IF($AD$8="yes",(VLOOKUP(A886,'Discount Lookup'!J:K,2)*G886*(1-$AC$1786)*(1+$AC$1788)),IF(AD886="NVP",(VLOOKUP(A886,'Discount Lookup'!J:K,2)*G886*(1-$AC$1786)*(1+$AC$1788)),IF(AD886="free","re-planting",IF(G886=0,"",IF($AD$8="",IF(AD886="me","not NVP, by",IF(AD886="",IF(G886&gt;0,(VLOOKUP(A886,'Discount Lookup'!J:K,2)*G886*(1-$AC$1786)*(1+$AC$1788)),""),"")),"not NVP, by"))))))))</f>
        <v/>
      </c>
      <c r="AC886" s="830"/>
      <c r="AD886" s="375" t="str">
        <f t="shared" si="2249"/>
        <v/>
      </c>
      <c r="AE886" s="833" t="str">
        <f t="shared" si="2264"/>
        <v/>
      </c>
      <c r="AF886" s="833"/>
      <c r="AG886" s="833"/>
      <c r="AH886" s="91">
        <f>IF(AD886="free",0,IF(AD886="me",0,IF(G886&gt;0,(VLOOKUP(A886,'Discount Lookup'!J:K,2)*G886),0)))</f>
        <v>0</v>
      </c>
      <c r="AI886" s="92" t="str">
        <f t="shared" si="2236"/>
        <v/>
      </c>
      <c r="AJ886" s="828" t="str">
        <f t="shared" si="2161"/>
        <v/>
      </c>
      <c r="AK886" s="828"/>
      <c r="AL886" s="313" t="str">
        <f t="shared" si="2173"/>
        <v/>
      </c>
      <c r="AM886" s="312"/>
      <c r="AN886" s="101"/>
      <c r="AO886" s="101"/>
      <c r="AP886" s="101"/>
      <c r="AQ886" s="101"/>
      <c r="AR886" s="101"/>
      <c r="AS886" s="101"/>
      <c r="AT886" s="101"/>
    </row>
    <row r="887" spans="1:74" ht="12.95" customHeight="1">
      <c r="A887" s="896" t="s">
        <v>523</v>
      </c>
      <c r="B887" s="897"/>
      <c r="C887" s="897"/>
      <c r="D887" s="897"/>
      <c r="E887" s="897"/>
      <c r="F887" s="897"/>
      <c r="G887" s="897"/>
      <c r="H887" s="776" t="s">
        <v>521</v>
      </c>
      <c r="I887" s="88" t="s">
        <v>79</v>
      </c>
      <c r="J887" s="86"/>
      <c r="K887" s="603" t="s">
        <v>45</v>
      </c>
      <c r="L887" s="601" t="s">
        <v>46</v>
      </c>
      <c r="M887" s="86"/>
      <c r="N887" s="87" t="s">
        <v>75</v>
      </c>
      <c r="O887" s="87"/>
      <c r="P887" s="88"/>
      <c r="Q887" s="88"/>
      <c r="R887" s="86"/>
      <c r="S887" s="125"/>
      <c r="T887" s="543"/>
      <c r="U887" s="112"/>
      <c r="V887" s="100" t="b">
        <f>IF(G887&gt;0,IF(AD887="me","",G887))</f>
        <v>0</v>
      </c>
      <c r="W887" s="100"/>
      <c r="X887" s="100"/>
      <c r="Y887" s="201"/>
      <c r="Z887" s="829" t="str">
        <f t="shared" si="2160"/>
        <v/>
      </c>
      <c r="AA887" s="829"/>
      <c r="AB887" s="830" t="str">
        <f>IF(G887=0,"",IF(AD887="free","re-planting",IF(AD887="me","not NVP, by",IF($AD$8="yes",(VLOOKUP(A887,'Discount Lookup'!J:K,2)*G887*(1-$AC$1786)*(1+$AC$1788)),IF(AD887="NVP",(VLOOKUP(A887,'Discount Lookup'!J:K,2)*G887*(1-$AC$1786)*(1+$AC$1788)),IF(AD887="free","re-planting",IF(G887=0,"",IF($AD$8="",IF(AD887="me","not NVP, by",IF(AD887="",IF(G887&gt;0,(VLOOKUP(A887,'Discount Lookup'!J:K,2)*G887*(1-$AC$1786)*(1+$AC$1788)),""),"")),"not NVP, by"))))))))</f>
        <v/>
      </c>
      <c r="AC887" s="830"/>
      <c r="AD887" s="375" t="str">
        <f t="shared" si="2249"/>
        <v/>
      </c>
      <c r="AE887" s="833" t="str">
        <f t="shared" si="2180"/>
        <v/>
      </c>
      <c r="AF887" s="833"/>
      <c r="AG887" s="833"/>
      <c r="AH887" s="91">
        <f>IF(AD887="free",0,IF(AD887="me",0,IF(G887&gt;0,(VLOOKUP(A887,'Discount Lookup'!J:K,2)*G887),0)))</f>
        <v>0</v>
      </c>
      <c r="AI887" s="92" t="str">
        <f t="shared" si="2236"/>
        <v/>
      </c>
      <c r="AJ887" s="828" t="str">
        <f t="shared" si="2161"/>
        <v/>
      </c>
      <c r="AK887" s="828"/>
      <c r="AL887" s="313" t="str">
        <f t="shared" si="2173"/>
        <v/>
      </c>
      <c r="AM887" s="312"/>
      <c r="AN887" s="101"/>
      <c r="AO887" s="101"/>
      <c r="AP887" s="101"/>
      <c r="AQ887" s="101"/>
      <c r="AR887" s="101"/>
      <c r="AS887" s="101"/>
      <c r="AT887" s="101"/>
    </row>
    <row r="888" spans="1:74" ht="12.95" customHeight="1">
      <c r="A888" s="419">
        <v>3</v>
      </c>
      <c r="B888" s="87" t="s">
        <v>50</v>
      </c>
      <c r="C888" s="128" t="s">
        <v>1501</v>
      </c>
      <c r="D888" s="129" t="s">
        <v>52</v>
      </c>
      <c r="E888" s="98">
        <v>29.95</v>
      </c>
      <c r="F888" s="705" t="s">
        <v>1306</v>
      </c>
      <c r="G888" s="357">
        <v>0</v>
      </c>
      <c r="H888" s="704" t="str">
        <f t="shared" ref="H888:H890" si="2279">IF(G888=0,"",IF(F888="Qty=",IF(G888=1,"plant","plants"),IF(F888&gt;0.0001,"warranty","Error")))</f>
        <v/>
      </c>
      <c r="I888" s="98">
        <f t="shared" ref="I888:I890" si="2280">IF(F888="Qty=",(E888*G888),((E888*(1-F888))*G888))</f>
        <v>0</v>
      </c>
      <c r="J888" s="98">
        <f>IF(H888="warranty",0,(I888*($J$1782)))</f>
        <v>0</v>
      </c>
      <c r="K888" s="831">
        <f t="shared" ref="K888:K890" si="2281">I888+J888</f>
        <v>0</v>
      </c>
      <c r="L888" s="831"/>
      <c r="M888" s="832" t="str">
        <f>IF($H$1784=0,"",IF(G888=0,"",IF(F888="Qty=",CONCATENATE("$",ROUND(K888*(1-$H$1784),2)," with ",($H$1784*100),"% discount"),CONCATENATE("$",ROUND(K888*(1-$H$1784),2)," with ",(($H$1784*100+F888*100)-($H$1784*100*F888)),IF(F888&gt;0,"% discounts",IF($H$1781&gt;0,"% discounts","% discount"))))))</f>
        <v/>
      </c>
      <c r="N888" s="832"/>
      <c r="O888" s="832"/>
      <c r="P888" s="832"/>
      <c r="Q888" s="832"/>
      <c r="R888" s="832"/>
      <c r="S888" s="303">
        <f t="shared" ref="S888" si="2282">E888*G888</f>
        <v>0</v>
      </c>
      <c r="T888" s="541">
        <f>VLOOKUP(A888,'Discount Lookup'!D:E,2,FALSE)*G888</f>
        <v>0</v>
      </c>
      <c r="U888" s="83">
        <f>VLOOKUP(A888,'Discount Lookup'!G:H,2,FALSE)*G888</f>
        <v>0</v>
      </c>
      <c r="V888" s="100">
        <f>E888*($J$1782)*G888</f>
        <v>0</v>
      </c>
      <c r="W888" s="100">
        <f t="shared" ref="W888" si="2283">I888</f>
        <v>0</v>
      </c>
      <c r="X888" s="100" t="b">
        <f>IF(G888&gt;0,IF(AD888="me","",G888))</f>
        <v>0</v>
      </c>
      <c r="Y888" s="201"/>
      <c r="Z888" s="829" t="str">
        <f t="shared" si="2160"/>
        <v/>
      </c>
      <c r="AA888" s="829"/>
      <c r="AB888" s="830" t="str">
        <f>IF(G888=0,"",IF(AD888="free","re-planting",IF(AD888="me","not NVP, by",IF($AD$8="yes",(VLOOKUP(A888,'Discount Lookup'!J:K,2)*G888*(1-$AC$1786)*(1+$AC$1788)),IF(AD888="NVP",(VLOOKUP(A888,'Discount Lookup'!J:K,2)*G888*(1-$AC$1786)*(1+$AC$1788)),IF(AD888="free","re-planting",IF(G888=0,"",IF($AD$8="",IF(AD888="me","not NVP, by",IF(AD888="",IF(G888&gt;0,(VLOOKUP(A888,'Discount Lookup'!J:K,2)*G888*(1-$AC$1786)*(1+$AC$1788)),""),"")),"not NVP, by"))))))))</f>
        <v/>
      </c>
      <c r="AC888" s="830"/>
      <c r="AD888" s="375" t="str">
        <f t="shared" si="2249"/>
        <v/>
      </c>
      <c r="AE888" s="833" t="str">
        <f t="shared" ref="AE888" si="2284">IF(G888&gt;0,(CONCATENATE((G888)," quantity, ",(A888)," ",B888)),"")</f>
        <v/>
      </c>
      <c r="AF888" s="833"/>
      <c r="AG888" s="833"/>
      <c r="AH888" s="91">
        <f>IF(AD888="free",0,IF(AD888="me",0,IF(G888&gt;0,(VLOOKUP(A888,'Discount Lookup'!J:K,2)*G888),0)))</f>
        <v>0</v>
      </c>
      <c r="AI888" s="92" t="str">
        <f t="shared" si="2236"/>
        <v/>
      </c>
      <c r="AJ888" s="828" t="str">
        <f t="shared" si="2161"/>
        <v/>
      </c>
      <c r="AK888" s="828"/>
      <c r="AL888" s="313" t="str">
        <f t="shared" si="2173"/>
        <v/>
      </c>
      <c r="AM888" s="312"/>
      <c r="AN888" s="101"/>
      <c r="AO888" s="101"/>
      <c r="AP888" s="101"/>
      <c r="AQ888" s="101"/>
      <c r="AR888" s="101"/>
      <c r="AS888" s="101"/>
      <c r="AT888" s="101"/>
    </row>
    <row r="889" spans="1:74" ht="12.95" customHeight="1">
      <c r="A889" s="419">
        <v>7</v>
      </c>
      <c r="B889" s="87" t="s">
        <v>50</v>
      </c>
      <c r="C889" s="128" t="s">
        <v>556</v>
      </c>
      <c r="D889" s="129" t="s">
        <v>54</v>
      </c>
      <c r="E889" s="98">
        <v>111.95</v>
      </c>
      <c r="F889" s="705" t="s">
        <v>1306</v>
      </c>
      <c r="G889" s="357">
        <v>0</v>
      </c>
      <c r="H889" s="704" t="str">
        <f t="shared" si="2279"/>
        <v/>
      </c>
      <c r="I889" s="98">
        <f t="shared" si="2280"/>
        <v>0</v>
      </c>
      <c r="J889" s="98">
        <f>IF(H889="warranty",0,(I889*($J$1782)))</f>
        <v>0</v>
      </c>
      <c r="K889" s="831">
        <f t="shared" si="2281"/>
        <v>0</v>
      </c>
      <c r="L889" s="831"/>
      <c r="M889" s="832" t="str">
        <f>IF($H$1784=0,"",IF(G889=0,"",IF(F889="Qty=",CONCATENATE("$",ROUND(K889*(1-$H$1784),2)," with ",($H$1784*100),"% discount"),CONCATENATE("$",ROUND(K889*(1-$H$1784),2)," with ",(($H$1784*100+F889*100)-($H$1784*100*F889)),IF(F889&gt;0,"% discounts",IF($H$1781&gt;0,"% discounts","% discount"))))))</f>
        <v/>
      </c>
      <c r="N889" s="832"/>
      <c r="O889" s="832"/>
      <c r="P889" s="832"/>
      <c r="Q889" s="832"/>
      <c r="R889" s="832"/>
      <c r="S889" s="303">
        <f t="shared" ref="S889:S890" si="2285">E889*G889</f>
        <v>0</v>
      </c>
      <c r="T889" s="541">
        <f>VLOOKUP(A889,'Discount Lookup'!D:E,2,FALSE)*G889</f>
        <v>0</v>
      </c>
      <c r="U889" s="83">
        <f>VLOOKUP(A889,'Discount Lookup'!G:H,2,FALSE)*G889</f>
        <v>0</v>
      </c>
      <c r="V889" s="100">
        <f>E889*($J$1782)*G889</f>
        <v>0</v>
      </c>
      <c r="W889" s="100">
        <f t="shared" ref="W889:W890" si="2286">I889</f>
        <v>0</v>
      </c>
      <c r="X889" s="100" t="b">
        <f>IF(G889&gt;0,IF(AD889="me","",G889))</f>
        <v>0</v>
      </c>
      <c r="Y889" s="201"/>
      <c r="Z889" s="829" t="str">
        <f t="shared" si="2160"/>
        <v/>
      </c>
      <c r="AA889" s="829"/>
      <c r="AB889" s="830" t="str">
        <f>IF(G889=0,"",IF(AD889="free","re-planting",IF(AD889="me","not NVP, by",IF($AD$8="yes",(VLOOKUP(A889,'Discount Lookup'!J:K,2)*G889*(1-$AC$1786)*(1+$AC$1788)),IF(AD889="NVP",(VLOOKUP(A889,'Discount Lookup'!J:K,2)*G889*(1-$AC$1786)*(1+$AC$1788)),IF(AD889="free","re-planting",IF(G889=0,"",IF($AD$8="",IF(AD889="me","not NVP, by",IF(AD889="",IF(G889&gt;0,(VLOOKUP(A889,'Discount Lookup'!J:K,2)*G889*(1-$AC$1786)*(1+$AC$1788)),""),"")),"not NVP, by"))))))))</f>
        <v/>
      </c>
      <c r="AC889" s="830"/>
      <c r="AD889" s="375" t="str">
        <f t="shared" si="2249"/>
        <v/>
      </c>
      <c r="AE889" s="833" t="str">
        <f t="shared" si="2180"/>
        <v/>
      </c>
      <c r="AF889" s="833"/>
      <c r="AG889" s="833"/>
      <c r="AH889" s="91">
        <f>IF(AD889="free",0,IF(AD889="me",0,IF(G889&gt;0,(VLOOKUP(A889,'Discount Lookup'!J:K,2)*G889),0)))</f>
        <v>0</v>
      </c>
      <c r="AI889" s="92" t="str">
        <f t="shared" si="2236"/>
        <v/>
      </c>
      <c r="AJ889" s="828" t="str">
        <f t="shared" si="2161"/>
        <v/>
      </c>
      <c r="AK889" s="828"/>
      <c r="AL889" s="313" t="str">
        <f t="shared" si="2173"/>
        <v/>
      </c>
      <c r="AM889" s="312"/>
      <c r="AN889" s="101"/>
      <c r="AO889" s="101"/>
      <c r="AP889" s="101"/>
      <c r="AQ889" s="101"/>
      <c r="AR889" s="101"/>
      <c r="AS889" s="101"/>
      <c r="AT889" s="101"/>
    </row>
    <row r="890" spans="1:74" ht="12.95" customHeight="1">
      <c r="A890" s="419">
        <v>15</v>
      </c>
      <c r="B890" s="87" t="s">
        <v>50</v>
      </c>
      <c r="C890" s="128" t="s">
        <v>1654</v>
      </c>
      <c r="D890" s="129" t="s">
        <v>54</v>
      </c>
      <c r="E890" s="98">
        <v>332.95</v>
      </c>
      <c r="F890" s="705" t="s">
        <v>1306</v>
      </c>
      <c r="G890" s="357">
        <v>0</v>
      </c>
      <c r="H890" s="704" t="str">
        <f t="shared" si="2279"/>
        <v/>
      </c>
      <c r="I890" s="98">
        <f t="shared" si="2280"/>
        <v>0</v>
      </c>
      <c r="J890" s="98">
        <f>IF(H890="warranty",0,(I890*($J$1782)))</f>
        <v>0</v>
      </c>
      <c r="K890" s="831">
        <f t="shared" si="2281"/>
        <v>0</v>
      </c>
      <c r="L890" s="831"/>
      <c r="M890" s="832" t="str">
        <f>IF($H$1784=0,"",IF(G890=0,"",IF(F890="Qty=",CONCATENATE("$",ROUND(K890*(1-$H$1784),2)," with ",($H$1784*100),"% discount"),CONCATENATE("$",ROUND(K890*(1-$H$1784),2)," with ",(($H$1784*100+F890*100)-($H$1784*100*F890)),IF(F890&gt;0,"% discounts",IF($H$1781&gt;0,"% discounts","% discount"))))))</f>
        <v/>
      </c>
      <c r="N890" s="832"/>
      <c r="O890" s="832"/>
      <c r="P890" s="832"/>
      <c r="Q890" s="832"/>
      <c r="R890" s="832"/>
      <c r="S890" s="303">
        <f t="shared" si="2285"/>
        <v>0</v>
      </c>
      <c r="T890" s="541">
        <f>VLOOKUP(A890,'Discount Lookup'!D:E,2,FALSE)*G890</f>
        <v>0</v>
      </c>
      <c r="U890" s="83">
        <f>VLOOKUP(A890,'Discount Lookup'!G:H,2,FALSE)*G890</f>
        <v>0</v>
      </c>
      <c r="V890" s="100">
        <f>E890*($J$1782)*G890</f>
        <v>0</v>
      </c>
      <c r="W890" s="100">
        <f t="shared" si="2286"/>
        <v>0</v>
      </c>
      <c r="X890" s="100" t="b">
        <f>IF(G890&gt;0,IF(AD890="me","",G890))</f>
        <v>0</v>
      </c>
      <c r="Y890" s="201"/>
      <c r="Z890" s="829" t="str">
        <f t="shared" si="2160"/>
        <v/>
      </c>
      <c r="AA890" s="829"/>
      <c r="AB890" s="830" t="str">
        <f>IF(G890=0,"",IF(AD890="free","re-planting",IF(AD890="me","not NVP, by",IF($AD$8="yes",(VLOOKUP(A890,'Discount Lookup'!J:K,2)*G890*(1-$AC$1786)*(1+$AC$1788)),IF(AD890="NVP",(VLOOKUP(A890,'Discount Lookup'!J:K,2)*G890*(1-$AC$1786)*(1+$AC$1788)),IF(AD890="free","re-planting",IF(G890=0,"",IF($AD$8="",IF(AD890="me","not NVP, by",IF(AD890="",IF(G890&gt;0,(VLOOKUP(A890,'Discount Lookup'!J:K,2)*G890*(1-$AC$1786)*(1+$AC$1788)),""),"")),"not NVP, by"))))))))</f>
        <v/>
      </c>
      <c r="AC890" s="830"/>
      <c r="AD890" s="375" t="str">
        <f t="shared" si="2249"/>
        <v/>
      </c>
      <c r="AE890" s="833" t="str">
        <f t="shared" si="2180"/>
        <v/>
      </c>
      <c r="AF890" s="833"/>
      <c r="AG890" s="833"/>
      <c r="AH890" s="91">
        <f>IF(AD890="free",0,IF(AD890="me",0,IF(G890&gt;0,(VLOOKUP(A890,'Discount Lookup'!J:K,2)*G890),0)))</f>
        <v>0</v>
      </c>
      <c r="AI890" s="92" t="str">
        <f t="shared" si="2236"/>
        <v/>
      </c>
      <c r="AJ890" s="828" t="str">
        <f t="shared" si="2161"/>
        <v/>
      </c>
      <c r="AK890" s="828"/>
      <c r="AL890" s="313" t="str">
        <f t="shared" si="2173"/>
        <v/>
      </c>
      <c r="AM890" s="312"/>
      <c r="AN890" s="101"/>
      <c r="AO890" s="101"/>
      <c r="AP890" s="101"/>
      <c r="AQ890" s="101"/>
      <c r="AR890" s="101"/>
      <c r="AS890" s="101"/>
      <c r="AT890" s="101"/>
    </row>
    <row r="891" spans="1:74" ht="12.95" customHeight="1">
      <c r="A891" s="468"/>
      <c r="B891" s="149" t="s">
        <v>525</v>
      </c>
      <c r="C891" s="117"/>
      <c r="D891" s="118"/>
      <c r="E891" s="119"/>
      <c r="F891" s="711"/>
      <c r="G891" s="356"/>
      <c r="H891" s="745"/>
      <c r="I891" s="119"/>
      <c r="J891" s="119"/>
      <c r="K891" s="609"/>
      <c r="L891" s="609"/>
      <c r="M891" s="121"/>
      <c r="N891" s="122"/>
      <c r="O891" s="123"/>
      <c r="P891" s="124"/>
      <c r="Q891" s="124"/>
      <c r="R891" s="83"/>
      <c r="S891" s="82"/>
      <c r="T891" s="540"/>
      <c r="U891" s="83"/>
      <c r="V891" s="100"/>
      <c r="W891" s="100"/>
      <c r="X891" s="100"/>
      <c r="Y891" s="201"/>
      <c r="Z891" s="829" t="str">
        <f t="shared" si="2160"/>
        <v/>
      </c>
      <c r="AA891" s="829"/>
      <c r="AB891" s="830" t="str">
        <f>IF(G891=0,"",IF(AD891="free","re-planting",IF(AD891="me","not NVP, by",IF($AD$8="yes",(VLOOKUP(A891,'Discount Lookup'!J:K,2)*G891*(1-$AC$1786)*(1+$AC$1788)),IF(AD891="NVP",(VLOOKUP(A891,'Discount Lookup'!J:K,2)*G891*(1-$AC$1786)*(1+$AC$1788)),IF(AD891="free","re-planting",IF(G891=0,"",IF($AD$8="",IF(AD891="me","not NVP, by",IF(AD891="",IF(G891&gt;0,(VLOOKUP(A891,'Discount Lookup'!J:K,2)*G891*(1-$AC$1786)*(1+$AC$1788)),""),"")),"not NVP, by"))))))))</f>
        <v/>
      </c>
      <c r="AC891" s="830"/>
      <c r="AD891" s="375" t="str">
        <f t="shared" si="2249"/>
        <v/>
      </c>
      <c r="AE891" s="833" t="str">
        <f t="shared" si="2180"/>
        <v/>
      </c>
      <c r="AF891" s="833"/>
      <c r="AG891" s="833"/>
      <c r="AH891" s="91">
        <f>IF(AD891="free",0,IF(AD891="me",0,IF(G891&gt;0,(VLOOKUP(A891,'Discount Lookup'!J:K,2)*G891),0)))</f>
        <v>0</v>
      </c>
      <c r="AI891" s="92" t="str">
        <f t="shared" si="2236"/>
        <v/>
      </c>
      <c r="AJ891" s="828" t="str">
        <f t="shared" si="2161"/>
        <v/>
      </c>
      <c r="AK891" s="828"/>
      <c r="AL891" s="313" t="str">
        <f t="shared" si="2173"/>
        <v/>
      </c>
      <c r="AM891" s="312"/>
      <c r="AN891" s="101"/>
      <c r="AO891" s="101"/>
      <c r="AP891" s="101"/>
      <c r="AQ891" s="101"/>
      <c r="AR891" s="101"/>
      <c r="AS891" s="101"/>
      <c r="AT891" s="101"/>
    </row>
    <row r="892" spans="1:74" ht="12.95" customHeight="1">
      <c r="A892" s="896" t="s">
        <v>1652</v>
      </c>
      <c r="B892" s="897"/>
      <c r="C892" s="897"/>
      <c r="D892" s="897"/>
      <c r="E892" s="897"/>
      <c r="F892" s="897"/>
      <c r="G892" s="897"/>
      <c r="H892" s="776" t="s">
        <v>521</v>
      </c>
      <c r="I892" s="88" t="s">
        <v>79</v>
      </c>
      <c r="J892" s="86"/>
      <c r="K892" s="603" t="s">
        <v>45</v>
      </c>
      <c r="L892" s="601" t="s">
        <v>46</v>
      </c>
      <c r="M892" s="86"/>
      <c r="N892" s="87" t="s">
        <v>75</v>
      </c>
      <c r="O892" s="87"/>
      <c r="P892" s="88"/>
      <c r="Q892" s="88"/>
      <c r="R892" s="86"/>
      <c r="S892" s="125"/>
      <c r="T892" s="543"/>
      <c r="U892" s="112"/>
      <c r="V892" s="100" t="b">
        <f>IF(G892&gt;0,IF(AD892="me","",G892))</f>
        <v>0</v>
      </c>
      <c r="W892" s="100"/>
      <c r="X892" s="100"/>
      <c r="Y892" s="201"/>
      <c r="Z892" s="829" t="str">
        <f t="shared" ref="Z892:Z895" si="2287">IF(G892=0,"",IF(AD892="me","",IF($AD$8="me","",IF(AD892="free","warranty",IF($AD$8="yes","NVP planting:","to NVP install:")))))</f>
        <v/>
      </c>
      <c r="AA892" s="829"/>
      <c r="AB892" s="830" t="str">
        <f>IF(G892=0,"",IF(AD892="free","re-planting",IF(AD892="me","not NVP, by",IF($AD$8="yes",(VLOOKUP(A892,'Discount Lookup'!J:K,2)*G892*(1-$AC$1786)*(1+$AC$1788)),IF(AD892="NVP",(VLOOKUP(A892,'Discount Lookup'!J:K,2)*G892*(1-$AC$1786)*(1+$AC$1788)),IF(AD892="free","re-planting",IF(G892=0,"",IF($AD$8="",IF(AD892="me","not NVP, by",IF(AD892="",IF(G892&gt;0,(VLOOKUP(A892,'Discount Lookup'!J:K,2)*G892*(1-$AC$1786)*(1+$AC$1788)),""),"")),"not NVP, by"))))))))</f>
        <v/>
      </c>
      <c r="AC892" s="830"/>
      <c r="AD892" s="375" t="str">
        <f t="shared" ref="AD892:AD895" si="2288">IF(G892=0,"",IF($AD$8="me","me",IF(H892="warranty","free",IF($AD$8="yes","NVP",""))))</f>
        <v/>
      </c>
      <c r="AE892" s="833" t="str">
        <f t="shared" ref="AE892:AE895" si="2289">IF(G892&gt;0,(CONCATENATE((G892)," quantity, ",(A892)," ",B892)),"")</f>
        <v/>
      </c>
      <c r="AF892" s="833"/>
      <c r="AG892" s="833"/>
      <c r="AH892" s="91">
        <f>IF(AD892="free",0,IF(AD892="me",0,IF(G892&gt;0,(VLOOKUP(A892,'Discount Lookup'!J:K,2)*G892),0)))</f>
        <v>0</v>
      </c>
      <c r="AI892" s="92" t="str">
        <f t="shared" si="2236"/>
        <v/>
      </c>
      <c r="AJ892" s="828" t="str">
        <f t="shared" ref="AJ892:AJ895" si="2290">IF(G892=0,"",IF(AD892="me","  delivery-only",IF($AD$8="me","  delivery-only",CONCATENATE(" $",ROUND(AI892/G892,2)," each"))))</f>
        <v/>
      </c>
      <c r="AK892" s="828"/>
      <c r="AL892" s="313" t="str">
        <f t="shared" si="2173"/>
        <v/>
      </c>
      <c r="AM892" s="312"/>
      <c r="AN892" s="101"/>
      <c r="AO892" s="101"/>
      <c r="AP892" s="101"/>
      <c r="AQ892" s="101"/>
      <c r="AR892" s="101"/>
      <c r="AS892" s="101"/>
      <c r="AT892" s="101"/>
    </row>
    <row r="893" spans="1:74" ht="12.95" customHeight="1">
      <c r="A893" s="419">
        <v>7</v>
      </c>
      <c r="B893" s="87" t="s">
        <v>50</v>
      </c>
      <c r="C893" s="128" t="s">
        <v>51</v>
      </c>
      <c r="D893" s="129" t="s">
        <v>54</v>
      </c>
      <c r="E893" s="98">
        <v>155.94999999999999</v>
      </c>
      <c r="F893" s="705" t="s">
        <v>1306</v>
      </c>
      <c r="G893" s="357">
        <v>0</v>
      </c>
      <c r="H893" s="704" t="str">
        <f t="shared" ref="H893:H894" si="2291">IF(G893=0,"",IF(F893="Qty=",IF(G893=1,"plant","plants"),IF(F893&gt;0.0001,"warranty","Error")))</f>
        <v/>
      </c>
      <c r="I893" s="98">
        <f t="shared" ref="I893:I894" si="2292">IF(F893="Qty=",(E893*G893),((E893*(1-F893))*G893))</f>
        <v>0</v>
      </c>
      <c r="J893" s="98">
        <f>IF(H893="warranty",0,(I893*($J$1782)))</f>
        <v>0</v>
      </c>
      <c r="K893" s="831">
        <f t="shared" ref="K893:K894" si="2293">I893+J893</f>
        <v>0</v>
      </c>
      <c r="L893" s="831"/>
      <c r="M893" s="832" t="str">
        <f>IF($H$1784=0,"",IF(G893=0,"",IF(F893="Qty=",CONCATENATE("$",ROUND(K893*(1-$H$1784),2)," with ",($H$1784*100),"% discount"),CONCATENATE("$",ROUND(K893*(1-$H$1784),2)," with ",(($H$1784*100+F893*100)-($H$1784*100*F893)),IF(F893&gt;0,"% discounts",IF($H$1781&gt;0,"% discounts","% discount"))))))</f>
        <v/>
      </c>
      <c r="N893" s="832"/>
      <c r="O893" s="832"/>
      <c r="P893" s="832"/>
      <c r="Q893" s="832"/>
      <c r="R893" s="832"/>
      <c r="S893" s="303">
        <f t="shared" ref="S893:S894" si="2294">E893*G893</f>
        <v>0</v>
      </c>
      <c r="T893" s="541">
        <f>VLOOKUP(A893,'Discount Lookup'!D:E,2,FALSE)*G893</f>
        <v>0</v>
      </c>
      <c r="U893" s="83">
        <f>VLOOKUP(A893,'Discount Lookup'!G:H,2,FALSE)*G893</f>
        <v>0</v>
      </c>
      <c r="V893" s="100">
        <f>E893*($J$1782)*G893</f>
        <v>0</v>
      </c>
      <c r="W893" s="100">
        <f t="shared" ref="W893:W894" si="2295">I893</f>
        <v>0</v>
      </c>
      <c r="X893" s="100" t="b">
        <f>IF(G893&gt;0,IF(AD893="me","",G893))</f>
        <v>0</v>
      </c>
      <c r="Y893" s="201"/>
      <c r="Z893" s="829" t="str">
        <f t="shared" si="2287"/>
        <v/>
      </c>
      <c r="AA893" s="829"/>
      <c r="AB893" s="830" t="str">
        <f>IF(G893=0,"",IF(AD893="free","re-planting",IF(AD893="me","not NVP, by",IF($AD$8="yes",(VLOOKUP(A893,'Discount Lookup'!J:K,2)*G893*(1-$AC$1786)*(1+$AC$1788)),IF(AD893="NVP",(VLOOKUP(A893,'Discount Lookup'!J:K,2)*G893*(1-$AC$1786)*(1+$AC$1788)),IF(AD893="free","re-planting",IF(G893=0,"",IF($AD$8="",IF(AD893="me","not NVP, by",IF(AD893="",IF(G893&gt;0,(VLOOKUP(A893,'Discount Lookup'!J:K,2)*G893*(1-$AC$1786)*(1+$AC$1788)),""),"")),"not NVP, by"))))))))</f>
        <v/>
      </c>
      <c r="AC893" s="830"/>
      <c r="AD893" s="375" t="str">
        <f t="shared" si="2288"/>
        <v/>
      </c>
      <c r="AE893" s="833" t="str">
        <f t="shared" si="2289"/>
        <v/>
      </c>
      <c r="AF893" s="833"/>
      <c r="AG893" s="833"/>
      <c r="AH893" s="91">
        <f>IF(AD893="free",0,IF(AD893="me",0,IF(G893&gt;0,(VLOOKUP(A893,'Discount Lookup'!J:K,2)*G893),0)))</f>
        <v>0</v>
      </c>
      <c r="AI893" s="92" t="str">
        <f t="shared" si="2236"/>
        <v/>
      </c>
      <c r="AJ893" s="828" t="str">
        <f t="shared" si="2290"/>
        <v/>
      </c>
      <c r="AK893" s="828"/>
      <c r="AL893" s="313" t="str">
        <f t="shared" si="2173"/>
        <v/>
      </c>
      <c r="AM893" s="312"/>
      <c r="AN893" s="101"/>
      <c r="AO893" s="101"/>
      <c r="AP893" s="101"/>
      <c r="AQ893" s="101"/>
      <c r="AR893" s="101"/>
      <c r="AS893" s="101"/>
      <c r="AT893" s="101"/>
    </row>
    <row r="894" spans="1:74" ht="12.95" customHeight="1">
      <c r="A894" s="419">
        <v>7</v>
      </c>
      <c r="B894" s="87" t="s">
        <v>50</v>
      </c>
      <c r="C894" s="128" t="s">
        <v>1653</v>
      </c>
      <c r="D894" s="129" t="s">
        <v>54</v>
      </c>
      <c r="E894" s="98">
        <v>224.95</v>
      </c>
      <c r="F894" s="705" t="s">
        <v>1306</v>
      </c>
      <c r="G894" s="357">
        <v>0</v>
      </c>
      <c r="H894" s="704" t="str">
        <f t="shared" si="2291"/>
        <v/>
      </c>
      <c r="I894" s="98">
        <f t="shared" si="2292"/>
        <v>0</v>
      </c>
      <c r="J894" s="98">
        <f>IF(H894="warranty",0,(I894*($J$1782)))</f>
        <v>0</v>
      </c>
      <c r="K894" s="831">
        <f t="shared" si="2293"/>
        <v>0</v>
      </c>
      <c r="L894" s="831"/>
      <c r="M894" s="832" t="str">
        <f>IF($H$1784=0,"",IF(G894=0,"",IF(F894="Qty=",CONCATENATE("$",ROUND(K894*(1-$H$1784),2)," with ",($H$1784*100),"% discount"),CONCATENATE("$",ROUND(K894*(1-$H$1784),2)," with ",(($H$1784*100+F894*100)-($H$1784*100*F894)),IF(F894&gt;0,"% discounts",IF($H$1781&gt;0,"% discounts","% discount"))))))</f>
        <v/>
      </c>
      <c r="N894" s="832"/>
      <c r="O894" s="832"/>
      <c r="P894" s="832"/>
      <c r="Q894" s="832"/>
      <c r="R894" s="832"/>
      <c r="S894" s="303">
        <f t="shared" si="2294"/>
        <v>0</v>
      </c>
      <c r="T894" s="541">
        <f>VLOOKUP(A894,'Discount Lookup'!D:E,2,FALSE)*G894</f>
        <v>0</v>
      </c>
      <c r="U894" s="83">
        <f>VLOOKUP(A894,'Discount Lookup'!G:H,2,FALSE)*G894</f>
        <v>0</v>
      </c>
      <c r="V894" s="100">
        <f>E894*($J$1782)*G894</f>
        <v>0</v>
      </c>
      <c r="W894" s="100">
        <f t="shared" si="2295"/>
        <v>0</v>
      </c>
      <c r="X894" s="100" t="b">
        <f>IF(G894&gt;0,IF(AD894="me","",G894))</f>
        <v>0</v>
      </c>
      <c r="Y894" s="201"/>
      <c r="Z894" s="829" t="str">
        <f t="shared" si="2287"/>
        <v/>
      </c>
      <c r="AA894" s="829"/>
      <c r="AB894" s="830" t="str">
        <f>IF(G894=0,"",IF(AD894="free","re-planting",IF(AD894="me","not NVP, by",IF($AD$8="yes",(VLOOKUP(A894,'Discount Lookup'!J:K,2)*G894*(1-$AC$1786)*(1+$AC$1788)),IF(AD894="NVP",(VLOOKUP(A894,'Discount Lookup'!J:K,2)*G894*(1-$AC$1786)*(1+$AC$1788)),IF(AD894="free","re-planting",IF(G894=0,"",IF($AD$8="",IF(AD894="me","not NVP, by",IF(AD894="",IF(G894&gt;0,(VLOOKUP(A894,'Discount Lookup'!J:K,2)*G894*(1-$AC$1786)*(1+$AC$1788)),""),"")),"not NVP, by"))))))))</f>
        <v/>
      </c>
      <c r="AC894" s="830"/>
      <c r="AD894" s="375" t="str">
        <f t="shared" si="2288"/>
        <v/>
      </c>
      <c r="AE894" s="833" t="str">
        <f t="shared" si="2289"/>
        <v/>
      </c>
      <c r="AF894" s="833"/>
      <c r="AG894" s="833"/>
      <c r="AH894" s="91">
        <f>IF(AD894="free",0,IF(AD894="me",0,IF(G894&gt;0,(VLOOKUP(A894,'Discount Lookup'!J:K,2)*G894),0)))</f>
        <v>0</v>
      </c>
      <c r="AI894" s="92" t="str">
        <f t="shared" si="2236"/>
        <v/>
      </c>
      <c r="AJ894" s="828" t="str">
        <f t="shared" si="2290"/>
        <v/>
      </c>
      <c r="AK894" s="828"/>
      <c r="AL894" s="313" t="str">
        <f t="shared" si="2173"/>
        <v/>
      </c>
      <c r="AM894" s="312"/>
      <c r="AN894" s="101"/>
      <c r="AO894" s="101"/>
      <c r="AP894" s="101"/>
      <c r="AQ894" s="101"/>
      <c r="AR894" s="101"/>
      <c r="AS894" s="101"/>
      <c r="AT894" s="101"/>
    </row>
    <row r="895" spans="1:74" ht="12.95" customHeight="1">
      <c r="A895" s="468"/>
      <c r="B895" s="149" t="s">
        <v>1657</v>
      </c>
      <c r="C895" s="117"/>
      <c r="D895" s="118"/>
      <c r="E895" s="119"/>
      <c r="F895" s="711"/>
      <c r="G895" s="356"/>
      <c r="H895" s="745"/>
      <c r="I895" s="119"/>
      <c r="J895" s="119"/>
      <c r="K895" s="609"/>
      <c r="L895" s="609"/>
      <c r="M895" s="121"/>
      <c r="N895" s="122"/>
      <c r="O895" s="123"/>
      <c r="P895" s="124"/>
      <c r="Q895" s="124"/>
      <c r="R895" s="83"/>
      <c r="S895" s="82"/>
      <c r="T895" s="540"/>
      <c r="U895" s="83"/>
      <c r="V895" s="100"/>
      <c r="W895" s="100"/>
      <c r="X895" s="100"/>
      <c r="Y895" s="201"/>
      <c r="Z895" s="829" t="str">
        <f t="shared" si="2287"/>
        <v/>
      </c>
      <c r="AA895" s="829"/>
      <c r="AB895" s="830" t="str">
        <f>IF(G895=0,"",IF(AD895="free","re-planting",IF(AD895="me","not NVP, by",IF($AD$8="yes",(VLOOKUP(A895,'Discount Lookup'!J:K,2)*G895*(1-$AC$1786)*(1+$AC$1788)),IF(AD895="NVP",(VLOOKUP(A895,'Discount Lookup'!J:K,2)*G895*(1-$AC$1786)*(1+$AC$1788)),IF(AD895="free","re-planting",IF(G895=0,"",IF($AD$8="",IF(AD895="me","not NVP, by",IF(AD895="",IF(G895&gt;0,(VLOOKUP(A895,'Discount Lookup'!J:K,2)*G895*(1-$AC$1786)*(1+$AC$1788)),""),"")),"not NVP, by"))))))))</f>
        <v/>
      </c>
      <c r="AC895" s="830"/>
      <c r="AD895" s="375" t="str">
        <f t="shared" si="2288"/>
        <v/>
      </c>
      <c r="AE895" s="833" t="str">
        <f t="shared" si="2289"/>
        <v/>
      </c>
      <c r="AF895" s="833"/>
      <c r="AG895" s="833"/>
      <c r="AH895" s="91">
        <f>IF(AD895="free",0,IF(AD895="me",0,IF(G895&gt;0,(VLOOKUP(A895,'Discount Lookup'!J:K,2)*G895),0)))</f>
        <v>0</v>
      </c>
      <c r="AI895" s="92" t="str">
        <f t="shared" si="2236"/>
        <v/>
      </c>
      <c r="AJ895" s="828" t="str">
        <f t="shared" si="2290"/>
        <v/>
      </c>
      <c r="AK895" s="828"/>
      <c r="AL895" s="313" t="str">
        <f t="shared" si="2173"/>
        <v/>
      </c>
      <c r="AM895" s="312"/>
      <c r="AN895" s="101"/>
      <c r="AO895" s="101"/>
      <c r="AP895" s="101"/>
      <c r="AQ895" s="101"/>
      <c r="AR895" s="101"/>
      <c r="AS895" s="101"/>
      <c r="AT895" s="101"/>
    </row>
    <row r="896" spans="1:74" ht="12.95" customHeight="1">
      <c r="A896" s="896" t="s">
        <v>526</v>
      </c>
      <c r="B896" s="897"/>
      <c r="C896" s="897"/>
      <c r="D896" s="897"/>
      <c r="E896" s="897"/>
      <c r="F896" s="897"/>
      <c r="G896" s="897"/>
      <c r="H896" s="776" t="s">
        <v>527</v>
      </c>
      <c r="I896" s="88" t="s">
        <v>235</v>
      </c>
      <c r="J896" s="126"/>
      <c r="K896" s="603" t="s">
        <v>45</v>
      </c>
      <c r="L896" s="601" t="s">
        <v>46</v>
      </c>
      <c r="M896" s="86"/>
      <c r="N896" s="87" t="s">
        <v>69</v>
      </c>
      <c r="O896" s="87"/>
      <c r="P896" s="88"/>
      <c r="Q896" s="88"/>
      <c r="R896" s="86"/>
      <c r="S896" s="125"/>
      <c r="T896" s="543"/>
      <c r="U896" s="112"/>
      <c r="V896" s="100" t="b">
        <f>IF(G896&gt;0,IF(AD896="me","",G896))</f>
        <v>0</v>
      </c>
      <c r="W896" s="100"/>
      <c r="X896" s="100"/>
      <c r="Y896" s="201"/>
      <c r="Z896" s="829" t="str">
        <f>IF(G896=0,"",IF(AD896="me","",IF($AD$8="me","",IF(AD896="free","warranty",IF($AD$8="yes","NVP planting:","to NVP install:")))))</f>
        <v/>
      </c>
      <c r="AA896" s="829"/>
      <c r="AB896" s="830" t="str">
        <f>IF(G896=0,"",IF(AD896="free","re-planting",IF(AD896="me","not NVP, by",IF($AD$8="yes",(VLOOKUP(A896,'Discount Lookup'!J:K,2)*G896*(1-$AC$1786)*(1+$AC$1788)),IF(AD896="NVP",(VLOOKUP(A896,'Discount Lookup'!J:K,2)*G896*(1-$AC$1786)*(1+$AC$1788)),IF(AD896="free","re-planting",IF(G896=0,"",IF($AD$8="",IF(AD896="me","not NVP, by",IF(AD896="",IF(G896&gt;0,(VLOOKUP(A896,'Discount Lookup'!J:K,2)*G896*(1-$AC$1786)*(1+$AC$1788)),""),"")),"not NVP, by"))))))))</f>
        <v/>
      </c>
      <c r="AC896" s="830"/>
      <c r="AD896" s="375" t="str">
        <f>IF(G896=0,"",IF($AD$8="me","me",IF(H896="warranty","free",IF($AD$8="yes","NVP",""))))</f>
        <v/>
      </c>
      <c r="AE896" s="833" t="str">
        <f>IF(G896&gt;0,(CONCATENATE((G896)," quantity, ",(A896)," ",B896)),"")</f>
        <v/>
      </c>
      <c r="AF896" s="833"/>
      <c r="AG896" s="833"/>
      <c r="AH896" s="91">
        <f>IF(AD896="free",0,IF(AD896="me",0,IF(G896&gt;0,(VLOOKUP(A896,'Discount Lookup'!J:K,2)*G896),0)))</f>
        <v>0</v>
      </c>
      <c r="AI896" s="92" t="str">
        <f t="shared" si="2236"/>
        <v/>
      </c>
      <c r="AJ896" s="828" t="str">
        <f>IF(G896=0,"",IF(AD896="me","  delivery-only",IF($AD$8="me","  delivery-only",CONCATENATE(" $",ROUND(AI896/G896,2)," each"))))</f>
        <v/>
      </c>
      <c r="AK896" s="828"/>
      <c r="AL896" s="313" t="str">
        <f t="shared" si="2173"/>
        <v/>
      </c>
      <c r="AM896" s="312"/>
      <c r="AN896" s="101"/>
      <c r="AO896" s="101"/>
      <c r="AP896" s="101"/>
      <c r="AQ896" s="101"/>
      <c r="AR896" s="101"/>
      <c r="AS896" s="101"/>
      <c r="AT896" s="101"/>
    </row>
    <row r="897" spans="1:46" ht="12.95" customHeight="1">
      <c r="A897" s="419">
        <v>6</v>
      </c>
      <c r="B897" s="87" t="s">
        <v>50</v>
      </c>
      <c r="C897" s="128" t="s">
        <v>567</v>
      </c>
      <c r="D897" s="129" t="s">
        <v>87</v>
      </c>
      <c r="E897" s="98">
        <v>115.95</v>
      </c>
      <c r="F897" s="705" t="s">
        <v>1306</v>
      </c>
      <c r="G897" s="357">
        <v>0</v>
      </c>
      <c r="H897" s="704" t="str">
        <f t="shared" ref="H897" si="2296">IF(G897=0,"",IF(F897="Qty=",IF(G897=1,"plant","plants"),IF(F897&gt;0.0001,"warranty","Error")))</f>
        <v/>
      </c>
      <c r="I897" s="98">
        <f t="shared" ref="I897" si="2297">IF(F897="Qty=",(E897*G897),((E897*(1-F897))*G897))</f>
        <v>0</v>
      </c>
      <c r="J897" s="98">
        <f>IF(H897="warranty",0,(I897*($J$1782)))</f>
        <v>0</v>
      </c>
      <c r="K897" s="831">
        <f t="shared" ref="K897" si="2298">I897+J897</f>
        <v>0</v>
      </c>
      <c r="L897" s="831"/>
      <c r="M897" s="832" t="str">
        <f>IF($H$1784=0,"",IF(G897=0,"",IF(F897="Qty=",CONCATENATE("$",ROUND(K897*(1-$H$1784),2)," with ",($H$1784*100),"% discount"),CONCATENATE("$",ROUND(K897*(1-$H$1784),2)," with ",(($H$1784*100+F897*100)-($H$1784*100*F897)),IF(F897&gt;0,"% discounts",IF($H$1781&gt;0,"% discounts","% discount"))))))</f>
        <v/>
      </c>
      <c r="N897" s="832"/>
      <c r="O897" s="832"/>
      <c r="P897" s="832"/>
      <c r="Q897" s="832"/>
      <c r="R897" s="832"/>
      <c r="S897" s="303">
        <f t="shared" ref="S897" si="2299">E897*G897</f>
        <v>0</v>
      </c>
      <c r="T897" s="541">
        <f>VLOOKUP(A897,'Discount Lookup'!D:E,2,FALSE)*G897</f>
        <v>0</v>
      </c>
      <c r="U897" s="83">
        <f>VLOOKUP(A897,'Discount Lookup'!G:H,2,FALSE)*G897</f>
        <v>0</v>
      </c>
      <c r="V897" s="100">
        <f>E897*($J$1782)*G897</f>
        <v>0</v>
      </c>
      <c r="W897" s="100">
        <f t="shared" ref="W897" si="2300">I897</f>
        <v>0</v>
      </c>
      <c r="X897" s="100" t="b">
        <f>IF(G897&gt;0,IF(AD897="me","",G897))</f>
        <v>0</v>
      </c>
      <c r="Y897" s="201"/>
      <c r="Z897" s="829" t="str">
        <f t="shared" ref="Z897" si="2301">IF(G897=0,"",IF(AD897="me","",IF($AD$8="me","",IF(AD897="free","warranty",IF($AD$8="yes","NVP planting:","to NVP install:")))))</f>
        <v/>
      </c>
      <c r="AA897" s="829"/>
      <c r="AB897" s="830" t="str">
        <f>IF(G897=0,"",IF(AD897="free","re-planting",IF(AD897="me","not NVP, by",IF($AD$8="yes",(VLOOKUP(A897,'Discount Lookup'!J:K,2)*G897*(1-$AC$1786)*(1+$AC$1788)),IF(AD897="NVP",(VLOOKUP(A897,'Discount Lookup'!J:K,2)*G897*(1-$AC$1786)*(1+$AC$1788)),IF(AD897="free","re-planting",IF(G897=0,"",IF($AD$8="",IF(AD897="me","not NVP, by",IF(AD897="",IF(G897&gt;0,(VLOOKUP(A897,'Discount Lookup'!J:K,2)*G897*(1-$AC$1786)*(1+$AC$1788)),""),"")),"not NVP, by"))))))))</f>
        <v/>
      </c>
      <c r="AC897" s="830"/>
      <c r="AD897" s="375" t="str">
        <f>IF(G897=0,"",IF($AD$8="me","me",IF(H897="warranty","free",IF($AD$8="yes","NVP",""))))</f>
        <v/>
      </c>
      <c r="AE897" s="833" t="str">
        <f t="shared" ref="AE897" si="2302">IF(G897&gt;0,(CONCATENATE((G897)," quantity, ",(A897)," ",B897)),"")</f>
        <v/>
      </c>
      <c r="AF897" s="833"/>
      <c r="AG897" s="833"/>
      <c r="AH897" s="91">
        <f>IF(AD897="free",0,IF(AD897="me",0,IF(G897&gt;0,(VLOOKUP(A897,'Discount Lookup'!J:K,2)*G897),0)))</f>
        <v>0</v>
      </c>
      <c r="AI897" s="92" t="str">
        <f t="shared" si="2236"/>
        <v/>
      </c>
      <c r="AJ897" s="828" t="str">
        <f t="shared" ref="AJ897" si="2303">IF(G897=0,"",IF(AD897="me","  delivery-only",IF($AD$8="me","  delivery-only",CONCATENATE(" $",ROUND(AI897/G897,2)," each"))))</f>
        <v/>
      </c>
      <c r="AK897" s="828"/>
      <c r="AL897" s="313" t="str">
        <f t="shared" si="2173"/>
        <v/>
      </c>
      <c r="AM897" s="312"/>
      <c r="AN897" s="101"/>
      <c r="AO897" s="101"/>
      <c r="AP897" s="101"/>
      <c r="AQ897" s="101"/>
      <c r="AR897" s="101"/>
      <c r="AS897" s="101"/>
      <c r="AT897" s="101"/>
    </row>
    <row r="898" spans="1:46" ht="12.95" customHeight="1">
      <c r="A898" s="419">
        <v>6</v>
      </c>
      <c r="B898" s="87" t="s">
        <v>50</v>
      </c>
      <c r="C898" s="128" t="s">
        <v>567</v>
      </c>
      <c r="D898" s="129" t="s">
        <v>94</v>
      </c>
      <c r="E898" s="98">
        <v>117.95</v>
      </c>
      <c r="F898" s="705" t="s">
        <v>1306</v>
      </c>
      <c r="G898" s="357">
        <v>0</v>
      </c>
      <c r="H898" s="704" t="str">
        <f t="shared" ref="H898" si="2304">IF(G898=0,"",IF(F898="Qty=",IF(G898=1,"plant","plants"),IF(F898&gt;0.0001,"warranty","Error")))</f>
        <v/>
      </c>
      <c r="I898" s="98">
        <f t="shared" ref="I898" si="2305">IF(F898="Qty=",(E898*G898),((E898*(1-F898))*G898))</f>
        <v>0</v>
      </c>
      <c r="J898" s="98">
        <f>IF(H898="warranty",0,(I898*($J$1782)))</f>
        <v>0</v>
      </c>
      <c r="K898" s="831">
        <f t="shared" ref="K898" si="2306">I898+J898</f>
        <v>0</v>
      </c>
      <c r="L898" s="831"/>
      <c r="M898" s="832" t="str">
        <f>IF($H$1784=0,"",IF(G898=0,"",IF(F898="Qty=",CONCATENATE("$",ROUND(K898*(1-$H$1784),2)," with ",($H$1784*100),"% discount"),CONCATENATE("$",ROUND(K898*(1-$H$1784),2)," with ",(($H$1784*100+F898*100)-($H$1784*100*F898)),IF(F898&gt;0,"% discounts",IF($H$1781&gt;0,"% discounts","% discount"))))))</f>
        <v/>
      </c>
      <c r="N898" s="832"/>
      <c r="O898" s="832"/>
      <c r="P898" s="832"/>
      <c r="Q898" s="832"/>
      <c r="R898" s="832"/>
      <c r="S898" s="303">
        <f t="shared" ref="S898" si="2307">E898*G898</f>
        <v>0</v>
      </c>
      <c r="T898" s="541">
        <f>VLOOKUP(A898,'Discount Lookup'!D:E,2,FALSE)*G898</f>
        <v>0</v>
      </c>
      <c r="U898" s="83">
        <f>VLOOKUP(A898,'Discount Lookup'!G:H,2,FALSE)*G898</f>
        <v>0</v>
      </c>
      <c r="V898" s="100">
        <f>E898*($J$1782)*G898</f>
        <v>0</v>
      </c>
      <c r="W898" s="100">
        <f t="shared" ref="W898" si="2308">I898</f>
        <v>0</v>
      </c>
      <c r="X898" s="100" t="b">
        <f>IF(G898&gt;0,IF(AD898="me","",G898))</f>
        <v>0</v>
      </c>
      <c r="Y898" s="201"/>
      <c r="Z898" s="829" t="str">
        <f t="shared" ref="Z898" si="2309">IF(G898=0,"",IF(AD898="me","",IF($AD$8="me","",IF(AD898="free","warranty",IF($AD$8="yes","NVP planting:","to NVP install:")))))</f>
        <v/>
      </c>
      <c r="AA898" s="829"/>
      <c r="AB898" s="830" t="str">
        <f>IF(G898=0,"",IF(AD898="free","re-planting",IF(AD898="me","not NVP, by",IF($AD$8="yes",(VLOOKUP(A898,'Discount Lookup'!J:K,2)*G898*(1-$AC$1786)*(1+$AC$1788)),IF(AD898="NVP",(VLOOKUP(A898,'Discount Lookup'!J:K,2)*G898*(1-$AC$1786)*(1+$AC$1788)),IF(AD898="free","re-planting",IF(G898=0,"",IF($AD$8="",IF(AD898="me","not NVP, by",IF(AD898="",IF(G898&gt;0,(VLOOKUP(A898,'Discount Lookup'!J:K,2)*G898*(1-$AC$1786)*(1+$AC$1788)),""),"")),"not NVP, by"))))))))</f>
        <v/>
      </c>
      <c r="AC898" s="830"/>
      <c r="AD898" s="375" t="str">
        <f>IF(G898=0,"",IF($AD$8="me","me",IF(H898="warranty","free",IF($AD$8="yes","NVP",""))))</f>
        <v/>
      </c>
      <c r="AE898" s="833" t="str">
        <f t="shared" ref="AE898" si="2310">IF(G898&gt;0,(CONCATENATE((G898)," quantity, ",(A898)," ",B898)),"")</f>
        <v/>
      </c>
      <c r="AF898" s="833"/>
      <c r="AG898" s="833"/>
      <c r="AH898" s="91">
        <f>IF(AD898="free",0,IF(AD898="me",0,IF(G898&gt;0,(VLOOKUP(A898,'Discount Lookup'!J:K,2)*G898),0)))</f>
        <v>0</v>
      </c>
      <c r="AI898" s="92" t="str">
        <f t="shared" si="2236"/>
        <v/>
      </c>
      <c r="AJ898" s="828" t="str">
        <f t="shared" ref="AJ898" si="2311">IF(G898=0,"",IF(AD898="me","  delivery-only",IF($AD$8="me","  delivery-only",CONCATENATE(" $",ROUND(AI898/G898,2)," each"))))</f>
        <v/>
      </c>
      <c r="AK898" s="828"/>
      <c r="AL898" s="313" t="str">
        <f t="shared" si="2173"/>
        <v/>
      </c>
      <c r="AM898" s="312"/>
      <c r="AN898" s="101"/>
      <c r="AO898" s="101"/>
      <c r="AP898" s="101"/>
      <c r="AQ898" s="101"/>
      <c r="AR898" s="101"/>
      <c r="AS898" s="101"/>
      <c r="AT898" s="101"/>
    </row>
    <row r="899" spans="1:46" ht="12.95" customHeight="1">
      <c r="A899" s="468"/>
      <c r="B899" s="149" t="s">
        <v>528</v>
      </c>
      <c r="C899" s="118"/>
      <c r="D899" s="118"/>
      <c r="E899" s="119"/>
      <c r="F899" s="711"/>
      <c r="G899" s="358"/>
      <c r="H899" s="745"/>
      <c r="I899" s="119"/>
      <c r="J899" s="119"/>
      <c r="K899" s="609"/>
      <c r="L899" s="609"/>
      <c r="M899" s="121"/>
      <c r="N899" s="122" t="s">
        <v>82</v>
      </c>
      <c r="O899" s="123"/>
      <c r="P899" s="124">
        <f>VLOOKUP(A899,'Discount Lookup'!G:H,2,FALSE)*G899</f>
        <v>0</v>
      </c>
      <c r="Q899" s="124"/>
      <c r="R899" s="83">
        <f>IF(F899=0,E899*($J$1782)*G899,0)</f>
        <v>0</v>
      </c>
      <c r="S899" s="82">
        <f>E899*G899</f>
        <v>0</v>
      </c>
      <c r="T899" s="540"/>
      <c r="U899" s="83"/>
      <c r="V899" s="100" t="b">
        <f>IF(G899&gt;0,IF(AD899="me","",G899))</f>
        <v>0</v>
      </c>
      <c r="W899" s="100"/>
      <c r="X899" s="100"/>
      <c r="Y899" s="201"/>
      <c r="Z899" s="829" t="str">
        <f>IF(G899=0,"",IF(AD899="me","",IF($AD$8="me","",IF(AD899="free","warranty",IF($AD$8="yes","NVP planting:","to NVP install:")))))</f>
        <v/>
      </c>
      <c r="AA899" s="829"/>
      <c r="AB899" s="830" t="str">
        <f>IF(G899=0,"",IF(AD899="free","re-planting",IF(AD899="me","not NVP, by",IF($AD$8="yes",(VLOOKUP(A899,'Discount Lookup'!J:K,2)*G899*(1-$AC$1786)*(1+$AC$1788)),IF(AD899="NVP",(VLOOKUP(A899,'Discount Lookup'!J:K,2)*G899*(1-$AC$1786)*(1+$AC$1788)),IF(AD899="free","re-planting",IF(G899=0,"",IF($AD$8="",IF(AD899="me","not NVP, by",IF(AD899="",IF(G899&gt;0,(VLOOKUP(A899,'Discount Lookup'!J:K,2)*G899*(1-$AC$1786)*(1+$AC$1788)),""),"")),"not NVP, by"))))))))</f>
        <v/>
      </c>
      <c r="AC899" s="830"/>
      <c r="AD899" s="375" t="str">
        <f>IF(G899=0,"",IF($AD$8="me","me",IF(H899="warranty","free",IF($AD$8="yes","NVP",""))))</f>
        <v/>
      </c>
      <c r="AE899" s="833" t="str">
        <f>IF(G899&gt;0,(CONCATENATE((G899)," quantity, ",(A899)," ",B899)),"")</f>
        <v/>
      </c>
      <c r="AF899" s="833"/>
      <c r="AG899" s="833"/>
      <c r="AH899" s="91">
        <f>IF(AD899="free",0,IF(AD899="me",0,IF(G899&gt;0,(VLOOKUP(A899,'Discount Lookup'!J:K,2)*G899),0)))</f>
        <v>0</v>
      </c>
      <c r="AI899" s="92" t="str">
        <f t="shared" si="2236"/>
        <v/>
      </c>
      <c r="AJ899" s="828" t="str">
        <f>IF(G899=0,"",IF(AD899="me","  delivery-only",IF($AD$8="me","  delivery-only",CONCATENATE(" $",ROUND(AI899/G899,2)," each"))))</f>
        <v/>
      </c>
      <c r="AK899" s="828"/>
      <c r="AL899" s="313" t="str">
        <f t="shared" si="2173"/>
        <v/>
      </c>
      <c r="AM899" s="312"/>
      <c r="AN899" s="101"/>
      <c r="AO899" s="101"/>
      <c r="AP899" s="101"/>
      <c r="AQ899" s="101"/>
      <c r="AR899" s="101"/>
      <c r="AS899" s="101"/>
      <c r="AT899" s="101"/>
    </row>
    <row r="900" spans="1:46" ht="12.95" customHeight="1">
      <c r="A900" s="863" t="s">
        <v>529</v>
      </c>
      <c r="B900" s="864"/>
      <c r="C900" s="864"/>
      <c r="D900" s="864"/>
      <c r="E900" s="864"/>
      <c r="F900" s="864"/>
      <c r="G900" s="864"/>
      <c r="H900" s="776" t="s">
        <v>527</v>
      </c>
      <c r="I900" s="88" t="s">
        <v>174</v>
      </c>
      <c r="J900" s="86"/>
      <c r="K900" s="603" t="s">
        <v>45</v>
      </c>
      <c r="L900" s="601" t="s">
        <v>46</v>
      </c>
      <c r="M900" s="86"/>
      <c r="N900" s="87" t="s">
        <v>75</v>
      </c>
      <c r="O900" s="87"/>
      <c r="P900" s="88"/>
      <c r="Q900" s="88"/>
      <c r="R900" s="86"/>
      <c r="S900" s="125"/>
      <c r="T900" s="543"/>
      <c r="U900" s="112"/>
      <c r="V900" s="100" t="b">
        <f>IF(G900&gt;0,IF(AD900="me","",G900))</f>
        <v>0</v>
      </c>
      <c r="W900" s="100"/>
      <c r="X900" s="100"/>
      <c r="Y900" s="201"/>
      <c r="Z900" s="829" t="str">
        <f t="shared" ref="Z900:Z950" si="2312">IF(G900=0,"",IF(AD900="me","",IF($AD$8="me","",IF(AD900="free","warranty",IF($AD$8="yes","NVP planting:","to NVP install:")))))</f>
        <v/>
      </c>
      <c r="AA900" s="829"/>
      <c r="AB900" s="830" t="str">
        <f>IF(G900=0,"",IF(AD900="free","re-planting",IF(AD900="me","not NVP, by",IF($AD$8="yes",(VLOOKUP(A900,'Discount Lookup'!J:K,2)*G900*(1-$AC$1786)*(1+$AC$1788)),IF(AD900="NVP",(VLOOKUP(A900,'Discount Lookup'!J:K,2)*G900*(1-$AC$1786)*(1+$AC$1788)),IF(AD900="free","re-planting",IF(G900=0,"",IF($AD$8="",IF(AD900="me","not NVP, by",IF(AD900="",IF(G900&gt;0,(VLOOKUP(A900,'Discount Lookup'!J:K,2)*G900*(1-$AC$1786)*(1+$AC$1788)),""),"")),"not NVP, by"))))))))</f>
        <v/>
      </c>
      <c r="AC900" s="830"/>
      <c r="AD900" s="375" t="str">
        <f t="shared" si="2249"/>
        <v/>
      </c>
      <c r="AE900" s="833" t="str">
        <f t="shared" si="2180"/>
        <v/>
      </c>
      <c r="AF900" s="833"/>
      <c r="AG900" s="833"/>
      <c r="AH900" s="91">
        <f>IF(AD900="free",0,IF(AD900="me",0,IF(G900&gt;0,(VLOOKUP(A900,'Discount Lookup'!J:K,2)*G900),0)))</f>
        <v>0</v>
      </c>
      <c r="AI900" s="92" t="str">
        <f t="shared" si="2236"/>
        <v/>
      </c>
      <c r="AJ900" s="828" t="str">
        <f t="shared" ref="AJ900:AJ950" si="2313">IF(G900=0,"",IF(AD900="me","  delivery-only",IF($AD$8="me","  delivery-only",CONCATENATE(" $",ROUND(AI900/G900,2)," each"))))</f>
        <v/>
      </c>
      <c r="AK900" s="828"/>
      <c r="AL900" s="313" t="str">
        <f t="shared" si="2173"/>
        <v/>
      </c>
      <c r="AM900" s="312"/>
      <c r="AN900" s="101"/>
      <c r="AO900" s="101"/>
      <c r="AP900" s="101"/>
      <c r="AQ900" s="101"/>
      <c r="AR900" s="101"/>
      <c r="AS900" s="101"/>
      <c r="AT900" s="101"/>
    </row>
    <row r="901" spans="1:46" ht="12.95" customHeight="1">
      <c r="A901" s="419">
        <v>3</v>
      </c>
      <c r="B901" s="87" t="s">
        <v>50</v>
      </c>
      <c r="C901" s="128" t="s">
        <v>99</v>
      </c>
      <c r="D901" s="129" t="s">
        <v>63</v>
      </c>
      <c r="E901" s="98">
        <v>40.950000000000003</v>
      </c>
      <c r="F901" s="705" t="s">
        <v>1306</v>
      </c>
      <c r="G901" s="357">
        <v>0</v>
      </c>
      <c r="H901" s="704" t="str">
        <f t="shared" ref="H901:H902" si="2314">IF(G901=0,"",IF(F901="Qty=",IF(G901=1,"plant","plants"),IF(F901&gt;0.0001,"warranty","Error")))</f>
        <v/>
      </c>
      <c r="I901" s="98">
        <f t="shared" ref="I901:I902" si="2315">IF(F901="Qty=",(E901*G901),((E901*(1-F901))*G901))</f>
        <v>0</v>
      </c>
      <c r="J901" s="98">
        <f>IF(H901="warranty",0,(I901*($J$1782)))</f>
        <v>0</v>
      </c>
      <c r="K901" s="831">
        <f t="shared" ref="K901:K903" si="2316">I901+J901</f>
        <v>0</v>
      </c>
      <c r="L901" s="831"/>
      <c r="M901" s="832" t="str">
        <f>IF($H$1784=0,"",IF(G901=0,"",IF(F901="Qty=",CONCATENATE("$",ROUND(K901*(1-$H$1784),2)," with ",($H$1784*100),"% discount"),CONCATENATE("$",ROUND(K901*(1-$H$1784),2)," with ",(($H$1784*100+F901*100)-($H$1784*100*F901)),IF(F901&gt;0,"% discounts",IF($H$1781&gt;0,"% discounts","% discount"))))))</f>
        <v/>
      </c>
      <c r="N901" s="832"/>
      <c r="O901" s="832"/>
      <c r="P901" s="832"/>
      <c r="Q901" s="832"/>
      <c r="R901" s="832"/>
      <c r="S901" s="303">
        <f t="shared" ref="S901:S902" si="2317">E901*G901</f>
        <v>0</v>
      </c>
      <c r="T901" s="541">
        <f>VLOOKUP(A901,'Discount Lookup'!D:E,2,FALSE)*G901</f>
        <v>0</v>
      </c>
      <c r="U901" s="83">
        <f>VLOOKUP(A901,'Discount Lookup'!G:H,2,FALSE)*G901</f>
        <v>0</v>
      </c>
      <c r="V901" s="100">
        <f>E901*($J$1782)*G901</f>
        <v>0</v>
      </c>
      <c r="W901" s="100">
        <f t="shared" ref="W901:W902" si="2318">I901</f>
        <v>0</v>
      </c>
      <c r="X901" s="100" t="b">
        <f t="shared" ref="X901:X902" si="2319">IF(G901&gt;0,IF(AD901="me","",G901))</f>
        <v>0</v>
      </c>
      <c r="Y901" s="201"/>
      <c r="Z901" s="829" t="str">
        <f t="shared" ref="Z901:Z902" si="2320">IF(G901=0,"",IF(AD901="me","",IF($AD$8="me","",IF(AD901="free","warranty",IF($AD$8="yes","NVP planting:","to NVP install:")))))</f>
        <v/>
      </c>
      <c r="AA901" s="829"/>
      <c r="AB901" s="830" t="str">
        <f>IF(G901=0,"",IF(AD901="free","re-planting",IF(AD901="me","not NVP, by",IF($AD$8="yes",(VLOOKUP(A901,'Discount Lookup'!J:K,2)*G901*(1-$AC$1786)*(1+$AC$1788)),IF(AD901="NVP",(VLOOKUP(A901,'Discount Lookup'!J:K,2)*G901*(1-$AC$1786)*(1+$AC$1788)),IF(AD901="free","re-planting",IF(G901=0,"",IF($AD$8="",IF(AD901="me","not NVP, by",IF(AD901="",IF(G901&gt;0,(VLOOKUP(A901,'Discount Lookup'!J:K,2)*G901*(1-$AC$1786)*(1+$AC$1788)),""),"")),"not NVP, by"))))))))</f>
        <v/>
      </c>
      <c r="AC901" s="830"/>
      <c r="AD901" s="375" t="str">
        <f t="shared" si="2249"/>
        <v/>
      </c>
      <c r="AE901" s="833" t="str">
        <f t="shared" ref="AE901:AE902" si="2321">IF(G901&gt;0,(CONCATENATE((G901)," quantity, ",(A901)," ",B901)),"")</f>
        <v/>
      </c>
      <c r="AF901" s="833"/>
      <c r="AG901" s="833"/>
      <c r="AH901" s="91">
        <f>IF(AD901="free",0,IF(AD901="me",0,IF(G901&gt;0,(VLOOKUP(A901,'Discount Lookup'!J:K,2)*G901),0)))</f>
        <v>0</v>
      </c>
      <c r="AI901" s="92" t="str">
        <f t="shared" ref="AI901:AI931" si="2322">IF(G901=0,"",IF(AD901="free",(K901*(1-$H$1784)),IF($AD$8="me",(K901*(1-$H$1784)),IF(AD901="me",(K901*(1-$H$1784)),(K901*(1-$H$1784))+AB901))))</f>
        <v/>
      </c>
      <c r="AJ901" s="828" t="str">
        <f t="shared" ref="AJ901:AJ902" si="2323">IF(G901=0,"",IF(AD901="me","  delivery-only",IF($AD$8="me","  delivery-only",CONCATENATE(" $",ROUND(AI901/G901,2)," each"))))</f>
        <v/>
      </c>
      <c r="AK901" s="828"/>
      <c r="AL901" s="313" t="str">
        <f t="shared" si="2173"/>
        <v/>
      </c>
      <c r="AM901" s="312"/>
      <c r="AN901" s="101"/>
      <c r="AO901" s="101"/>
      <c r="AP901" s="101"/>
      <c r="AQ901" s="101"/>
      <c r="AR901" s="101"/>
      <c r="AS901" s="101"/>
      <c r="AT901" s="101"/>
    </row>
    <row r="902" spans="1:46" ht="12.95" customHeight="1">
      <c r="A902" s="419">
        <v>7</v>
      </c>
      <c r="B902" s="87" t="s">
        <v>50</v>
      </c>
      <c r="C902" s="128" t="s">
        <v>135</v>
      </c>
      <c r="D902" s="129" t="s">
        <v>63</v>
      </c>
      <c r="E902" s="98">
        <v>102.95</v>
      </c>
      <c r="F902" s="705" t="s">
        <v>1306</v>
      </c>
      <c r="G902" s="357">
        <v>0</v>
      </c>
      <c r="H902" s="704" t="str">
        <f t="shared" si="2314"/>
        <v/>
      </c>
      <c r="I902" s="98">
        <f t="shared" si="2315"/>
        <v>0</v>
      </c>
      <c r="J902" s="98">
        <f>IF(H902="warranty",0,(I902*($J$1782)))</f>
        <v>0</v>
      </c>
      <c r="K902" s="831">
        <f t="shared" si="2316"/>
        <v>0</v>
      </c>
      <c r="L902" s="831"/>
      <c r="M902" s="832" t="str">
        <f>IF($H$1784=0,"",IF(G902=0,"",IF(F902="Qty=",CONCATENATE("$",ROUND(K902*(1-$H$1784),2)," with ",($H$1784*100),"% discount"),CONCATENATE("$",ROUND(K902*(1-$H$1784),2)," with ",(($H$1784*100+F902*100)-($H$1784*100*F902)),IF(F902&gt;0,"% discounts",IF($H$1781&gt;0,"% discounts","% discount"))))))</f>
        <v/>
      </c>
      <c r="N902" s="832"/>
      <c r="O902" s="832"/>
      <c r="P902" s="832"/>
      <c r="Q902" s="832"/>
      <c r="R902" s="832"/>
      <c r="S902" s="303">
        <f t="shared" si="2317"/>
        <v>0</v>
      </c>
      <c r="T902" s="541">
        <f>VLOOKUP(A902,'Discount Lookup'!D:E,2,FALSE)*G902</f>
        <v>0</v>
      </c>
      <c r="U902" s="83">
        <f>VLOOKUP(A902,'Discount Lookup'!G:H,2,FALSE)*G902</f>
        <v>0</v>
      </c>
      <c r="V902" s="100">
        <f>E902*($J$1782)*G902</f>
        <v>0</v>
      </c>
      <c r="W902" s="100">
        <f t="shared" si="2318"/>
        <v>0</v>
      </c>
      <c r="X902" s="100" t="b">
        <f t="shared" si="2319"/>
        <v>0</v>
      </c>
      <c r="Y902" s="201"/>
      <c r="Z902" s="829" t="str">
        <f t="shared" si="2320"/>
        <v/>
      </c>
      <c r="AA902" s="829"/>
      <c r="AB902" s="830" t="str">
        <f>IF(G902=0,"",IF(AD902="free","re-planting",IF(AD902="me","not NVP, by",IF($AD$8="yes",(VLOOKUP(A902,'Discount Lookup'!J:K,2)*G902*(1-$AC$1786)*(1+$AC$1788)),IF(AD902="NVP",(VLOOKUP(A902,'Discount Lookup'!J:K,2)*G902*(1-$AC$1786)*(1+$AC$1788)),IF(AD902="free","re-planting",IF(G902=0,"",IF($AD$8="",IF(AD902="me","not NVP, by",IF(AD902="",IF(G902&gt;0,(VLOOKUP(A902,'Discount Lookup'!J:K,2)*G902*(1-$AC$1786)*(1+$AC$1788)),""),"")),"not NVP, by"))))))))</f>
        <v/>
      </c>
      <c r="AC902" s="830"/>
      <c r="AD902" s="375" t="str">
        <f t="shared" si="2249"/>
        <v/>
      </c>
      <c r="AE902" s="833" t="str">
        <f t="shared" si="2321"/>
        <v/>
      </c>
      <c r="AF902" s="833"/>
      <c r="AG902" s="833"/>
      <c r="AH902" s="91">
        <f>IF(AD902="free",0,IF(AD902="me",0,IF(G902&gt;0,(VLOOKUP(A902,'Discount Lookup'!J:K,2)*G902),0)))</f>
        <v>0</v>
      </c>
      <c r="AI902" s="92" t="str">
        <f t="shared" si="2322"/>
        <v/>
      </c>
      <c r="AJ902" s="828" t="str">
        <f t="shared" si="2323"/>
        <v/>
      </c>
      <c r="AK902" s="828"/>
      <c r="AL902" s="313" t="str">
        <f t="shared" si="2173"/>
        <v/>
      </c>
      <c r="AM902" s="312"/>
      <c r="AN902" s="101"/>
      <c r="AO902" s="101"/>
      <c r="AP902" s="101"/>
      <c r="AQ902" s="101"/>
      <c r="AR902" s="101"/>
      <c r="AS902" s="101"/>
      <c r="AT902" s="101"/>
    </row>
    <row r="903" spans="1:46" ht="12.95" customHeight="1">
      <c r="A903" s="419">
        <v>7</v>
      </c>
      <c r="B903" s="87" t="s">
        <v>50</v>
      </c>
      <c r="C903" s="128" t="s">
        <v>135</v>
      </c>
      <c r="D903" s="129" t="s">
        <v>90</v>
      </c>
      <c r="E903" s="98">
        <v>108.95</v>
      </c>
      <c r="F903" s="705" t="s">
        <v>1306</v>
      </c>
      <c r="G903" s="357">
        <v>0</v>
      </c>
      <c r="H903" s="704" t="str">
        <f t="shared" ref="H903" si="2324">IF(G903=0,"",IF(F903="Qty=",IF(G903=1,"plant","plants"),IF(F903&gt;0.0001,"warranty","Error")))</f>
        <v/>
      </c>
      <c r="I903" s="98">
        <f t="shared" ref="I903" si="2325">IF(F903="Qty=",(E903*G903),((E903*(1-F903))*G903))</f>
        <v>0</v>
      </c>
      <c r="J903" s="98">
        <f>IF(H903="warranty",0,(I903*($J$1782)))</f>
        <v>0</v>
      </c>
      <c r="K903" s="831">
        <f t="shared" si="2316"/>
        <v>0</v>
      </c>
      <c r="L903" s="831"/>
      <c r="M903" s="832" t="str">
        <f>IF($H$1784=0,"",IF(G903=0,"",IF(F903="Qty=",CONCATENATE("$",ROUND(K903*(1-$H$1784),2)," with ",($H$1784*100),"% discount"),CONCATENATE("$",ROUND(K903*(1-$H$1784),2)," with ",(($H$1784*100+F903*100)-($H$1784*100*F903)),IF(F903&gt;0,"% discounts",IF($H$1781&gt;0,"% discounts","% discount"))))))</f>
        <v/>
      </c>
      <c r="N903" s="832"/>
      <c r="O903" s="832"/>
      <c r="P903" s="832"/>
      <c r="Q903" s="832"/>
      <c r="R903" s="832"/>
      <c r="S903" s="303">
        <f t="shared" ref="S903" si="2326">E903*G903</f>
        <v>0</v>
      </c>
      <c r="T903" s="541">
        <f>VLOOKUP(A903,'Discount Lookup'!D:E,2,FALSE)*G903</f>
        <v>0</v>
      </c>
      <c r="U903" s="83">
        <f>VLOOKUP(A903,'Discount Lookup'!G:H,2,FALSE)*G903</f>
        <v>0</v>
      </c>
      <c r="V903" s="100">
        <f>E903*($J$1782)*G903</f>
        <v>0</v>
      </c>
      <c r="W903" s="100">
        <f t="shared" ref="W903" si="2327">I903</f>
        <v>0</v>
      </c>
      <c r="X903" s="100" t="b">
        <f>IF(G903&gt;0,IF(AD903="me","",G903))</f>
        <v>0</v>
      </c>
      <c r="Y903" s="201"/>
      <c r="Z903" s="829" t="str">
        <f t="shared" si="2312"/>
        <v/>
      </c>
      <c r="AA903" s="829"/>
      <c r="AB903" s="830" t="str">
        <f>IF(G903=0,"",IF(AD903="free","re-planting",IF(AD903="me","not NVP, by",IF($AD$8="yes",(VLOOKUP(A903,'Discount Lookup'!J:K,2)*G903*(1-$AC$1786)*(1+$AC$1788)),IF(AD903="NVP",(VLOOKUP(A903,'Discount Lookup'!J:K,2)*G903*(1-$AC$1786)*(1+$AC$1788)),IF(AD903="free","re-planting",IF(G903=0,"",IF($AD$8="",IF(AD903="me","not NVP, by",IF(AD903="",IF(G903&gt;0,(VLOOKUP(A903,'Discount Lookup'!J:K,2)*G903*(1-$AC$1786)*(1+$AC$1788)),""),"")),"not NVP, by"))))))))</f>
        <v/>
      </c>
      <c r="AC903" s="830"/>
      <c r="AD903" s="375" t="str">
        <f t="shared" si="2249"/>
        <v/>
      </c>
      <c r="AE903" s="833" t="str">
        <f t="shared" si="2180"/>
        <v/>
      </c>
      <c r="AF903" s="833"/>
      <c r="AG903" s="833"/>
      <c r="AH903" s="91">
        <f>IF(AD903="free",0,IF(AD903="me",0,IF(G903&gt;0,(VLOOKUP(A903,'Discount Lookup'!J:K,2)*G903),0)))</f>
        <v>0</v>
      </c>
      <c r="AI903" s="92" t="str">
        <f t="shared" si="2322"/>
        <v/>
      </c>
      <c r="AJ903" s="828" t="str">
        <f t="shared" si="2313"/>
        <v/>
      </c>
      <c r="AK903" s="828"/>
      <c r="AL903" s="313" t="str">
        <f t="shared" si="2173"/>
        <v/>
      </c>
      <c r="AM903" s="312"/>
      <c r="AN903" s="101"/>
      <c r="AO903" s="101"/>
      <c r="AP903" s="101"/>
      <c r="AQ903" s="101"/>
      <c r="AR903" s="101"/>
      <c r="AS903" s="101"/>
      <c r="AT903" s="101"/>
    </row>
    <row r="904" spans="1:46" ht="12.95" customHeight="1">
      <c r="A904" s="469"/>
      <c r="B904" s="149" t="s">
        <v>530</v>
      </c>
      <c r="C904" s="130"/>
      <c r="D904" s="104"/>
      <c r="E904" s="131"/>
      <c r="G904" s="362"/>
      <c r="H904" s="749"/>
      <c r="M904" s="48"/>
      <c r="N904" s="48"/>
      <c r="O904" s="123"/>
      <c r="P904" s="124"/>
      <c r="Q904" s="124"/>
      <c r="R904" s="840"/>
      <c r="S904" s="840"/>
      <c r="T904" s="840"/>
      <c r="U904" s="840"/>
      <c r="V904" s="100" t="b">
        <f>IF(G904&gt;0,IF(AD904="me","",G904))</f>
        <v>0</v>
      </c>
      <c r="W904" s="100"/>
      <c r="X904" s="100"/>
      <c r="Y904" s="201"/>
      <c r="Z904" s="829" t="str">
        <f t="shared" si="2312"/>
        <v/>
      </c>
      <c r="AA904" s="829"/>
      <c r="AB904" s="830" t="str">
        <f>IF(G904=0,"",IF(AD904="free","re-planting",IF(AD904="me","not NVP, by",IF($AD$8="yes",(VLOOKUP(A904,'Discount Lookup'!J:K,2)*G904*(1-$AC$1786)*(1+$AC$1788)),IF(AD904="NVP",(VLOOKUP(A904,'Discount Lookup'!J:K,2)*G904*(1-$AC$1786)*(1+$AC$1788)),IF(AD904="free","re-planting",IF(G904=0,"",IF($AD$8="",IF(AD904="me","not NVP, by",IF(AD904="",IF(G904&gt;0,(VLOOKUP(A904,'Discount Lookup'!J:K,2)*G904*(1-$AC$1786)*(1+$AC$1788)),""),"")),"not NVP, by"))))))))</f>
        <v/>
      </c>
      <c r="AC904" s="830"/>
      <c r="AD904" s="375" t="str">
        <f t="shared" si="2249"/>
        <v/>
      </c>
      <c r="AE904" s="833" t="str">
        <f t="shared" si="2180"/>
        <v/>
      </c>
      <c r="AF904" s="833"/>
      <c r="AG904" s="833"/>
      <c r="AH904" s="91">
        <f>IF(AD904="free",0,IF(AD904="me",0,IF(G904&gt;0,(VLOOKUP(A904,'Discount Lookup'!J:K,2)*G904),0)))</f>
        <v>0</v>
      </c>
      <c r="AI904" s="92" t="str">
        <f t="shared" si="2322"/>
        <v/>
      </c>
      <c r="AJ904" s="828" t="str">
        <f t="shared" si="2313"/>
        <v/>
      </c>
      <c r="AK904" s="828"/>
      <c r="AL904" s="313" t="str">
        <f t="shared" si="2173"/>
        <v/>
      </c>
      <c r="AM904" s="312"/>
      <c r="AN904" s="101"/>
      <c r="AO904" s="101"/>
      <c r="AP904" s="101"/>
      <c r="AQ904" s="101"/>
      <c r="AR904" s="101"/>
      <c r="AS904" s="101"/>
      <c r="AT904" s="101"/>
    </row>
    <row r="905" spans="1:46" ht="12.95" customHeight="1">
      <c r="A905" s="896" t="s">
        <v>532</v>
      </c>
      <c r="B905" s="897"/>
      <c r="C905" s="897"/>
      <c r="D905" s="897"/>
      <c r="E905" s="897"/>
      <c r="F905" s="897"/>
      <c r="G905" s="897"/>
      <c r="H905" s="776" t="s">
        <v>531</v>
      </c>
      <c r="I905" s="88" t="s">
        <v>79</v>
      </c>
      <c r="J905" s="86"/>
      <c r="K905" s="603" t="s">
        <v>45</v>
      </c>
      <c r="L905" s="601" t="s">
        <v>46</v>
      </c>
      <c r="M905" s="86"/>
      <c r="N905" s="87" t="s">
        <v>69</v>
      </c>
      <c r="O905" s="87"/>
      <c r="P905" s="88"/>
      <c r="Q905" s="88"/>
      <c r="R905" s="86"/>
      <c r="S905" s="125"/>
      <c r="T905" s="543"/>
      <c r="U905" s="112"/>
      <c r="V905" s="100" t="b">
        <f>IF(G905&gt;0,IF(AD905="me","",G905))</f>
        <v>0</v>
      </c>
      <c r="W905" s="100"/>
      <c r="X905" s="100"/>
      <c r="Y905" s="201"/>
      <c r="Z905" s="829" t="str">
        <f t="shared" si="2312"/>
        <v/>
      </c>
      <c r="AA905" s="829"/>
      <c r="AB905" s="830" t="str">
        <f>IF(G905=0,"",IF(AD905="free","re-planting",IF(AD905="me","not NVP, by",IF($AD$8="yes",(VLOOKUP(A905,'Discount Lookup'!J:K,2)*G905*(1-$AC$1786)*(1+$AC$1788)),IF(AD905="NVP",(VLOOKUP(A905,'Discount Lookup'!J:K,2)*G905*(1-$AC$1786)*(1+$AC$1788)),IF(AD905="free","re-planting",IF(G905=0,"",IF($AD$8="",IF(AD905="me","not NVP, by",IF(AD905="",IF(G905&gt;0,(VLOOKUP(A905,'Discount Lookup'!J:K,2)*G905*(1-$AC$1786)*(1+$AC$1788)),""),"")),"not NVP, by"))))))))</f>
        <v/>
      </c>
      <c r="AC905" s="830"/>
      <c r="AD905" s="375" t="str">
        <f t="shared" si="2249"/>
        <v/>
      </c>
      <c r="AE905" s="833" t="str">
        <f t="shared" si="2180"/>
        <v/>
      </c>
      <c r="AF905" s="833"/>
      <c r="AG905" s="833"/>
      <c r="AH905" s="91">
        <f>IF(AD905="free",0,IF(AD905="me",0,IF(G905&gt;0,(VLOOKUP(A905,'Discount Lookup'!J:K,2)*G905),0)))</f>
        <v>0</v>
      </c>
      <c r="AI905" s="92" t="str">
        <f t="shared" si="2322"/>
        <v/>
      </c>
      <c r="AJ905" s="828" t="str">
        <f t="shared" si="2313"/>
        <v/>
      </c>
      <c r="AK905" s="828"/>
      <c r="AL905" s="313" t="str">
        <f t="shared" si="2173"/>
        <v/>
      </c>
      <c r="AM905" s="312"/>
      <c r="AN905" s="101"/>
      <c r="AO905" s="101"/>
      <c r="AP905" s="101"/>
      <c r="AQ905" s="101"/>
      <c r="AR905" s="101"/>
      <c r="AS905" s="101"/>
      <c r="AT905" s="101"/>
    </row>
    <row r="906" spans="1:46" ht="12.95" customHeight="1">
      <c r="A906" s="419">
        <v>3</v>
      </c>
      <c r="B906" s="87" t="s">
        <v>50</v>
      </c>
      <c r="C906" s="128" t="s">
        <v>102</v>
      </c>
      <c r="D906" s="129" t="s">
        <v>86</v>
      </c>
      <c r="E906" s="98">
        <v>24.95</v>
      </c>
      <c r="F906" s="705" t="s">
        <v>1306</v>
      </c>
      <c r="G906" s="357">
        <v>0</v>
      </c>
      <c r="H906" s="704" t="str">
        <f t="shared" ref="H906:H907" si="2328">IF(G906=0,"",IF(F906="Qty=",IF(G906=1,"plant","plants"),IF(F906&gt;0.0001,"warranty","Error")))</f>
        <v/>
      </c>
      <c r="I906" s="98">
        <f t="shared" ref="I906:I907" si="2329">IF(F906="Qty=",(E906*G906),((E906*(1-F906))*G906))</f>
        <v>0</v>
      </c>
      <c r="J906" s="98">
        <f>IF(H906="warranty",0,(I906*($J$1782)))</f>
        <v>0</v>
      </c>
      <c r="K906" s="831">
        <f t="shared" ref="K906:K907" si="2330">I906+J906</f>
        <v>0</v>
      </c>
      <c r="L906" s="831"/>
      <c r="M906" s="832" t="str">
        <f>IF($H$1784=0,"",IF(G906=0,"",IF(F906="Qty=",CONCATENATE("$",ROUND(K906*(1-$H$1784),2)," with ",($H$1784*100),"% discount"),CONCATENATE("$",ROUND(K906*(1-$H$1784),2)," with ",(($H$1784*100+F906*100)-($H$1784*100*F906)),IF(F906&gt;0,"% discounts",IF($H$1781&gt;0,"% discounts","% discount"))))))</f>
        <v/>
      </c>
      <c r="N906" s="832"/>
      <c r="O906" s="832"/>
      <c r="P906" s="832"/>
      <c r="Q906" s="832"/>
      <c r="R906" s="832"/>
      <c r="S906" s="303">
        <f t="shared" ref="S906" si="2331">E906*G906</f>
        <v>0</v>
      </c>
      <c r="T906" s="541">
        <f>VLOOKUP(A906,'Discount Lookup'!D:E,2,FALSE)*G906</f>
        <v>0</v>
      </c>
      <c r="U906" s="83">
        <f>VLOOKUP(A906,'Discount Lookup'!G:H,2,FALSE)*G906</f>
        <v>0</v>
      </c>
      <c r="V906" s="100">
        <f>E906*($J$1782)*G906</f>
        <v>0</v>
      </c>
      <c r="W906" s="100">
        <f t="shared" ref="W906" si="2332">I906</f>
        <v>0</v>
      </c>
      <c r="X906" s="100" t="b">
        <f t="shared" ref="X906" si="2333">IF(G906&gt;0,IF(AD906="me","",G906))</f>
        <v>0</v>
      </c>
      <c r="Y906" s="201"/>
      <c r="Z906" s="829" t="str">
        <f t="shared" si="2312"/>
        <v/>
      </c>
      <c r="AA906" s="829"/>
      <c r="AB906" s="830" t="str">
        <f>IF(G906=0,"",IF(AD906="free","re-planting",IF(AD906="me","not NVP, by",IF($AD$8="yes",(VLOOKUP(A906,'Discount Lookup'!J:K,2)*G906*(1-$AC$1786)*(1+$AC$1788)),IF(AD906="NVP",(VLOOKUP(A906,'Discount Lookup'!J:K,2)*G906*(1-$AC$1786)*(1+$AC$1788)),IF(AD906="free","re-planting",IF(G906=0,"",IF($AD$8="",IF(AD906="me","not NVP, by",IF(AD906="",IF(G906&gt;0,(VLOOKUP(A906,'Discount Lookup'!J:K,2)*G906*(1-$AC$1786)*(1+$AC$1788)),""),"")),"not NVP, by"))))))))</f>
        <v/>
      </c>
      <c r="AC906" s="830"/>
      <c r="AD906" s="375" t="str">
        <f t="shared" si="2249"/>
        <v/>
      </c>
      <c r="AE906" s="833" t="str">
        <f t="shared" ref="AE906" si="2334">IF(G906&gt;0,(CONCATENATE((G906)," quantity, ",(A906)," ",B906)),"")</f>
        <v/>
      </c>
      <c r="AF906" s="833"/>
      <c r="AG906" s="833"/>
      <c r="AH906" s="91">
        <f>IF(AD906="free",0,IF(AD906="me",0,IF(G906&gt;0,(VLOOKUP(A906,'Discount Lookup'!J:K,2)*G906),0)))</f>
        <v>0</v>
      </c>
      <c r="AI906" s="92" t="str">
        <f t="shared" si="2322"/>
        <v/>
      </c>
      <c r="AJ906" s="828" t="str">
        <f t="shared" si="2313"/>
        <v/>
      </c>
      <c r="AK906" s="828"/>
      <c r="AL906" s="313" t="str">
        <f t="shared" si="2173"/>
        <v/>
      </c>
      <c r="AM906" s="312"/>
      <c r="AN906" s="101"/>
      <c r="AO906" s="101"/>
      <c r="AP906" s="101"/>
      <c r="AQ906" s="101"/>
      <c r="AR906" s="101"/>
      <c r="AS906" s="101"/>
      <c r="AT906" s="101"/>
    </row>
    <row r="907" spans="1:46" ht="12.95" customHeight="1">
      <c r="A907" s="419">
        <v>15</v>
      </c>
      <c r="B907" s="87" t="s">
        <v>50</v>
      </c>
      <c r="C907" s="128" t="s">
        <v>1482</v>
      </c>
      <c r="D907" s="129" t="s">
        <v>54</v>
      </c>
      <c r="E907" s="98">
        <v>148.94999999999999</v>
      </c>
      <c r="F907" s="705" t="s">
        <v>1306</v>
      </c>
      <c r="G907" s="357">
        <v>0</v>
      </c>
      <c r="H907" s="704" t="str">
        <f t="shared" si="2328"/>
        <v/>
      </c>
      <c r="I907" s="98">
        <f t="shared" si="2329"/>
        <v>0</v>
      </c>
      <c r="J907" s="98">
        <f>IF(H907="warranty",0,(I907*($J$1782)))</f>
        <v>0</v>
      </c>
      <c r="K907" s="831">
        <f t="shared" si="2330"/>
        <v>0</v>
      </c>
      <c r="L907" s="831"/>
      <c r="M907" s="832" t="str">
        <f>IF($H$1784=0,"",IF(G907=0,"",IF(F907="Qty=",CONCATENATE("$",ROUND(K907*(1-$H$1784),2)," with ",($H$1784*100),"% discount"),CONCATENATE("$",ROUND(K907*(1-$H$1784),2)," with ",(($H$1784*100+F907*100)-($H$1784*100*F907)),IF(F907&gt;0,"% discounts",IF($H$1781&gt;0,"% discounts","% discount"))))))</f>
        <v/>
      </c>
      <c r="N907" s="832"/>
      <c r="O907" s="832"/>
      <c r="P907" s="832"/>
      <c r="Q907" s="832"/>
      <c r="R907" s="832"/>
      <c r="S907" s="303">
        <f t="shared" ref="S907" si="2335">E907*G907</f>
        <v>0</v>
      </c>
      <c r="T907" s="541">
        <f>VLOOKUP(A907,'Discount Lookup'!D:E,2,FALSE)*G907</f>
        <v>0</v>
      </c>
      <c r="U907" s="83">
        <f>VLOOKUP(A907,'Discount Lookup'!G:H,2,FALSE)*G907</f>
        <v>0</v>
      </c>
      <c r="V907" s="100">
        <f>E907*($J$1782)*G907</f>
        <v>0</v>
      </c>
      <c r="W907" s="100">
        <f t="shared" ref="W907" si="2336">I907</f>
        <v>0</v>
      </c>
      <c r="X907" s="100" t="b">
        <f>IF(G907&gt;0,IF(AD907="me","",G907))</f>
        <v>0</v>
      </c>
      <c r="Y907" s="201"/>
      <c r="Z907" s="829" t="str">
        <f t="shared" si="2312"/>
        <v/>
      </c>
      <c r="AA907" s="829"/>
      <c r="AB907" s="830" t="str">
        <f>IF(G907=0,"",IF(AD907="free","re-planting",IF(AD907="me","not NVP, by",IF($AD$8="yes",(VLOOKUP(A907,'Discount Lookup'!J:K,2)*G907*(1-$AC$1786)*(1+$AC$1788)),IF(AD907="NVP",(VLOOKUP(A907,'Discount Lookup'!J:K,2)*G907*(1-$AC$1786)*(1+$AC$1788)),IF(AD907="free","re-planting",IF(G907=0,"",IF($AD$8="",IF(AD907="me","not NVP, by",IF(AD907="",IF(G907&gt;0,(VLOOKUP(A907,'Discount Lookup'!J:K,2)*G907*(1-$AC$1786)*(1+$AC$1788)),""),"")),"not NVP, by"))))))))</f>
        <v/>
      </c>
      <c r="AC907" s="830"/>
      <c r="AD907" s="375" t="str">
        <f t="shared" si="2249"/>
        <v/>
      </c>
      <c r="AE907" s="833" t="str">
        <f t="shared" ref="AE907" si="2337">IF(G907&gt;0,(CONCATENATE((G907)," quantity, ",(A907)," ",B907)),"")</f>
        <v/>
      </c>
      <c r="AF907" s="833"/>
      <c r="AG907" s="833"/>
      <c r="AH907" s="91">
        <f>IF(AD907="free",0,IF(AD907="me",0,IF(G907&gt;0,(VLOOKUP(A907,'Discount Lookup'!J:K,2)*G907),0)))</f>
        <v>0</v>
      </c>
      <c r="AI907" s="92" t="str">
        <f t="shared" si="2322"/>
        <v/>
      </c>
      <c r="AJ907" s="828" t="str">
        <f t="shared" si="2313"/>
        <v/>
      </c>
      <c r="AK907" s="828"/>
      <c r="AL907" s="313" t="str">
        <f t="shared" ref="AL907:AL970" si="2338">IF(AD907="free","      ~ discounts included, no tax or planting fee applies ~",IF(G907=0,"",IF($AD$8="me",CONCATENATE(" $",ROUND(AI907/G907,2)," per plant, with tax &amp; discount"),IF(AD907="me",CONCATENATE(" $",ROUND(AI907/G907,2)," per plant, with tax &amp; discount"),CONCATENATE("= $",ROUND((K907*(1-$H$1784))/G907,2)," per plant + $",AB907/G907,(" per planting      ~ includes tax &amp; discounts ~"))))))</f>
        <v/>
      </c>
      <c r="AM907" s="312"/>
      <c r="AN907" s="101"/>
      <c r="AO907" s="101"/>
      <c r="AP907" s="101"/>
      <c r="AQ907" s="101"/>
      <c r="AR907" s="101"/>
      <c r="AS907" s="101"/>
      <c r="AT907" s="101"/>
    </row>
    <row r="908" spans="1:46" ht="12.95" customHeight="1">
      <c r="A908" s="468"/>
      <c r="B908" s="149" t="s">
        <v>533</v>
      </c>
      <c r="C908" s="118"/>
      <c r="D908" s="118"/>
      <c r="E908" s="119"/>
      <c r="F908" s="711"/>
      <c r="G908" s="358"/>
      <c r="H908" s="745"/>
      <c r="I908" s="119"/>
      <c r="J908" s="840"/>
      <c r="K908" s="840"/>
      <c r="L908" s="840"/>
      <c r="M908" s="840"/>
      <c r="N908" s="840"/>
      <c r="O908" s="123"/>
      <c r="P908" s="124"/>
      <c r="W908" s="286"/>
      <c r="X908" s="286"/>
      <c r="Y908" s="794"/>
      <c r="Z908" s="829" t="str">
        <f t="shared" si="2312"/>
        <v/>
      </c>
      <c r="AA908" s="829"/>
      <c r="AB908" s="830" t="str">
        <f>IF(G908=0,"",IF(AD908="free","re-planting",IF(AD908="me","not NVP, by",IF($AD$8="yes",(VLOOKUP(A908,'Discount Lookup'!J:K,2)*G908*(1-$AC$1786)*(1+$AC$1788)),IF(AD908="NVP",(VLOOKUP(A908,'Discount Lookup'!J:K,2)*G908*(1-$AC$1786)*(1+$AC$1788)),IF(AD908="free","re-planting",IF(G908=0,"",IF($AD$8="",IF(AD908="me","not NVP, by",IF(AD908="",IF(G908&gt;0,(VLOOKUP(A908,'Discount Lookup'!J:K,2)*G908*(1-$AC$1786)*(1+$AC$1788)),""),"")),"not NVP, by"))))))))</f>
        <v/>
      </c>
      <c r="AC908" s="830"/>
      <c r="AD908" s="375" t="str">
        <f t="shared" si="2249"/>
        <v/>
      </c>
      <c r="AE908" s="833" t="str">
        <f t="shared" si="2180"/>
        <v/>
      </c>
      <c r="AF908" s="833"/>
      <c r="AG908" s="833"/>
      <c r="AH908" s="91">
        <f>IF(AD908="free",0,IF(AD908="me",0,IF(G908&gt;0,(VLOOKUP(A908,'Discount Lookup'!J:K,2)*G908),0)))</f>
        <v>0</v>
      </c>
      <c r="AI908" s="92" t="str">
        <f t="shared" si="2322"/>
        <v/>
      </c>
      <c r="AJ908" s="828" t="str">
        <f t="shared" si="2313"/>
        <v/>
      </c>
      <c r="AK908" s="828"/>
      <c r="AL908" s="313" t="str">
        <f t="shared" si="2338"/>
        <v/>
      </c>
      <c r="AM908" s="312"/>
      <c r="AN908" s="101"/>
      <c r="AO908" s="101"/>
      <c r="AP908" s="101"/>
      <c r="AQ908" s="101"/>
      <c r="AR908" s="101"/>
      <c r="AS908" s="101"/>
      <c r="AT908" s="101"/>
    </row>
    <row r="909" spans="1:46" ht="12.95" customHeight="1">
      <c r="A909" s="896" t="s">
        <v>1489</v>
      </c>
      <c r="B909" s="897"/>
      <c r="C909" s="897"/>
      <c r="D909" s="897"/>
      <c r="E909" s="897"/>
      <c r="F909" s="897"/>
      <c r="G909" s="897"/>
      <c r="H909" s="776" t="s">
        <v>535</v>
      </c>
      <c r="I909" s="88" t="s">
        <v>79</v>
      </c>
      <c r="J909" s="86"/>
      <c r="K909" s="603" t="s">
        <v>45</v>
      </c>
      <c r="L909" s="601" t="s">
        <v>46</v>
      </c>
      <c r="M909" s="86"/>
      <c r="N909" s="87" t="s">
        <v>157</v>
      </c>
      <c r="O909" s="87"/>
      <c r="P909" s="88"/>
      <c r="Q909" s="88"/>
      <c r="R909" s="835" t="s">
        <v>49</v>
      </c>
      <c r="S909" s="835"/>
      <c r="T909" s="835"/>
      <c r="U909" s="835"/>
      <c r="V909" s="100" t="b">
        <f>IF(G909&gt;0,IF(AD909="me","",G909))</f>
        <v>0</v>
      </c>
      <c r="W909" s="100"/>
      <c r="X909" s="100"/>
      <c r="Y909" s="201"/>
      <c r="Z909" s="829" t="str">
        <f t="shared" si="2312"/>
        <v/>
      </c>
      <c r="AA909" s="829"/>
      <c r="AB909" s="830" t="str">
        <f>IF(G909=0,"",IF(AD909="free","re-planting",IF(AD909="me","not NVP, by",IF($AD$8="yes",(VLOOKUP(A909,'Discount Lookup'!J:K,2)*G909*(1-$AC$1786)*(1+$AC$1788)),IF(AD909="NVP",(VLOOKUP(A909,'Discount Lookup'!J:K,2)*G909*(1-$AC$1786)*(1+$AC$1788)),IF(AD909="free","re-planting",IF(G909=0,"",IF($AD$8="",IF(AD909="me","not NVP, by",IF(AD909="",IF(G909&gt;0,(VLOOKUP(A909,'Discount Lookup'!J:K,2)*G909*(1-$AC$1786)*(1+$AC$1788)),""),"")),"not NVP, by"))))))))</f>
        <v/>
      </c>
      <c r="AC909" s="830"/>
      <c r="AD909" s="375" t="str">
        <f t="shared" si="2249"/>
        <v/>
      </c>
      <c r="AE909" s="833" t="str">
        <f t="shared" ref="AE909:AE912" si="2339">IF(G909&gt;0,(CONCATENATE((G909)," quantity, ",(A909)," ",B909)),"")</f>
        <v/>
      </c>
      <c r="AF909" s="833"/>
      <c r="AG909" s="833"/>
      <c r="AH909" s="91">
        <f>IF(AD909="free",0,IF(AD909="me",0,IF(G909&gt;0,(VLOOKUP(A909,'Discount Lookup'!J:K,2)*G909),0)))</f>
        <v>0</v>
      </c>
      <c r="AI909" s="92" t="str">
        <f t="shared" si="2322"/>
        <v/>
      </c>
      <c r="AJ909" s="828" t="str">
        <f t="shared" si="2313"/>
        <v/>
      </c>
      <c r="AK909" s="828"/>
      <c r="AL909" s="313" t="str">
        <f t="shared" si="2338"/>
        <v/>
      </c>
      <c r="AM909" s="312"/>
      <c r="AN909" s="101"/>
      <c r="AO909" s="101"/>
      <c r="AP909" s="101"/>
      <c r="AQ909" s="101"/>
      <c r="AR909" s="101"/>
      <c r="AS909" s="101"/>
      <c r="AT909" s="101"/>
    </row>
    <row r="910" spans="1:46" ht="12.95" customHeight="1">
      <c r="A910" s="419">
        <v>3</v>
      </c>
      <c r="B910" s="87" t="s">
        <v>50</v>
      </c>
      <c r="C910" s="128" t="s">
        <v>1502</v>
      </c>
      <c r="D910" s="129" t="s">
        <v>54</v>
      </c>
      <c r="E910" s="98">
        <v>49.95</v>
      </c>
      <c r="F910" s="705" t="s">
        <v>1306</v>
      </c>
      <c r="G910" s="357">
        <v>0</v>
      </c>
      <c r="H910" s="704" t="str">
        <f t="shared" ref="H910:H911" si="2340">IF(G910=0,"",IF(F910="Qty=",IF(G910=1,"plant","plants"),IF(F910&gt;0.0001,"warranty","Error")))</f>
        <v/>
      </c>
      <c r="I910" s="98">
        <f t="shared" ref="I910:I911" si="2341">IF(F910="Qty=",(E910*G910),((E910*(1-F910))*G910))</f>
        <v>0</v>
      </c>
      <c r="J910" s="98">
        <f>IF(H910="warranty",0,(I910*($J$1782)))</f>
        <v>0</v>
      </c>
      <c r="K910" s="831">
        <f t="shared" ref="K910:K911" si="2342">I910+J910</f>
        <v>0</v>
      </c>
      <c r="L910" s="831"/>
      <c r="M910" s="832" t="str">
        <f>IF($H$1784=0,"",IF(G910=0,"",IF(F910="Qty=",CONCATENATE("$",ROUND(K910*(1-$H$1784),2)," with ",($H$1784*100),"% discount"),CONCATENATE("$",ROUND(K910*(1-$H$1784),2)," with ",(($H$1784*100+F910*100)-($H$1784*100*F910)),IF(F910&gt;0,"% discounts",IF($H$1781&gt;0,"% discounts","% discount"))))))</f>
        <v/>
      </c>
      <c r="N910" s="832"/>
      <c r="O910" s="832"/>
      <c r="P910" s="832"/>
      <c r="Q910" s="832"/>
      <c r="R910" s="832"/>
      <c r="S910" s="303">
        <f t="shared" ref="S910:S911" si="2343">E910*G910</f>
        <v>0</v>
      </c>
      <c r="T910" s="541">
        <f>VLOOKUP(A910,'Discount Lookup'!D:E,2,FALSE)*G910</f>
        <v>0</v>
      </c>
      <c r="U910" s="83">
        <f>VLOOKUP(A910,'Discount Lookup'!G:H,2,FALSE)*G910</f>
        <v>0</v>
      </c>
      <c r="V910" s="100">
        <f>E910*($J$1782)*G910</f>
        <v>0</v>
      </c>
      <c r="W910" s="100">
        <f t="shared" ref="W910:W911" si="2344">I910</f>
        <v>0</v>
      </c>
      <c r="X910" s="100" t="b">
        <f>IF(G910&gt;0,IF(AD910="me","",G910))</f>
        <v>0</v>
      </c>
      <c r="Y910" s="201"/>
      <c r="Z910" s="829" t="str">
        <f t="shared" si="2312"/>
        <v/>
      </c>
      <c r="AA910" s="829"/>
      <c r="AB910" s="830" t="str">
        <f>IF(G910=0,"",IF(AD910="free","re-planting",IF(AD910="me","not NVP, by",IF($AD$8="yes",(VLOOKUP(A910,'Discount Lookup'!J:K,2)*G910*(1-$AC$1786)*(1+$AC$1788)),IF(AD910="NVP",(VLOOKUP(A910,'Discount Lookup'!J:K,2)*G910*(1-$AC$1786)*(1+$AC$1788)),IF(AD910="free","re-planting",IF(G910=0,"",IF($AD$8="",IF(AD910="me","not NVP, by",IF(AD910="",IF(G910&gt;0,(VLOOKUP(A910,'Discount Lookup'!J:K,2)*G910*(1-$AC$1786)*(1+$AC$1788)),""),"")),"not NVP, by"))))))))</f>
        <v/>
      </c>
      <c r="AC910" s="830"/>
      <c r="AD910" s="375" t="str">
        <f t="shared" si="2249"/>
        <v/>
      </c>
      <c r="AE910" s="833" t="str">
        <f t="shared" si="2339"/>
        <v/>
      </c>
      <c r="AF910" s="833"/>
      <c r="AG910" s="833"/>
      <c r="AH910" s="91">
        <f>IF(AD910="free",0,IF(AD910="me",0,IF(G910&gt;0,(VLOOKUP(A910,'Discount Lookup'!J:K,2)*G910),0)))</f>
        <v>0</v>
      </c>
      <c r="AI910" s="92" t="str">
        <f t="shared" si="2322"/>
        <v/>
      </c>
      <c r="AJ910" s="828" t="str">
        <f t="shared" si="2313"/>
        <v/>
      </c>
      <c r="AK910" s="828"/>
      <c r="AL910" s="313" t="str">
        <f t="shared" si="2338"/>
        <v/>
      </c>
      <c r="AM910" s="312"/>
      <c r="AN910" s="101"/>
      <c r="AO910" s="101"/>
      <c r="AP910" s="101"/>
      <c r="AQ910" s="101"/>
      <c r="AR910" s="101"/>
      <c r="AS910" s="101"/>
      <c r="AT910" s="101"/>
    </row>
    <row r="911" spans="1:46" ht="12.95" customHeight="1">
      <c r="A911" s="419">
        <v>7</v>
      </c>
      <c r="B911" s="87" t="s">
        <v>50</v>
      </c>
      <c r="C911" s="128" t="s">
        <v>1503</v>
      </c>
      <c r="D911" s="129" t="s">
        <v>54</v>
      </c>
      <c r="E911" s="98">
        <v>95.95</v>
      </c>
      <c r="F911" s="705" t="s">
        <v>1306</v>
      </c>
      <c r="G911" s="357">
        <v>0</v>
      </c>
      <c r="H911" s="704" t="str">
        <f t="shared" si="2340"/>
        <v/>
      </c>
      <c r="I911" s="98">
        <f t="shared" si="2341"/>
        <v>0</v>
      </c>
      <c r="J911" s="98">
        <f>IF(H911="warranty",0,(I911*($J$1782)))</f>
        <v>0</v>
      </c>
      <c r="K911" s="831">
        <f t="shared" si="2342"/>
        <v>0</v>
      </c>
      <c r="L911" s="831"/>
      <c r="M911" s="832" t="str">
        <f>IF($H$1784=0,"",IF(G911=0,"",IF(F911="Qty=",CONCATENATE("$",ROUND(K911*(1-$H$1784),2)," with ",($H$1784*100),"% discount"),CONCATENATE("$",ROUND(K911*(1-$H$1784),2)," with ",(($H$1784*100+F911*100)-($H$1784*100*F911)),IF(F911&gt;0,"% discounts",IF($H$1781&gt;0,"% discounts","% discount"))))))</f>
        <v/>
      </c>
      <c r="N911" s="832"/>
      <c r="O911" s="832"/>
      <c r="P911" s="832"/>
      <c r="Q911" s="832"/>
      <c r="R911" s="832"/>
      <c r="S911" s="303">
        <f t="shared" si="2343"/>
        <v>0</v>
      </c>
      <c r="T911" s="541">
        <f>VLOOKUP(A911,'Discount Lookup'!D:E,2,FALSE)*G911</f>
        <v>0</v>
      </c>
      <c r="U911" s="83">
        <f>VLOOKUP(A911,'Discount Lookup'!G:H,2,FALSE)*G911</f>
        <v>0</v>
      </c>
      <c r="V911" s="100">
        <f>E911*($J$1782)*G911</f>
        <v>0</v>
      </c>
      <c r="W911" s="100">
        <f t="shared" si="2344"/>
        <v>0</v>
      </c>
      <c r="X911" s="100" t="b">
        <f>IF(G911&gt;0,IF(AD911="me","",G911))</f>
        <v>0</v>
      </c>
      <c r="Y911" s="201"/>
      <c r="Z911" s="829" t="str">
        <f t="shared" si="2312"/>
        <v/>
      </c>
      <c r="AA911" s="829"/>
      <c r="AB911" s="830" t="str">
        <f>IF(G911=0,"",IF(AD911="free","re-planting",IF(AD911="me","not NVP, by",IF($AD$8="yes",(VLOOKUP(A911,'Discount Lookup'!J:K,2)*G911*(1-$AC$1786)*(1+$AC$1788)),IF(AD911="NVP",(VLOOKUP(A911,'Discount Lookup'!J:K,2)*G911*(1-$AC$1786)*(1+$AC$1788)),IF(AD911="free","re-planting",IF(G911=0,"",IF($AD$8="",IF(AD911="me","not NVP, by",IF(AD911="",IF(G911&gt;0,(VLOOKUP(A911,'Discount Lookup'!J:K,2)*G911*(1-$AC$1786)*(1+$AC$1788)),""),"")),"not NVP, by"))))))))</f>
        <v/>
      </c>
      <c r="AC911" s="830"/>
      <c r="AD911" s="375" t="str">
        <f t="shared" si="2249"/>
        <v/>
      </c>
      <c r="AE911" s="833" t="str">
        <f t="shared" si="2339"/>
        <v/>
      </c>
      <c r="AF911" s="833"/>
      <c r="AG911" s="833"/>
      <c r="AH911" s="91">
        <f>IF(AD911="free",0,IF(AD911="me",0,IF(G911&gt;0,(VLOOKUP(A911,'Discount Lookup'!J:K,2)*G911),0)))</f>
        <v>0</v>
      </c>
      <c r="AI911" s="92" t="str">
        <f t="shared" si="2322"/>
        <v/>
      </c>
      <c r="AJ911" s="828" t="str">
        <f t="shared" si="2313"/>
        <v/>
      </c>
      <c r="AK911" s="828"/>
      <c r="AL911" s="313" t="str">
        <f t="shared" si="2338"/>
        <v/>
      </c>
      <c r="AM911" s="312"/>
      <c r="AN911" s="101"/>
      <c r="AO911" s="101"/>
      <c r="AP911" s="101"/>
      <c r="AQ911" s="101"/>
      <c r="AR911" s="101"/>
      <c r="AS911" s="101"/>
      <c r="AT911" s="101"/>
    </row>
    <row r="912" spans="1:46" ht="12.95" customHeight="1">
      <c r="A912" s="469"/>
      <c r="B912" s="149" t="s">
        <v>1490</v>
      </c>
      <c r="G912" s="361"/>
      <c r="H912" s="746"/>
      <c r="M912" s="48"/>
      <c r="N912" s="48"/>
      <c r="O912" s="48"/>
      <c r="P912" s="111"/>
      <c r="Q912" s="111"/>
      <c r="R912" s="48"/>
      <c r="S912" s="82">
        <f>E912*G912</f>
        <v>0</v>
      </c>
      <c r="T912" s="540"/>
      <c r="U912" s="83"/>
      <c r="V912" s="100" t="b">
        <f>IF(G912&gt;0,IF(AD912="me","",G912))</f>
        <v>0</v>
      </c>
      <c r="W912" s="100"/>
      <c r="X912" s="100"/>
      <c r="Y912" s="201"/>
      <c r="Z912" s="829" t="str">
        <f t="shared" si="2312"/>
        <v/>
      </c>
      <c r="AA912" s="829"/>
      <c r="AB912" s="830" t="str">
        <f>IF(G912=0,"",IF(AD912="free","re-planting",IF(AD912="me","not NVP, by",IF($AD$8="yes",(VLOOKUP(A912,'Discount Lookup'!J:K,2)*G912*(1-$AC$1786)*(1+$AC$1788)),IF(AD912="NVP",(VLOOKUP(A912,'Discount Lookup'!J:K,2)*G912*(1-$AC$1786)*(1+$AC$1788)),IF(AD912="free","re-planting",IF(G912=0,"",IF($AD$8="",IF(AD912="me","not NVP, by",IF(AD912="",IF(G912&gt;0,(VLOOKUP(A912,'Discount Lookup'!J:K,2)*G912*(1-$AC$1786)*(1+$AC$1788)),""),"")),"not NVP, by"))))))))</f>
        <v/>
      </c>
      <c r="AC912" s="830"/>
      <c r="AD912" s="375" t="str">
        <f t="shared" si="2249"/>
        <v/>
      </c>
      <c r="AE912" s="833" t="str">
        <f t="shared" si="2339"/>
        <v/>
      </c>
      <c r="AF912" s="833"/>
      <c r="AG912" s="833"/>
      <c r="AH912" s="91">
        <f>IF(AD912="free",0,IF(AD912="me",0,IF(G912&gt;0,(VLOOKUP(A912,'Discount Lookup'!J:K,2)*G912),0)))</f>
        <v>0</v>
      </c>
      <c r="AI912" s="92" t="str">
        <f t="shared" si="2322"/>
        <v/>
      </c>
      <c r="AJ912" s="828" t="str">
        <f t="shared" si="2313"/>
        <v/>
      </c>
      <c r="AK912" s="828"/>
      <c r="AL912" s="313" t="str">
        <f t="shared" si="2338"/>
        <v/>
      </c>
      <c r="AM912" s="312"/>
      <c r="AN912" s="101"/>
      <c r="AO912" s="101"/>
      <c r="AP912" s="101"/>
      <c r="AQ912" s="101"/>
      <c r="AR912" s="101"/>
      <c r="AS912" s="101"/>
      <c r="AT912" s="101"/>
    </row>
    <row r="913" spans="1:46" ht="12.95" customHeight="1">
      <c r="A913" s="898" t="s">
        <v>995</v>
      </c>
      <c r="B913" s="897"/>
      <c r="C913" s="897"/>
      <c r="D913" s="897"/>
      <c r="E913" s="897"/>
      <c r="F913" s="897"/>
      <c r="G913" s="897"/>
      <c r="H913" s="776" t="s">
        <v>535</v>
      </c>
      <c r="I913" s="88" t="s">
        <v>79</v>
      </c>
      <c r="J913" s="86"/>
      <c r="K913" s="603" t="s">
        <v>45</v>
      </c>
      <c r="L913" s="601" t="s">
        <v>46</v>
      </c>
      <c r="M913" s="86"/>
      <c r="N913" s="87" t="s">
        <v>69</v>
      </c>
      <c r="O913" s="87"/>
      <c r="P913" s="87"/>
      <c r="Q913" s="87"/>
      <c r="R913" s="86"/>
      <c r="S913" s="125"/>
      <c r="T913" s="543"/>
      <c r="U913" s="112"/>
      <c r="V913" s="100" t="b">
        <f>IF(G913&gt;0,IF(AD913="me","",G913))</f>
        <v>0</v>
      </c>
      <c r="W913" s="100"/>
      <c r="X913" s="100"/>
      <c r="Y913" s="201"/>
      <c r="Z913" s="829" t="str">
        <f>IF(G913=0,"",IF(AD913="me","",IF($AD$8="me","",IF(AD913="free","warranty",IF($AD$8="yes","NVP planting:","to NVP install:")))))</f>
        <v/>
      </c>
      <c r="AA913" s="829"/>
      <c r="AB913" s="830" t="str">
        <f>IF(G913=0,"",IF(AD913="free","re-planting",IF(AD913="me","not NVP, by",IF($AD$8="yes",(VLOOKUP(A913,'Discount Lookup'!J:K,2)*G913*(1-$AC$1786)*(1+$AC$1788)),IF(AD913="NVP",(VLOOKUP(A913,'Discount Lookup'!J:K,2)*G913*(1-$AC$1786)*(1+$AC$1788)),IF(AD913="free","re-planting",IF(G913=0,"",IF($AD$8="",IF(AD913="me","not NVP, by",IF(AD913="",IF(G913&gt;0,(VLOOKUP(A913,'Discount Lookup'!J:K,2)*G913*(1-$AC$1786)*(1+$AC$1788)),""),"")),"not NVP, by"))))))))</f>
        <v/>
      </c>
      <c r="AC913" s="830"/>
      <c r="AD913" s="375" t="str">
        <f>IF(G913=0,"",IF($AD$8="me","me",IF(H913="warranty","free",IF($AD$8="yes","NVP",""))))</f>
        <v/>
      </c>
      <c r="AE913" s="833" t="str">
        <f>IF(G913&gt;0,(CONCATENATE((G913)," quantity, ",(A913)," ",B913)),"")</f>
        <v/>
      </c>
      <c r="AF913" s="833"/>
      <c r="AG913" s="833"/>
      <c r="AH913" s="91">
        <f>IF(AD913="free",0,IF(AD913="me",0,IF(G913&gt;0,(VLOOKUP(A913,'Discount Lookup'!J:K,2)*G913),0)))</f>
        <v>0</v>
      </c>
      <c r="AI913" s="92" t="str">
        <f t="shared" si="2322"/>
        <v/>
      </c>
      <c r="AJ913" s="828" t="str">
        <f>IF(G913=0,"",IF(AD913="me","  delivery-only",IF($AD$8="me","  delivery-only",CONCATENATE(" $",ROUND(AI913/G913,2)," each"))))</f>
        <v/>
      </c>
      <c r="AK913" s="828"/>
      <c r="AL913" s="313" t="str">
        <f t="shared" si="2338"/>
        <v/>
      </c>
      <c r="AM913" s="312"/>
      <c r="AN913" s="101"/>
      <c r="AO913" s="101"/>
      <c r="AP913" s="101"/>
      <c r="AQ913" s="101"/>
      <c r="AR913" s="101"/>
      <c r="AS913" s="101"/>
      <c r="AT913" s="101"/>
    </row>
    <row r="914" spans="1:46" ht="12.95" customHeight="1">
      <c r="A914" s="447">
        <v>3</v>
      </c>
      <c r="B914" s="87" t="s">
        <v>50</v>
      </c>
      <c r="C914" s="128" t="s">
        <v>135</v>
      </c>
      <c r="D914" s="129" t="s">
        <v>87</v>
      </c>
      <c r="E914" s="98">
        <v>37.950000000000003</v>
      </c>
      <c r="F914" s="705" t="s">
        <v>1306</v>
      </c>
      <c r="G914" s="357">
        <v>0</v>
      </c>
      <c r="H914" s="704" t="str">
        <f t="shared" ref="H914" si="2345">IF(G914=0,"",IF(F914="Qty=",IF(G914=1,"plant","plants"),IF(F914&gt;0.0001,"warranty","Error")))</f>
        <v/>
      </c>
      <c r="I914" s="98">
        <f t="shared" ref="I914" si="2346">IF(F914="Qty=",(E914*G914),((E914*(1-F914))*G914))</f>
        <v>0</v>
      </c>
      <c r="J914" s="98">
        <f>IF(H914="warranty",0,(I914*($J$1782)))</f>
        <v>0</v>
      </c>
      <c r="K914" s="831">
        <f t="shared" ref="K914" si="2347">I914+J914</f>
        <v>0</v>
      </c>
      <c r="L914" s="831"/>
      <c r="M914" s="832" t="str">
        <f>IF($H$1784=0,"",IF(G914=0,"",IF(F914="Qty=",CONCATENATE("$",ROUND(K914*(1-$H$1784),2)," with ",($H$1784*100),"% discount"),CONCATENATE("$",ROUND(K914*(1-$H$1784),2)," with ",(($H$1784*100+F914*100)-($H$1784*100*F914)),IF(F914&gt;0,"% discounts",IF($H$1781&gt;0,"% discounts","% discount"))))))</f>
        <v/>
      </c>
      <c r="N914" s="832"/>
      <c r="O914" s="832"/>
      <c r="P914" s="832"/>
      <c r="Q914" s="832"/>
      <c r="R914" s="832"/>
      <c r="S914" s="303">
        <f t="shared" ref="S914" si="2348">E914*G914</f>
        <v>0</v>
      </c>
      <c r="T914" s="541">
        <f>VLOOKUP(A914,'Discount Lookup'!D:E,2,FALSE)*G914</f>
        <v>0</v>
      </c>
      <c r="U914" s="83">
        <f>VLOOKUP(A914,'Discount Lookup'!G:H,2,FALSE)*G914</f>
        <v>0</v>
      </c>
      <c r="V914" s="100">
        <f>E914*($J$1782)*G914</f>
        <v>0</v>
      </c>
      <c r="W914" s="100">
        <f t="shared" ref="W914" si="2349">I914</f>
        <v>0</v>
      </c>
      <c r="X914" s="100" t="b">
        <f>IF(G914&gt;0,IF(AD914="me","",G914))</f>
        <v>0</v>
      </c>
      <c r="Y914" s="201"/>
      <c r="Z914" s="829" t="str">
        <f>IF(G914=0,"",IF(AD914="me","",IF($AD$8="me","",IF(AD914="free","warranty",IF($AD$8="yes","NVP planting:","to NVP install:")))))</f>
        <v/>
      </c>
      <c r="AA914" s="829"/>
      <c r="AB914" s="830" t="str">
        <f>IF(G914=0,"",IF(AD914="free","re-planting",IF(AD914="me","not NVP, by",IF($AD$8="yes",(VLOOKUP(A914,'Discount Lookup'!J:K,2)*G914*(1-$AC$1786)*(1+$AC$1788)),IF(AD914="NVP",(VLOOKUP(A914,'Discount Lookup'!J:K,2)*G914*(1-$AC$1786)*(1+$AC$1788)),IF(AD914="free","re-planting",IF(G914=0,"",IF($AD$8="",IF(AD914="me","not NVP, by",IF(AD914="",IF(G914&gt;0,(VLOOKUP(A914,'Discount Lookup'!J:K,2)*G914*(1-$AC$1786)*(1+$AC$1788)),""),"")),"not NVP, by"))))))))</f>
        <v/>
      </c>
      <c r="AC914" s="830"/>
      <c r="AD914" s="375" t="str">
        <f>IF(G914=0,"",IF($AD$8="me","me",IF(H914="warranty","free",IF($AD$8="yes","NVP",""))))</f>
        <v/>
      </c>
      <c r="AE914" s="833" t="str">
        <f>IF(G914&gt;0,(CONCATENATE((G914)," quantity, ",(A914)," ",B914)),"")</f>
        <v/>
      </c>
      <c r="AF914" s="833"/>
      <c r="AG914" s="833"/>
      <c r="AH914" s="91">
        <f>IF(AD914="free",0,IF(AD914="me",0,IF(G914&gt;0,(VLOOKUP(A914,'Discount Lookup'!J:K,2)*G914),0)))</f>
        <v>0</v>
      </c>
      <c r="AI914" s="92" t="str">
        <f t="shared" si="2322"/>
        <v/>
      </c>
      <c r="AJ914" s="828" t="str">
        <f>IF(G914=0,"",IF(AD914="me","  delivery-only",IF($AD$8="me","  delivery-only",CONCATENATE(" $",ROUND(AI914/G914,2)," each"))))</f>
        <v/>
      </c>
      <c r="AK914" s="828"/>
      <c r="AL914" s="313" t="str">
        <f t="shared" si="2338"/>
        <v/>
      </c>
      <c r="AM914" s="312"/>
      <c r="AN914" s="101"/>
      <c r="AO914" s="101"/>
      <c r="AP914" s="101"/>
      <c r="AQ914" s="101"/>
      <c r="AR914" s="101"/>
      <c r="AS914" s="101"/>
      <c r="AT914" s="101"/>
    </row>
    <row r="915" spans="1:46" ht="12.95" customHeight="1">
      <c r="A915" s="508"/>
      <c r="B915" s="149" t="s">
        <v>1195</v>
      </c>
      <c r="C915" s="118"/>
      <c r="D915" s="118"/>
      <c r="E915" s="119"/>
      <c r="F915" s="711"/>
      <c r="G915" s="358"/>
      <c r="H915" s="745"/>
      <c r="I915" s="119"/>
      <c r="J915" s="119"/>
      <c r="K915" s="609"/>
      <c r="L915" s="609"/>
      <c r="M915" s="121"/>
      <c r="N915" s="108"/>
      <c r="O915" s="123"/>
      <c r="P915" s="124"/>
      <c r="Q915" s="841" t="s">
        <v>125</v>
      </c>
      <c r="R915" s="841"/>
      <c r="S915" s="841"/>
      <c r="T915" s="841"/>
      <c r="U915" s="841"/>
      <c r="V915" s="841"/>
      <c r="W915" s="100"/>
      <c r="X915" s="100"/>
      <c r="Y915" s="201"/>
      <c r="Z915" s="829" t="str">
        <f>IF(G915=0,"",IF(AD915="me","",IF($AD$8="me","",IF(AD915="free","warranty",IF($AD$8="yes","NVP planting:","to NVP install:")))))</f>
        <v/>
      </c>
      <c r="AA915" s="829"/>
      <c r="AB915" s="830" t="str">
        <f>IF(G915=0,"",IF(AD915="free","re-planting",IF(AD915="me","not NVP, by",IF($AD$8="yes",(VLOOKUP(A915,'Discount Lookup'!J:K,2)*G915*(1-$AC$1786)*(1+$AC$1788)),IF(AD915="NVP",(VLOOKUP(A915,'Discount Lookup'!J:K,2)*G915*(1-$AC$1786)*(1+$AC$1788)),IF(AD915="free","re-planting",IF(G915=0,"",IF($AD$8="",IF(AD915="me","not NVP, by",IF(AD915="",IF(G915&gt;0,(VLOOKUP(A915,'Discount Lookup'!J:K,2)*G915*(1-$AC$1786)*(1+$AC$1788)),""),"")),"not NVP, by"))))))))</f>
        <v/>
      </c>
      <c r="AC915" s="830"/>
      <c r="AD915" s="375" t="str">
        <f>IF(G915=0,"",IF($AD$8="me","me",IF(H915="warranty","free",IF($AD$8="yes","NVP",""))))</f>
        <v/>
      </c>
      <c r="AE915" s="833" t="str">
        <f>IF(G915&gt;0,(CONCATENATE((G915)," quantity, ",(A915)," ",B915)),"")</f>
        <v/>
      </c>
      <c r="AF915" s="833"/>
      <c r="AG915" s="833"/>
      <c r="AH915" s="91">
        <f>IF(AD915="free",0,IF(AD915="me",0,IF(G915&gt;0,(VLOOKUP(A915,'Discount Lookup'!J:K,2)*G915),0)))</f>
        <v>0</v>
      </c>
      <c r="AI915" s="92" t="str">
        <f t="shared" si="2322"/>
        <v/>
      </c>
      <c r="AJ915" s="828" t="str">
        <f>IF(G915=0,"",IF(AD915="me","  delivery-only",IF($AD$8="me","  delivery-only",CONCATENATE(" $",ROUND(AI915/G915,2)," each"))))</f>
        <v/>
      </c>
      <c r="AK915" s="828"/>
      <c r="AL915" s="313" t="str">
        <f t="shared" si="2338"/>
        <v/>
      </c>
      <c r="AM915" s="312"/>
      <c r="AN915" s="101"/>
      <c r="AO915" s="101"/>
      <c r="AP915" s="101"/>
      <c r="AQ915" s="101"/>
      <c r="AR915" s="101"/>
      <c r="AS915" s="101"/>
      <c r="AT915" s="101"/>
    </row>
    <row r="916" spans="1:46" ht="12.95" customHeight="1">
      <c r="A916" s="898" t="s">
        <v>1366</v>
      </c>
      <c r="B916" s="897"/>
      <c r="C916" s="897"/>
      <c r="D916" s="897"/>
      <c r="E916" s="897"/>
      <c r="F916" s="897"/>
      <c r="G916" s="897"/>
      <c r="H916" s="776" t="s">
        <v>535</v>
      </c>
      <c r="I916" s="88" t="s">
        <v>235</v>
      </c>
      <c r="J916" s="86"/>
      <c r="K916" s="603" t="s">
        <v>45</v>
      </c>
      <c r="L916" s="601" t="s">
        <v>46</v>
      </c>
      <c r="M916" s="86"/>
      <c r="N916" s="87" t="s">
        <v>128</v>
      </c>
      <c r="O916" s="87"/>
      <c r="P916" s="87"/>
      <c r="Q916" s="88"/>
      <c r="R916" s="86"/>
      <c r="S916" s="125"/>
      <c r="T916" s="543"/>
      <c r="U916" s="89" t="s">
        <v>221</v>
      </c>
      <c r="V916" s="100" t="b">
        <f>IF(G916&gt;0,IF(AD916="me","",G916))</f>
        <v>0</v>
      </c>
      <c r="W916" s="100"/>
      <c r="X916" s="100"/>
      <c r="Y916" s="201"/>
      <c r="Z916" s="829" t="str">
        <f t="shared" ref="Z916:Z920" si="2350">IF(G916=0,"",IF(AD916="me","",IF($AD$8="me","",IF(AD916="free","warranty",IF($AD$8="yes","NVP planting:","to NVP install:")))))</f>
        <v/>
      </c>
      <c r="AA916" s="829"/>
      <c r="AB916" s="830" t="str">
        <f>IF(G916=0,"",IF(AD916="free","re-planting",IF(AD916="me","not NVP, by",IF($AD$8="yes",(VLOOKUP(A916,'Discount Lookup'!J:K,2)*G916*(1-$AC$1786)*(1+$AC$1788)),IF(AD916="NVP",(VLOOKUP(A916,'Discount Lookup'!J:K,2)*G916*(1-$AC$1786)*(1+$AC$1788)),IF(AD916="free","re-planting",IF(G916=0,"",IF($AD$8="",IF(AD916="me","not NVP, by",IF(AD916="",IF(G916&gt;0,(VLOOKUP(A916,'Discount Lookup'!J:K,2)*G916*(1-$AC$1786)*(1+$AC$1788)),""),"")),"not NVP, by"))))))))</f>
        <v/>
      </c>
      <c r="AC916" s="830"/>
      <c r="AD916" s="375" t="str">
        <f t="shared" si="2249"/>
        <v/>
      </c>
      <c r="AE916" s="833" t="str">
        <f t="shared" ref="AE916:AE920" si="2351">IF(G916&gt;0,(CONCATENATE((G916)," quantity, ",(A916)," ",B916)),"")</f>
        <v/>
      </c>
      <c r="AF916" s="833"/>
      <c r="AG916" s="833"/>
      <c r="AH916" s="91">
        <f>IF(AD916="free",0,IF(AD916="me",0,IF(G916&gt;0,(VLOOKUP(A916,'Discount Lookup'!J:K,2)*G916),0)))</f>
        <v>0</v>
      </c>
      <c r="AI916" s="92" t="str">
        <f t="shared" si="2322"/>
        <v/>
      </c>
      <c r="AJ916" s="828" t="str">
        <f t="shared" ref="AJ916:AJ920" si="2352">IF(G916=0,"",IF(AD916="me","  delivery-only",IF($AD$8="me","  delivery-only",CONCATENATE(" $",ROUND(AI916/G916,2)," each"))))</f>
        <v/>
      </c>
      <c r="AK916" s="828"/>
      <c r="AL916" s="313" t="str">
        <f t="shared" si="2338"/>
        <v/>
      </c>
      <c r="AM916" s="312"/>
      <c r="AN916" s="101"/>
      <c r="AO916" s="101"/>
      <c r="AP916" s="101"/>
      <c r="AQ916" s="101"/>
      <c r="AR916" s="101"/>
      <c r="AS916" s="101"/>
      <c r="AT916" s="101"/>
    </row>
    <row r="917" spans="1:46" ht="12.95" customHeight="1">
      <c r="A917" s="447">
        <v>3</v>
      </c>
      <c r="B917" s="87" t="s">
        <v>50</v>
      </c>
      <c r="C917" s="399" t="s">
        <v>136</v>
      </c>
      <c r="D917" s="129" t="s">
        <v>87</v>
      </c>
      <c r="E917" s="98">
        <v>35.950000000000003</v>
      </c>
      <c r="F917" s="705" t="s">
        <v>1306</v>
      </c>
      <c r="G917" s="357">
        <v>0</v>
      </c>
      <c r="H917" s="704" t="str">
        <f t="shared" ref="H917:H919" si="2353">IF(G917=0,"",IF(F917="Qty=",IF(G917=1,"plant","plants"),IF(F917&gt;0.0001,"warranty","Error")))</f>
        <v/>
      </c>
      <c r="I917" s="98">
        <f t="shared" ref="I917:I919" si="2354">IF(F917="Qty=",(E917*G917),((E917*(1-F917))*G917))</f>
        <v>0</v>
      </c>
      <c r="J917" s="98">
        <f>IF(H917="warranty",0,(I917*($J$1782)))</f>
        <v>0</v>
      </c>
      <c r="K917" s="831">
        <f t="shared" ref="K917:K919" si="2355">I917+J917</f>
        <v>0</v>
      </c>
      <c r="L917" s="831"/>
      <c r="M917" s="832" t="str">
        <f>IF($H$1784=0,"",IF(G917=0,"",IF(F917="Qty=",CONCATENATE("$",ROUND(K917*(1-$H$1784),2)," with ",($H$1784*100),"% discount"),CONCATENATE("$",ROUND(K917*(1-$H$1784),2)," with ",(($H$1784*100+F917*100)-($H$1784*100*F917)),IF(F917&gt;0,"% discounts",IF($H$1781&gt;0,"% discounts","% discount"))))))</f>
        <v/>
      </c>
      <c r="N917" s="832"/>
      <c r="O917" s="832"/>
      <c r="P917" s="832"/>
      <c r="Q917" s="832"/>
      <c r="R917" s="832"/>
      <c r="S917" s="303">
        <f t="shared" ref="S917:S919" si="2356">E917*G917</f>
        <v>0</v>
      </c>
      <c r="T917" s="541">
        <f>VLOOKUP(A917,'Discount Lookup'!D:E,2,FALSE)*G917</f>
        <v>0</v>
      </c>
      <c r="U917" s="83">
        <f>VLOOKUP(A917,'Discount Lookup'!G:H,2,FALSE)*G917</f>
        <v>0</v>
      </c>
      <c r="V917" s="100">
        <f>E917*($J$1782)*G917</f>
        <v>0</v>
      </c>
      <c r="W917" s="100">
        <f t="shared" ref="W917:W919" si="2357">I917</f>
        <v>0</v>
      </c>
      <c r="X917" s="100" t="b">
        <f>IF(G917&gt;0,IF(AD917="me","",G917))</f>
        <v>0</v>
      </c>
      <c r="Y917" s="201"/>
      <c r="Z917" s="829" t="str">
        <f t="shared" si="2350"/>
        <v/>
      </c>
      <c r="AA917" s="829"/>
      <c r="AB917" s="830" t="str">
        <f>IF(G917=0,"",IF(AD917="free","re-planting",IF(AD917="me","not NVP, by",IF($AD$8="yes",(VLOOKUP(A917,'Discount Lookup'!J:K,2)*G917*(1-$AC$1786)*(1+$AC$1788)),IF(AD917="NVP",(VLOOKUP(A917,'Discount Lookup'!J:K,2)*G917*(1-$AC$1786)*(1+$AC$1788)),IF(AD917="free","re-planting",IF(G917=0,"",IF($AD$8="",IF(AD917="me","not NVP, by",IF(AD917="",IF(G917&gt;0,(VLOOKUP(A917,'Discount Lookup'!J:K,2)*G917*(1-$AC$1786)*(1+$AC$1788)),""),"")),"not NVP, by"))))))))</f>
        <v/>
      </c>
      <c r="AC917" s="830"/>
      <c r="AD917" s="375" t="str">
        <f t="shared" si="2249"/>
        <v/>
      </c>
      <c r="AE917" s="833" t="str">
        <f t="shared" si="2351"/>
        <v/>
      </c>
      <c r="AF917" s="833"/>
      <c r="AG917" s="833"/>
      <c r="AH917" s="91">
        <f>IF(AD917="free",0,IF(AD917="me",0,IF(G917&gt;0,(VLOOKUP(A917,'Discount Lookup'!J:K,2)*G917),0)))</f>
        <v>0</v>
      </c>
      <c r="AI917" s="92" t="str">
        <f t="shared" si="2322"/>
        <v/>
      </c>
      <c r="AJ917" s="828" t="str">
        <f t="shared" si="2352"/>
        <v/>
      </c>
      <c r="AK917" s="828"/>
      <c r="AL917" s="313" t="str">
        <f t="shared" si="2338"/>
        <v/>
      </c>
      <c r="AM917" s="312"/>
      <c r="AN917" s="101"/>
      <c r="AO917" s="101"/>
      <c r="AP917" s="101"/>
      <c r="AQ917" s="101"/>
      <c r="AR917" s="101"/>
      <c r="AS917" s="101"/>
      <c r="AT917" s="101"/>
    </row>
    <row r="918" spans="1:46" ht="12.95" customHeight="1">
      <c r="A918" s="447">
        <v>3</v>
      </c>
      <c r="B918" s="87" t="s">
        <v>50</v>
      </c>
      <c r="C918" s="128" t="s">
        <v>135</v>
      </c>
      <c r="D918" s="129" t="s">
        <v>63</v>
      </c>
      <c r="E918" s="98">
        <v>34.950000000000003</v>
      </c>
      <c r="F918" s="705" t="s">
        <v>1306</v>
      </c>
      <c r="G918" s="357">
        <v>0</v>
      </c>
      <c r="H918" s="704" t="str">
        <f t="shared" ref="H918" si="2358">IF(G918=0,"",IF(F918="Qty=",IF(G918=1,"plant","plants"),IF(F918&gt;0.0001,"warranty","Error")))</f>
        <v/>
      </c>
      <c r="I918" s="98">
        <f t="shared" ref="I918" si="2359">IF(F918="Qty=",(E918*G918),((E918*(1-F918))*G918))</f>
        <v>0</v>
      </c>
      <c r="J918" s="98">
        <f>IF(H918="warranty",0,(I918*($J$1782)))</f>
        <v>0</v>
      </c>
      <c r="K918" s="831">
        <f t="shared" si="2355"/>
        <v>0</v>
      </c>
      <c r="L918" s="831"/>
      <c r="M918" s="832" t="str">
        <f>IF($H$1784=0,"",IF(G918=0,"",IF(F918="Qty=",CONCATENATE("$",ROUND(K918*(1-$H$1784),2)," with ",($H$1784*100),"% discount"),CONCATENATE("$",ROUND(K918*(1-$H$1784),2)," with ",(($H$1784*100+F918*100)-($H$1784*100*F918)),IF(F918&gt;0,"% discounts",IF($H$1781&gt;0,"% discounts","% discount"))))))</f>
        <v/>
      </c>
      <c r="N918" s="832"/>
      <c r="O918" s="832"/>
      <c r="P918" s="832"/>
      <c r="Q918" s="832"/>
      <c r="R918" s="832"/>
      <c r="S918" s="303">
        <f t="shared" ref="S918" si="2360">E918*G918</f>
        <v>0</v>
      </c>
      <c r="T918" s="541">
        <f>VLOOKUP(A918,'Discount Lookup'!D:E,2,FALSE)*G918</f>
        <v>0</v>
      </c>
      <c r="U918" s="83">
        <f>VLOOKUP(A918,'Discount Lookup'!G:H,2,FALSE)*G918</f>
        <v>0</v>
      </c>
      <c r="V918" s="100">
        <f>E918*($J$1782)*G918</f>
        <v>0</v>
      </c>
      <c r="W918" s="100">
        <f t="shared" ref="W918" si="2361">I918</f>
        <v>0</v>
      </c>
      <c r="X918" s="100" t="b">
        <f>IF(G918&gt;0,IF(AD918="me","",G918))</f>
        <v>0</v>
      </c>
      <c r="Y918" s="201"/>
      <c r="Z918" s="829" t="str">
        <f t="shared" ref="Z918" si="2362">IF(G918=0,"",IF(AD918="me","",IF($AD$8="me","",IF(AD918="free","warranty",IF($AD$8="yes","NVP planting:","to NVP install:")))))</f>
        <v/>
      </c>
      <c r="AA918" s="829"/>
      <c r="AB918" s="830" t="str">
        <f>IF(G918=0,"",IF(AD918="free","re-planting",IF(AD918="me","not NVP, by",IF($AD$8="yes",(VLOOKUP(A918,'Discount Lookup'!J:K,2)*G918*(1-$AC$1786)*(1+$AC$1788)),IF(AD918="NVP",(VLOOKUP(A918,'Discount Lookup'!J:K,2)*G918*(1-$AC$1786)*(1+$AC$1788)),IF(AD918="free","re-planting",IF(G918=0,"",IF($AD$8="",IF(AD918="me","not NVP, by",IF(AD918="",IF(G918&gt;0,(VLOOKUP(A918,'Discount Lookup'!J:K,2)*G918*(1-$AC$1786)*(1+$AC$1788)),""),"")),"not NVP, by"))))))))</f>
        <v/>
      </c>
      <c r="AC918" s="830"/>
      <c r="AD918" s="375" t="str">
        <f t="shared" si="2249"/>
        <v/>
      </c>
      <c r="AE918" s="833" t="str">
        <f t="shared" si="2351"/>
        <v/>
      </c>
      <c r="AF918" s="833"/>
      <c r="AG918" s="833"/>
      <c r="AH918" s="91">
        <f>IF(AD918="free",0,IF(AD918="me",0,IF(G918&gt;0,(VLOOKUP(A918,'Discount Lookup'!J:K,2)*G918),0)))</f>
        <v>0</v>
      </c>
      <c r="AI918" s="92" t="str">
        <f t="shared" si="2322"/>
        <v/>
      </c>
      <c r="AJ918" s="828" t="str">
        <f t="shared" ref="AJ918" si="2363">IF(G918=0,"",IF(AD918="me","  delivery-only",IF($AD$8="me","  delivery-only",CONCATENATE(" $",ROUND(AI918/G918,2)," each"))))</f>
        <v/>
      </c>
      <c r="AK918" s="828"/>
      <c r="AL918" s="313" t="str">
        <f t="shared" si="2338"/>
        <v/>
      </c>
      <c r="AM918" s="312"/>
      <c r="AN918" s="101"/>
      <c r="AO918" s="101"/>
      <c r="AP918" s="101"/>
      <c r="AQ918" s="101"/>
      <c r="AR918" s="101"/>
      <c r="AS918" s="101"/>
      <c r="AT918" s="101"/>
    </row>
    <row r="919" spans="1:46" ht="12.95" customHeight="1">
      <c r="A919" s="447">
        <v>3</v>
      </c>
      <c r="B919" s="87" t="s">
        <v>50</v>
      </c>
      <c r="C919" s="128" t="s">
        <v>135</v>
      </c>
      <c r="D919" s="129" t="s">
        <v>90</v>
      </c>
      <c r="E919" s="98">
        <v>50.95</v>
      </c>
      <c r="F919" s="705" t="s">
        <v>1306</v>
      </c>
      <c r="G919" s="357">
        <v>0</v>
      </c>
      <c r="H919" s="704" t="str">
        <f t="shared" si="2353"/>
        <v/>
      </c>
      <c r="I919" s="98">
        <f t="shared" si="2354"/>
        <v>0</v>
      </c>
      <c r="J919" s="98">
        <f>IF(H919="warranty",0,(I919*($J$1782)))</f>
        <v>0</v>
      </c>
      <c r="K919" s="831">
        <f t="shared" si="2355"/>
        <v>0</v>
      </c>
      <c r="L919" s="831"/>
      <c r="M919" s="832" t="str">
        <f>IF($H$1784=0,"",IF(G919=0,"",IF(F919="Qty=",CONCATENATE("$",ROUND(K919*(1-$H$1784),2)," with ",($H$1784*100),"% discount"),CONCATENATE("$",ROUND(K919*(1-$H$1784),2)," with ",(($H$1784*100+F919*100)-($H$1784*100*F919)),IF(F919&gt;0,"% discounts",IF($H$1781&gt;0,"% discounts","% discount"))))))</f>
        <v/>
      </c>
      <c r="N919" s="832"/>
      <c r="O919" s="832"/>
      <c r="P919" s="832"/>
      <c r="Q919" s="832"/>
      <c r="R919" s="832"/>
      <c r="S919" s="303">
        <f t="shared" si="2356"/>
        <v>0</v>
      </c>
      <c r="T919" s="541">
        <f>VLOOKUP(A919,'Discount Lookup'!D:E,2,FALSE)*G919</f>
        <v>0</v>
      </c>
      <c r="U919" s="83">
        <f>VLOOKUP(A919,'Discount Lookup'!G:H,2,FALSE)*G919</f>
        <v>0</v>
      </c>
      <c r="V919" s="100">
        <f>E919*($J$1782)*G919</f>
        <v>0</v>
      </c>
      <c r="W919" s="100">
        <f t="shared" si="2357"/>
        <v>0</v>
      </c>
      <c r="X919" s="100" t="b">
        <f>IF(G919&gt;0,IF(AD919="me","",G919))</f>
        <v>0</v>
      </c>
      <c r="Y919" s="201"/>
      <c r="Z919" s="829" t="str">
        <f t="shared" si="2350"/>
        <v/>
      </c>
      <c r="AA919" s="829"/>
      <c r="AB919" s="830" t="str">
        <f>IF(G919=0,"",IF(AD919="free","re-planting",IF(AD919="me","not NVP, by",IF($AD$8="yes",(VLOOKUP(A919,'Discount Lookup'!J:K,2)*G919*(1-$AC$1786)*(1+$AC$1788)),IF(AD919="NVP",(VLOOKUP(A919,'Discount Lookup'!J:K,2)*G919*(1-$AC$1786)*(1+$AC$1788)),IF(AD919="free","re-planting",IF(G919=0,"",IF($AD$8="",IF(AD919="me","not NVP, by",IF(AD919="",IF(G919&gt;0,(VLOOKUP(A919,'Discount Lookup'!J:K,2)*G919*(1-$AC$1786)*(1+$AC$1788)),""),"")),"not NVP, by"))))))))</f>
        <v/>
      </c>
      <c r="AC919" s="830"/>
      <c r="AD919" s="375" t="str">
        <f t="shared" si="2249"/>
        <v/>
      </c>
      <c r="AE919" s="833" t="str">
        <f t="shared" si="2351"/>
        <v/>
      </c>
      <c r="AF919" s="833"/>
      <c r="AG919" s="833"/>
      <c r="AH919" s="91">
        <f>IF(AD919="free",0,IF(AD919="me",0,IF(G919&gt;0,(VLOOKUP(A919,'Discount Lookup'!J:K,2)*G919),0)))</f>
        <v>0</v>
      </c>
      <c r="AI919" s="92" t="str">
        <f t="shared" si="2322"/>
        <v/>
      </c>
      <c r="AJ919" s="828" t="str">
        <f t="shared" si="2352"/>
        <v/>
      </c>
      <c r="AK919" s="828"/>
      <c r="AL919" s="313" t="str">
        <f t="shared" si="2338"/>
        <v/>
      </c>
      <c r="AM919" s="312"/>
      <c r="AN919" s="101"/>
      <c r="AO919" s="101"/>
      <c r="AP919" s="101"/>
      <c r="AQ919" s="101"/>
      <c r="AR919" s="101"/>
      <c r="AS919" s="101"/>
      <c r="AT919" s="101"/>
    </row>
    <row r="920" spans="1:46" ht="12.95" customHeight="1">
      <c r="A920" s="508"/>
      <c r="B920" s="149" t="s">
        <v>1367</v>
      </c>
      <c r="C920" s="118"/>
      <c r="D920" s="118"/>
      <c r="E920" s="119"/>
      <c r="F920" s="711"/>
      <c r="G920" s="358"/>
      <c r="H920" s="745"/>
      <c r="I920" s="119"/>
      <c r="J920" s="119"/>
      <c r="K920" s="609"/>
      <c r="L920" s="609"/>
      <c r="M920" s="121"/>
      <c r="N920" s="108"/>
      <c r="O920" s="123"/>
      <c r="P920" s="124"/>
      <c r="Q920" s="124"/>
      <c r="R920" s="83"/>
      <c r="S920" s="82"/>
      <c r="T920" s="540"/>
      <c r="U920" s="83"/>
      <c r="V920" s="100"/>
      <c r="W920" s="100"/>
      <c r="X920" s="100"/>
      <c r="Y920" s="201"/>
      <c r="Z920" s="829" t="str">
        <f t="shared" si="2350"/>
        <v/>
      </c>
      <c r="AA920" s="829"/>
      <c r="AB920" s="830" t="str">
        <f>IF(G920=0,"",IF(AD920="free","re-planting",IF(AD920="me","not NVP, by",IF($AD$8="yes",(VLOOKUP(A920,'Discount Lookup'!J:K,2)*G920*(1-$AC$1786)*(1+$AC$1788)),IF(AD920="NVP",(VLOOKUP(A920,'Discount Lookup'!J:K,2)*G920*(1-$AC$1786)*(1+$AC$1788)),IF(AD920="free","re-planting",IF(G920=0,"",IF($AD$8="",IF(AD920="me","not NVP, by",IF(AD920="",IF(G920&gt;0,(VLOOKUP(A920,'Discount Lookup'!J:K,2)*G920*(1-$AC$1786)*(1+$AC$1788)),""),"")),"not NVP, by"))))))))</f>
        <v/>
      </c>
      <c r="AC920" s="830"/>
      <c r="AD920" s="375" t="str">
        <f t="shared" si="2249"/>
        <v/>
      </c>
      <c r="AE920" s="833" t="str">
        <f t="shared" si="2351"/>
        <v/>
      </c>
      <c r="AF920" s="833"/>
      <c r="AG920" s="833"/>
      <c r="AH920" s="91">
        <f>IF(AD920="free",0,IF(AD920="me",0,IF(G920&gt;0,(VLOOKUP(A920,'Discount Lookup'!J:K,2)*G920),0)))</f>
        <v>0</v>
      </c>
      <c r="AI920" s="92" t="str">
        <f t="shared" si="2322"/>
        <v/>
      </c>
      <c r="AJ920" s="828" t="str">
        <f t="shared" si="2352"/>
        <v/>
      </c>
      <c r="AK920" s="828"/>
      <c r="AL920" s="313" t="str">
        <f t="shared" si="2338"/>
        <v/>
      </c>
      <c r="AM920" s="312"/>
      <c r="AN920" s="101"/>
      <c r="AO920" s="101"/>
      <c r="AP920" s="101"/>
      <c r="AQ920" s="101"/>
      <c r="AR920" s="101"/>
      <c r="AS920" s="101"/>
      <c r="AT920" s="101"/>
    </row>
    <row r="921" spans="1:46" ht="12.75" customHeight="1">
      <c r="A921" s="896" t="s">
        <v>538</v>
      </c>
      <c r="B921" s="897"/>
      <c r="C921" s="897"/>
      <c r="D921" s="897"/>
      <c r="E921" s="897"/>
      <c r="F921" s="897"/>
      <c r="G921" s="897"/>
      <c r="H921" s="776" t="s">
        <v>539</v>
      </c>
      <c r="I921" s="88" t="s">
        <v>79</v>
      </c>
      <c r="J921" s="86"/>
      <c r="K921" s="603" t="s">
        <v>45</v>
      </c>
      <c r="L921" s="601" t="s">
        <v>46</v>
      </c>
      <c r="M921" s="86"/>
      <c r="N921" s="87" t="s">
        <v>69</v>
      </c>
      <c r="O921" s="87"/>
      <c r="P921" s="88"/>
      <c r="Q921" s="88"/>
      <c r="R921" s="86"/>
      <c r="S921" s="125"/>
      <c r="T921" s="543"/>
      <c r="U921" s="112"/>
      <c r="V921" s="100" t="b">
        <f>IF(G921&gt;0,IF(AD921="me","",G921))</f>
        <v>0</v>
      </c>
      <c r="W921" s="100"/>
      <c r="X921" s="100"/>
      <c r="Y921" s="201"/>
      <c r="Z921" s="829" t="str">
        <f t="shared" si="2312"/>
        <v/>
      </c>
      <c r="AA921" s="829"/>
      <c r="AB921" s="830" t="str">
        <f>IF(G921=0,"",IF(AD921="free","re-planting",IF(AD921="me","not NVP, by",IF($AD$8="yes",(VLOOKUP(A921,'Discount Lookup'!J:K,2)*G921*(1-$AC$1786)*(1+$AC$1788)),IF(AD921="NVP",(VLOOKUP(A921,'Discount Lookup'!J:K,2)*G921*(1-$AC$1786)*(1+$AC$1788)),IF(AD921="free","re-planting",IF(G921=0,"",IF($AD$8="",IF(AD921="me","not NVP, by",IF(AD921="",IF(G921&gt;0,(VLOOKUP(A921,'Discount Lookup'!J:K,2)*G921*(1-$AC$1786)*(1+$AC$1788)),""),"")),"not NVP, by"))))))))</f>
        <v/>
      </c>
      <c r="AC921" s="830"/>
      <c r="AD921" s="375" t="str">
        <f t="shared" si="2249"/>
        <v/>
      </c>
      <c r="AE921" s="833" t="str">
        <f t="shared" ref="AE921:AE965" si="2364">IF(G921&gt;0,(CONCATENATE((G921)," quantity, ",(A921)," ",B921)),"")</f>
        <v/>
      </c>
      <c r="AF921" s="833"/>
      <c r="AG921" s="833"/>
      <c r="AH921" s="91">
        <f>IF(AD921="free",0,IF(AD921="me",0,IF(G921&gt;0,(VLOOKUP(A921,'Discount Lookup'!J:K,2)*G921),0)))</f>
        <v>0</v>
      </c>
      <c r="AI921" s="92" t="str">
        <f t="shared" si="2322"/>
        <v/>
      </c>
      <c r="AJ921" s="828" t="str">
        <f t="shared" si="2313"/>
        <v/>
      </c>
      <c r="AK921" s="828"/>
      <c r="AL921" s="313" t="str">
        <f t="shared" si="2338"/>
        <v/>
      </c>
      <c r="AM921" s="312"/>
      <c r="AN921" s="101"/>
      <c r="AO921" s="101"/>
      <c r="AP921" s="101"/>
      <c r="AQ921" s="101"/>
      <c r="AR921" s="101"/>
      <c r="AS921" s="101"/>
      <c r="AT921" s="101"/>
    </row>
    <row r="922" spans="1:46" ht="12.95" customHeight="1">
      <c r="A922" s="419">
        <v>3</v>
      </c>
      <c r="B922" s="87" t="s">
        <v>50</v>
      </c>
      <c r="C922" s="399" t="s">
        <v>135</v>
      </c>
      <c r="D922" s="129" t="s">
        <v>86</v>
      </c>
      <c r="E922" s="98">
        <v>24.95</v>
      </c>
      <c r="F922" s="705" t="s">
        <v>1306</v>
      </c>
      <c r="G922" s="357">
        <v>0</v>
      </c>
      <c r="H922" s="704" t="str">
        <f t="shared" ref="H922" si="2365">IF(G922=0,"",IF(F922="Qty=",IF(G922=1,"plant","plants"),IF(F922&gt;0.0001,"warranty","Error")))</f>
        <v/>
      </c>
      <c r="I922" s="98">
        <f t="shared" ref="I922" si="2366">IF(F922="Qty=",(E922*G922),((E922*(1-F922))*G922))</f>
        <v>0</v>
      </c>
      <c r="J922" s="98">
        <f>IF(H922="warranty",0,(I922*($J$1782)))</f>
        <v>0</v>
      </c>
      <c r="K922" s="831">
        <f t="shared" ref="K922:K923" si="2367">I922+J922</f>
        <v>0</v>
      </c>
      <c r="L922" s="831"/>
      <c r="M922" s="832" t="str">
        <f>IF($H$1784=0,"",IF(G922=0,"",IF(F922="Qty=",CONCATENATE("$",ROUND(K922*(1-$H$1784),2)," with ",($H$1784*100),"% discount"),CONCATENATE("$",ROUND(K922*(1-$H$1784),2)," with ",(($H$1784*100+F922*100)-($H$1784*100*F922)),IF(F922&gt;0,"% discounts",IF($H$1781&gt;0,"% discounts","% discount"))))))</f>
        <v/>
      </c>
      <c r="N922" s="832"/>
      <c r="O922" s="832"/>
      <c r="P922" s="832"/>
      <c r="Q922" s="832"/>
      <c r="R922" s="832"/>
      <c r="S922" s="303">
        <f t="shared" ref="S922" si="2368">E922*G922</f>
        <v>0</v>
      </c>
      <c r="T922" s="541">
        <f>VLOOKUP(A922,'Discount Lookup'!D:E,2,FALSE)*G922</f>
        <v>0</v>
      </c>
      <c r="U922" s="83">
        <f>VLOOKUP(A922,'Discount Lookup'!G:H,2,FALSE)*G922</f>
        <v>0</v>
      </c>
      <c r="V922" s="100">
        <f>E922*($J$1782)*G922</f>
        <v>0</v>
      </c>
      <c r="W922" s="100">
        <f t="shared" ref="W922" si="2369">I922</f>
        <v>0</v>
      </c>
      <c r="X922" s="100" t="b">
        <f>IF(G922&gt;0,IF(AD922="me","",G922))</f>
        <v>0</v>
      </c>
      <c r="Y922" s="201"/>
      <c r="Z922" s="829" t="str">
        <f t="shared" ref="Z922" si="2370">IF(G922=0,"",IF(AD922="me","",IF($AD$8="me","",IF(AD922="free","warranty",IF($AD$8="yes","NVP planting:","to NVP install:")))))</f>
        <v/>
      </c>
      <c r="AA922" s="829"/>
      <c r="AB922" s="830" t="str">
        <f>IF(G922=0,"",IF(AD922="free","re-planting",IF(AD922="me","not NVP, by",IF($AD$8="yes",(VLOOKUP(A922,'Discount Lookup'!J:K,2)*G922*(1-$AC$1786)*(1+$AC$1788)),IF(AD922="NVP",(VLOOKUP(A922,'Discount Lookup'!J:K,2)*G922*(1-$AC$1786)*(1+$AC$1788)),IF(AD922="free","re-planting",IF(G922=0,"",IF($AD$8="",IF(AD922="me","not NVP, by",IF(AD922="",IF(G922&gt;0,(VLOOKUP(A922,'Discount Lookup'!J:K,2)*G922*(1-$AC$1786)*(1+$AC$1788)),""),"")),"not NVP, by"))))))))</f>
        <v/>
      </c>
      <c r="AC922" s="830"/>
      <c r="AD922" s="375" t="str">
        <f t="shared" si="2249"/>
        <v/>
      </c>
      <c r="AE922" s="833" t="str">
        <f t="shared" ref="AE922" si="2371">IF(G922&gt;0,(CONCATENATE((G922)," quantity, ",(A922)," ",B922)),"")</f>
        <v/>
      </c>
      <c r="AF922" s="833"/>
      <c r="AG922" s="833"/>
      <c r="AH922" s="91">
        <f>IF(AD922="free",0,IF(AD922="me",0,IF(G922&gt;0,(VLOOKUP(A922,'Discount Lookup'!J:K,2)*G922),0)))</f>
        <v>0</v>
      </c>
      <c r="AI922" s="92" t="str">
        <f t="shared" si="2322"/>
        <v/>
      </c>
      <c r="AJ922" s="828" t="str">
        <f t="shared" ref="AJ922" si="2372">IF(G922=0,"",IF(AD922="me","  delivery-only",IF($AD$8="me","  delivery-only",CONCATENATE(" $",ROUND(AI922/G922,2)," each"))))</f>
        <v/>
      </c>
      <c r="AK922" s="828"/>
      <c r="AL922" s="313" t="str">
        <f t="shared" si="2338"/>
        <v/>
      </c>
      <c r="AM922" s="312"/>
      <c r="AN922" s="101"/>
      <c r="AO922" s="101"/>
      <c r="AP922" s="101"/>
      <c r="AQ922" s="101"/>
      <c r="AR922" s="101"/>
      <c r="AS922" s="101"/>
      <c r="AT922" s="101"/>
    </row>
    <row r="923" spans="1:46" ht="12.95" customHeight="1">
      <c r="A923" s="419">
        <v>3</v>
      </c>
      <c r="B923" s="87" t="s">
        <v>50</v>
      </c>
      <c r="C923" s="399" t="s">
        <v>135</v>
      </c>
      <c r="D923" s="129" t="s">
        <v>94</v>
      </c>
      <c r="E923" s="98">
        <v>23.95</v>
      </c>
      <c r="F923" s="705" t="s">
        <v>1306</v>
      </c>
      <c r="G923" s="357">
        <v>0</v>
      </c>
      <c r="H923" s="704" t="str">
        <f t="shared" ref="H923" si="2373">IF(G923=0,"",IF(F923="Qty=",IF(G923=1,"plant","plants"),IF(F923&gt;0.0001,"warranty","Error")))</f>
        <v/>
      </c>
      <c r="I923" s="98">
        <f t="shared" ref="I923" si="2374">IF(F923="Qty=",(E923*G923),((E923*(1-F923))*G923))</f>
        <v>0</v>
      </c>
      <c r="J923" s="98">
        <f>IF(H923="warranty",0,(I923*($J$1782)))</f>
        <v>0</v>
      </c>
      <c r="K923" s="831">
        <f t="shared" si="2367"/>
        <v>0</v>
      </c>
      <c r="L923" s="831"/>
      <c r="M923" s="832" t="str">
        <f>IF($H$1784=0,"",IF(G923=0,"",IF(F923="Qty=",CONCATENATE("$",ROUND(K923*(1-$H$1784),2)," with ",($H$1784*100),"% discount"),CONCATENATE("$",ROUND(K923*(1-$H$1784),2)," with ",(($H$1784*100+F923*100)-($H$1784*100*F923)),IF(F923&gt;0,"% discounts",IF($H$1781&gt;0,"% discounts","% discount"))))))</f>
        <v/>
      </c>
      <c r="N923" s="832"/>
      <c r="O923" s="832"/>
      <c r="P923" s="832"/>
      <c r="Q923" s="832"/>
      <c r="R923" s="832"/>
      <c r="S923" s="303">
        <f t="shared" ref="S923" si="2375">E923*G923</f>
        <v>0</v>
      </c>
      <c r="T923" s="541">
        <f>VLOOKUP(A923,'Discount Lookup'!D:E,2,FALSE)*G923</f>
        <v>0</v>
      </c>
      <c r="U923" s="83">
        <f>VLOOKUP(A923,'Discount Lookup'!G:H,2,FALSE)*G923</f>
        <v>0</v>
      </c>
      <c r="V923" s="100">
        <f>E923*($J$1782)*G923</f>
        <v>0</v>
      </c>
      <c r="W923" s="100">
        <f t="shared" ref="W923" si="2376">I923</f>
        <v>0</v>
      </c>
      <c r="X923" s="100" t="b">
        <f>IF(G923&gt;0,IF(AD923="me","",G923))</f>
        <v>0</v>
      </c>
      <c r="Y923" s="201"/>
      <c r="Z923" s="829" t="str">
        <f t="shared" si="2312"/>
        <v/>
      </c>
      <c r="AA923" s="829"/>
      <c r="AB923" s="830" t="str">
        <f>IF(G923=0,"",IF(AD923="free","re-planting",IF(AD923="me","not NVP, by",IF($AD$8="yes",(VLOOKUP(A923,'Discount Lookup'!J:K,2)*G923*(1-$AC$1786)*(1+$AC$1788)),IF(AD923="NVP",(VLOOKUP(A923,'Discount Lookup'!J:K,2)*G923*(1-$AC$1786)*(1+$AC$1788)),IF(AD923="free","re-planting",IF(G923=0,"",IF($AD$8="",IF(AD923="me","not NVP, by",IF(AD923="",IF(G923&gt;0,(VLOOKUP(A923,'Discount Lookup'!J:K,2)*G923*(1-$AC$1786)*(1+$AC$1788)),""),"")),"not NVP, by"))))))))</f>
        <v/>
      </c>
      <c r="AC923" s="830"/>
      <c r="AD923" s="375" t="str">
        <f t="shared" si="2249"/>
        <v/>
      </c>
      <c r="AE923" s="833" t="str">
        <f t="shared" si="2364"/>
        <v/>
      </c>
      <c r="AF923" s="833"/>
      <c r="AG923" s="833"/>
      <c r="AH923" s="91">
        <f>IF(AD923="free",0,IF(AD923="me",0,IF(G923&gt;0,(VLOOKUP(A923,'Discount Lookup'!J:K,2)*G923),0)))</f>
        <v>0</v>
      </c>
      <c r="AI923" s="92" t="str">
        <f t="shared" si="2322"/>
        <v/>
      </c>
      <c r="AJ923" s="828" t="str">
        <f t="shared" si="2313"/>
        <v/>
      </c>
      <c r="AK923" s="828"/>
      <c r="AL923" s="313" t="str">
        <f t="shared" si="2338"/>
        <v/>
      </c>
      <c r="AM923" s="312"/>
      <c r="AN923" s="101"/>
      <c r="AO923" s="101"/>
      <c r="AP923" s="101"/>
      <c r="AQ923" s="101"/>
      <c r="AR923" s="101"/>
      <c r="AS923" s="101"/>
      <c r="AT923" s="101"/>
    </row>
    <row r="924" spans="1:46" ht="12.95" customHeight="1">
      <c r="A924" s="469"/>
      <c r="B924" s="149" t="s">
        <v>540</v>
      </c>
      <c r="G924" s="361"/>
      <c r="H924" s="749"/>
      <c r="M924" s="48"/>
      <c r="N924" s="122" t="s">
        <v>460</v>
      </c>
      <c r="O924" s="48"/>
      <c r="P924" s="111"/>
      <c r="Q924" s="111"/>
      <c r="R924" s="48"/>
      <c r="S924" s="82">
        <f>E924*G924</f>
        <v>0</v>
      </c>
      <c r="T924" s="540"/>
      <c r="U924" s="83"/>
      <c r="V924" s="100" t="b">
        <f>IF(G924&gt;0,IF(AD924="me","",G924))</f>
        <v>0</v>
      </c>
      <c r="W924" s="100"/>
      <c r="X924" s="100"/>
      <c r="Y924" s="201"/>
      <c r="Z924" s="829" t="str">
        <f t="shared" si="2312"/>
        <v/>
      </c>
      <c r="AA924" s="829"/>
      <c r="AB924" s="830" t="str">
        <f>IF(G924=0,"",IF(AD924="free","re-planting",IF(AD924="me","not NVP, by",IF($AD$8="yes",(VLOOKUP(A924,'Discount Lookup'!J:K,2)*G924*(1-$AC$1786)*(1+$AC$1788)),IF(AD924="NVP",(VLOOKUP(A924,'Discount Lookup'!J:K,2)*G924*(1-$AC$1786)*(1+$AC$1788)),IF(AD924="free","re-planting",IF(G924=0,"",IF($AD$8="",IF(AD924="me","not NVP, by",IF(AD924="",IF(G924&gt;0,(VLOOKUP(A924,'Discount Lookup'!J:K,2)*G924*(1-$AC$1786)*(1+$AC$1788)),""),"")),"not NVP, by"))))))))</f>
        <v/>
      </c>
      <c r="AC924" s="830"/>
      <c r="AD924" s="375" t="str">
        <f t="shared" si="2249"/>
        <v/>
      </c>
      <c r="AE924" s="833" t="str">
        <f t="shared" si="2364"/>
        <v/>
      </c>
      <c r="AF924" s="833"/>
      <c r="AG924" s="833"/>
      <c r="AH924" s="91">
        <f>IF(AD924="free",0,IF(AD924="me",0,IF(G924&gt;0,(VLOOKUP(A924,'Discount Lookup'!J:K,2)*G924),0)))</f>
        <v>0</v>
      </c>
      <c r="AI924" s="92" t="str">
        <f t="shared" si="2322"/>
        <v/>
      </c>
      <c r="AJ924" s="828" t="str">
        <f t="shared" si="2313"/>
        <v/>
      </c>
      <c r="AK924" s="828"/>
      <c r="AL924" s="313" t="str">
        <f t="shared" si="2338"/>
        <v/>
      </c>
      <c r="AM924" s="312"/>
      <c r="AN924" s="101"/>
      <c r="AO924" s="101"/>
      <c r="AP924" s="101"/>
      <c r="AQ924" s="101"/>
      <c r="AR924" s="101"/>
      <c r="AS924" s="101"/>
      <c r="AT924" s="101"/>
    </row>
    <row r="925" spans="1:46" ht="12.95" customHeight="1">
      <c r="A925" s="863" t="s">
        <v>541</v>
      </c>
      <c r="B925" s="864"/>
      <c r="C925" s="864"/>
      <c r="D925" s="864"/>
      <c r="E925" s="864"/>
      <c r="F925" s="864"/>
      <c r="G925" s="864"/>
      <c r="H925" s="776" t="s">
        <v>542</v>
      </c>
      <c r="I925" s="114" t="s">
        <v>543</v>
      </c>
      <c r="J925" s="86"/>
      <c r="K925" s="603" t="s">
        <v>45</v>
      </c>
      <c r="L925" s="601" t="s">
        <v>46</v>
      </c>
      <c r="M925" s="86"/>
      <c r="N925" s="87" t="s">
        <v>128</v>
      </c>
      <c r="O925" s="87"/>
      <c r="P925" s="87"/>
      <c r="Q925" s="87"/>
      <c r="R925" s="86"/>
      <c r="S925" s="125"/>
      <c r="T925" s="543"/>
      <c r="U925" s="112"/>
      <c r="V925" s="100" t="b">
        <f>IF(G925&gt;0,IF(AD925="me","",G925))</f>
        <v>0</v>
      </c>
      <c r="W925" s="100"/>
      <c r="X925" s="100"/>
      <c r="Y925" s="201"/>
      <c r="Z925" s="829" t="str">
        <f t="shared" si="2312"/>
        <v/>
      </c>
      <c r="AA925" s="829"/>
      <c r="AB925" s="830" t="str">
        <f>IF(G925=0,"",IF(AD925="free","re-planting",IF(AD925="me","not NVP, by",IF($AD$8="yes",(VLOOKUP(A925,'Discount Lookup'!J:K,2)*G925*(1-$AC$1786)*(1+$AC$1788)),IF(AD925="NVP",(VLOOKUP(A925,'Discount Lookup'!J:K,2)*G925*(1-$AC$1786)*(1+$AC$1788)),IF(AD925="free","re-planting",IF(G925=0,"",IF($AD$8="",IF(AD925="me","not NVP, by",IF(AD925="",IF(G925&gt;0,(VLOOKUP(A925,'Discount Lookup'!J:K,2)*G925*(1-$AC$1786)*(1+$AC$1788)),""),"")),"not NVP, by"))))))))</f>
        <v/>
      </c>
      <c r="AC925" s="830"/>
      <c r="AD925" s="375" t="str">
        <f t="shared" si="2249"/>
        <v/>
      </c>
      <c r="AE925" s="833" t="str">
        <f t="shared" si="2364"/>
        <v/>
      </c>
      <c r="AF925" s="833"/>
      <c r="AG925" s="833"/>
      <c r="AH925" s="91">
        <f>IF(AD925="free",0,IF(AD925="me",0,IF(G925&gt;0,(VLOOKUP(A925,'Discount Lookup'!J:K,2)*G925),0)))</f>
        <v>0</v>
      </c>
      <c r="AI925" s="92" t="str">
        <f t="shared" si="2322"/>
        <v/>
      </c>
      <c r="AJ925" s="828" t="str">
        <f t="shared" si="2313"/>
        <v/>
      </c>
      <c r="AK925" s="828"/>
      <c r="AL925" s="313" t="str">
        <f t="shared" si="2338"/>
        <v/>
      </c>
      <c r="AM925" s="312"/>
      <c r="AN925" s="101"/>
      <c r="AO925" s="101"/>
      <c r="AP925" s="101"/>
      <c r="AQ925" s="101"/>
      <c r="AR925" s="101"/>
      <c r="AS925" s="101"/>
      <c r="AT925" s="101"/>
    </row>
    <row r="926" spans="1:46" ht="12.95" customHeight="1">
      <c r="A926" s="419">
        <v>3</v>
      </c>
      <c r="B926" s="87" t="s">
        <v>50</v>
      </c>
      <c r="C926" s="128" t="s">
        <v>51</v>
      </c>
      <c r="D926" s="129" t="s">
        <v>63</v>
      </c>
      <c r="E926" s="98">
        <v>36.950000000000003</v>
      </c>
      <c r="F926" s="705" t="s">
        <v>1306</v>
      </c>
      <c r="G926" s="357">
        <v>0</v>
      </c>
      <c r="H926" s="704" t="str">
        <f t="shared" ref="H926" si="2377">IF(G926=0,"",IF(F926="Qty=",IF(G926=1,"plant","plants"),IF(F926&gt;0.0001,"warranty","Error")))</f>
        <v/>
      </c>
      <c r="I926" s="98">
        <f t="shared" ref="I926" si="2378">IF(F926="Qty=",(E926*G926),((E926*(1-F926))*G926))</f>
        <v>0</v>
      </c>
      <c r="J926" s="98">
        <f>IF(H926="warranty",0,(I926*($J$1782)))</f>
        <v>0</v>
      </c>
      <c r="K926" s="831">
        <f t="shared" ref="K926:K927" si="2379">I926+J926</f>
        <v>0</v>
      </c>
      <c r="L926" s="831"/>
      <c r="M926" s="832" t="str">
        <f>IF($H$1784=0,"",IF(G926=0,"",IF(F926="Qty=",CONCATENATE("$",ROUND(K926*(1-$H$1784),2)," with ",($H$1784*100),"% discount"),CONCATENATE("$",ROUND(K926*(1-$H$1784),2)," with ",(($H$1784*100+F926*100)-($H$1784*100*F926)),IF(F926&gt;0,"% discounts",IF($H$1781&gt;0,"% discounts","% discount"))))))</f>
        <v/>
      </c>
      <c r="N926" s="832"/>
      <c r="O926" s="832"/>
      <c r="P926" s="832"/>
      <c r="Q926" s="832"/>
      <c r="R926" s="832"/>
      <c r="S926" s="303">
        <f t="shared" ref="S926" si="2380">E926*G926</f>
        <v>0</v>
      </c>
      <c r="T926" s="541">
        <f>VLOOKUP(A926,'Discount Lookup'!D:E,2,FALSE)*G926</f>
        <v>0</v>
      </c>
      <c r="U926" s="83">
        <f>VLOOKUP(A926,'Discount Lookup'!G:H,2,FALSE)*G926</f>
        <v>0</v>
      </c>
      <c r="V926" s="100">
        <f>E926*($J$1782)*G926</f>
        <v>0</v>
      </c>
      <c r="W926" s="100">
        <f t="shared" ref="W926" si="2381">I926</f>
        <v>0</v>
      </c>
      <c r="X926" s="100" t="b">
        <f>IF(G926&gt;0,IF(AD926="me","",G926))</f>
        <v>0</v>
      </c>
      <c r="Y926" s="201"/>
      <c r="Z926" s="829" t="str">
        <f t="shared" ref="Z926" si="2382">IF(G926=0,"",IF(AD926="me","",IF($AD$8="me","",IF(AD926="free","warranty",IF($AD$8="yes","NVP planting:","to NVP install:")))))</f>
        <v/>
      </c>
      <c r="AA926" s="829"/>
      <c r="AB926" s="830" t="str">
        <f>IF(G926=0,"",IF(AD926="free","re-planting",IF(AD926="me","not NVP, by",IF($AD$8="yes",(VLOOKUP(A926,'Discount Lookup'!J:K,2)*G926*(1-$AC$1786)*(1+$AC$1788)),IF(AD926="NVP",(VLOOKUP(A926,'Discount Lookup'!J:K,2)*G926*(1-$AC$1786)*(1+$AC$1788)),IF(AD926="free","re-planting",IF(G926=0,"",IF($AD$8="",IF(AD926="me","not NVP, by",IF(AD926="",IF(G926&gt;0,(VLOOKUP(A926,'Discount Lookup'!J:K,2)*G926*(1-$AC$1786)*(1+$AC$1788)),""),"")),"not NVP, by"))))))))</f>
        <v/>
      </c>
      <c r="AC926" s="830"/>
      <c r="AD926" s="375" t="str">
        <f t="shared" si="2249"/>
        <v/>
      </c>
      <c r="AE926" s="833" t="str">
        <f t="shared" ref="AE926" si="2383">IF(G926&gt;0,(CONCATENATE((G926)," quantity, ",(A926)," ",B926)),"")</f>
        <v/>
      </c>
      <c r="AF926" s="833"/>
      <c r="AG926" s="833"/>
      <c r="AH926" s="91">
        <f>IF(AD926="free",0,IF(AD926="me",0,IF(G926&gt;0,(VLOOKUP(A926,'Discount Lookup'!J:K,2)*G926),0)))</f>
        <v>0</v>
      </c>
      <c r="AI926" s="92" t="str">
        <f t="shared" si="2322"/>
        <v/>
      </c>
      <c r="AJ926" s="828" t="str">
        <f t="shared" ref="AJ926" si="2384">IF(G926=0,"",IF(AD926="me","  delivery-only",IF($AD$8="me","  delivery-only",CONCATENATE(" $",ROUND(AI926/G926,2)," each"))))</f>
        <v/>
      </c>
      <c r="AK926" s="828"/>
      <c r="AL926" s="313" t="str">
        <f t="shared" si="2338"/>
        <v/>
      </c>
      <c r="AM926" s="312"/>
      <c r="AN926" s="101"/>
      <c r="AO926" s="101"/>
      <c r="AP926" s="101"/>
      <c r="AQ926" s="101"/>
      <c r="AR926" s="101"/>
      <c r="AS926" s="101"/>
      <c r="AT926" s="101"/>
    </row>
    <row r="927" spans="1:46" ht="12.95" customHeight="1">
      <c r="A927" s="419">
        <v>10</v>
      </c>
      <c r="B927" s="87" t="s">
        <v>50</v>
      </c>
      <c r="C927" s="128" t="s">
        <v>1622</v>
      </c>
      <c r="D927" s="129" t="s">
        <v>90</v>
      </c>
      <c r="E927" s="98">
        <v>128.94999999999999</v>
      </c>
      <c r="F927" s="705" t="s">
        <v>1306</v>
      </c>
      <c r="G927" s="357">
        <v>0</v>
      </c>
      <c r="H927" s="704" t="str">
        <f t="shared" ref="H927" si="2385">IF(G927=0,"",IF(F927="Qty=",IF(G927=1,"plant","plants"),IF(F927&gt;0.0001,"warranty","Error")))</f>
        <v/>
      </c>
      <c r="I927" s="98">
        <f t="shared" ref="I927" si="2386">IF(F927="Qty=",(E927*G927),((E927*(1-F927))*G927))</f>
        <v>0</v>
      </c>
      <c r="J927" s="98">
        <f>IF(H927="warranty",0,(I927*($J$1782)))</f>
        <v>0</v>
      </c>
      <c r="K927" s="831">
        <f t="shared" si="2379"/>
        <v>0</v>
      </c>
      <c r="L927" s="831"/>
      <c r="M927" s="832" t="str">
        <f>IF($H$1784=0,"",IF(G927=0,"",IF(F927="Qty=",CONCATENATE("$",ROUND(K927*(1-$H$1784),2)," with ",($H$1784*100),"% discount"),CONCATENATE("$",ROUND(K927*(1-$H$1784),2)," with ",(($H$1784*100+F927*100)-($H$1784*100*F927)),IF(F927&gt;0,"% discounts",IF($H$1781&gt;0,"% discounts","% discount"))))))</f>
        <v/>
      </c>
      <c r="N927" s="832"/>
      <c r="O927" s="832"/>
      <c r="P927" s="832"/>
      <c r="Q927" s="832"/>
      <c r="R927" s="832"/>
      <c r="S927" s="303">
        <f t="shared" ref="S927" si="2387">E927*G927</f>
        <v>0</v>
      </c>
      <c r="T927" s="541">
        <f>VLOOKUP(A927,'Discount Lookup'!D:E,2,FALSE)*G927</f>
        <v>0</v>
      </c>
      <c r="U927" s="83">
        <f>VLOOKUP(A927,'Discount Lookup'!G:H,2,FALSE)*G927</f>
        <v>0</v>
      </c>
      <c r="V927" s="100">
        <f>E927*($J$1782)*G927</f>
        <v>0</v>
      </c>
      <c r="W927" s="100">
        <f t="shared" ref="W927" si="2388">I927</f>
        <v>0</v>
      </c>
      <c r="X927" s="100" t="b">
        <f>IF(G927&gt;0,IF(AD927="me","",G927))</f>
        <v>0</v>
      </c>
      <c r="Y927" s="201"/>
      <c r="Z927" s="829" t="str">
        <f t="shared" si="2312"/>
        <v/>
      </c>
      <c r="AA927" s="829"/>
      <c r="AB927" s="830" t="str">
        <f>IF(G927=0,"",IF(AD927="free","re-planting",IF(AD927="me","not NVP, by",IF($AD$8="yes",(VLOOKUP(A927,'Discount Lookup'!J:K,2)*G927*(1-$AC$1786)*(1+$AC$1788)),IF(AD927="NVP",(VLOOKUP(A927,'Discount Lookup'!J:K,2)*G927*(1-$AC$1786)*(1+$AC$1788)),IF(AD927="free","re-planting",IF(G927=0,"",IF($AD$8="",IF(AD927="me","not NVP, by",IF(AD927="",IF(G927&gt;0,(VLOOKUP(A927,'Discount Lookup'!J:K,2)*G927*(1-$AC$1786)*(1+$AC$1788)),""),"")),"not NVP, by"))))))))</f>
        <v/>
      </c>
      <c r="AC927" s="830"/>
      <c r="AD927" s="375" t="str">
        <f t="shared" si="2249"/>
        <v/>
      </c>
      <c r="AE927" s="833" t="str">
        <f t="shared" si="2364"/>
        <v/>
      </c>
      <c r="AF927" s="833"/>
      <c r="AG927" s="833"/>
      <c r="AH927" s="91">
        <f>IF(AD927="free",0,IF(AD927="me",0,IF(G927&gt;0,(VLOOKUP(A927,'Discount Lookup'!J:K,2)*G927),0)))</f>
        <v>0</v>
      </c>
      <c r="AI927" s="92" t="str">
        <f t="shared" si="2322"/>
        <v/>
      </c>
      <c r="AJ927" s="828" t="str">
        <f t="shared" si="2313"/>
        <v/>
      </c>
      <c r="AK927" s="828"/>
      <c r="AL927" s="313" t="str">
        <f t="shared" si="2338"/>
        <v/>
      </c>
      <c r="AM927" s="312"/>
      <c r="AN927" s="101"/>
      <c r="AO927" s="101"/>
      <c r="AP927" s="101"/>
      <c r="AQ927" s="101"/>
      <c r="AR927" s="101"/>
      <c r="AS927" s="101"/>
      <c r="AT927" s="101"/>
    </row>
    <row r="928" spans="1:46" ht="12.95" customHeight="1">
      <c r="A928" s="468"/>
      <c r="B928" s="149" t="s">
        <v>544</v>
      </c>
      <c r="C928" s="118"/>
      <c r="D928" s="118"/>
      <c r="E928" s="119"/>
      <c r="F928" s="711"/>
      <c r="G928" s="358"/>
      <c r="H928" s="745"/>
      <c r="I928" s="119"/>
      <c r="J928" s="119"/>
      <c r="K928" s="609"/>
      <c r="L928" s="609"/>
      <c r="M928" s="121"/>
      <c r="N928" s="121"/>
      <c r="O928" s="123"/>
      <c r="P928" s="124"/>
      <c r="Q928" s="124"/>
      <c r="R928" s="83"/>
      <c r="S928" s="82">
        <f>E928*G928</f>
        <v>0</v>
      </c>
      <c r="T928" s="540"/>
      <c r="U928" s="83"/>
      <c r="V928" s="100" t="b">
        <f>IF(G928&gt;0,IF(AD928="me","",G928))</f>
        <v>0</v>
      </c>
      <c r="W928" s="100"/>
      <c r="X928" s="100"/>
      <c r="Y928" s="201"/>
      <c r="Z928" s="829" t="str">
        <f t="shared" si="2312"/>
        <v/>
      </c>
      <c r="AA928" s="829"/>
      <c r="AB928" s="830" t="str">
        <f>IF(G928=0,"",IF(AD928="free","re-planting",IF(AD928="me","not NVP, by",IF($AD$8="yes",(VLOOKUP(A928,'Discount Lookup'!J:K,2)*G928*(1-$AC$1786)*(1+$AC$1788)),IF(AD928="NVP",(VLOOKUP(A928,'Discount Lookup'!J:K,2)*G928*(1-$AC$1786)*(1+$AC$1788)),IF(AD928="free","re-planting",IF(G928=0,"",IF($AD$8="",IF(AD928="me","not NVP, by",IF(AD928="",IF(G928&gt;0,(VLOOKUP(A928,'Discount Lookup'!J:K,2)*G928*(1-$AC$1786)*(1+$AC$1788)),""),"")),"not NVP, by"))))))))</f>
        <v/>
      </c>
      <c r="AC928" s="830"/>
      <c r="AD928" s="375" t="str">
        <f t="shared" si="2249"/>
        <v/>
      </c>
      <c r="AE928" s="833" t="str">
        <f t="shared" si="2364"/>
        <v/>
      </c>
      <c r="AF928" s="833"/>
      <c r="AG928" s="833"/>
      <c r="AH928" s="91">
        <f>IF(AD928="free",0,IF(AD928="me",0,IF(G928&gt;0,(VLOOKUP(A928,'Discount Lookup'!J:K,2)*G928),0)))</f>
        <v>0</v>
      </c>
      <c r="AI928" s="92" t="str">
        <f t="shared" si="2322"/>
        <v/>
      </c>
      <c r="AJ928" s="828" t="str">
        <f t="shared" si="2313"/>
        <v/>
      </c>
      <c r="AK928" s="828"/>
      <c r="AL928" s="313" t="str">
        <f t="shared" si="2338"/>
        <v/>
      </c>
      <c r="AM928" s="312"/>
      <c r="AN928" s="101"/>
      <c r="AO928" s="101"/>
      <c r="AP928" s="101"/>
      <c r="AQ928" s="101"/>
      <c r="AR928" s="101"/>
      <c r="AS928" s="101"/>
      <c r="AT928" s="101"/>
    </row>
    <row r="929" spans="1:46" ht="12.95" customHeight="1">
      <c r="A929" s="896" t="s">
        <v>1045</v>
      </c>
      <c r="B929" s="897"/>
      <c r="C929" s="897"/>
      <c r="D929" s="897"/>
      <c r="E929" s="897"/>
      <c r="F929" s="897"/>
      <c r="G929" s="897"/>
      <c r="H929" s="776" t="s">
        <v>545</v>
      </c>
      <c r="I929" s="439" t="s">
        <v>280</v>
      </c>
      <c r="J929" s="93"/>
      <c r="K929" s="603" t="s">
        <v>45</v>
      </c>
      <c r="L929" s="634" t="s">
        <v>46</v>
      </c>
      <c r="M929" s="86"/>
      <c r="N929" s="87" t="s">
        <v>69</v>
      </c>
      <c r="O929" s="87"/>
      <c r="P929" s="87"/>
      <c r="Q929" s="87"/>
      <c r="R929" s="86"/>
      <c r="S929" s="86"/>
      <c r="T929" s="553"/>
      <c r="Y929" s="132"/>
      <c r="Z929" s="829" t="str">
        <f t="shared" si="2312"/>
        <v/>
      </c>
      <c r="AA929" s="829"/>
      <c r="AB929" s="830" t="str">
        <f>IF(G929=0,"",IF(AD929="free","re-planting",IF(AD929="me","not NVP, by",IF($AD$8="yes",(VLOOKUP(A929,'Discount Lookup'!J:K,2)*G929*(1-$AC$1786)*(1+$AC$1788)),IF(AD929="NVP",(VLOOKUP(A929,'Discount Lookup'!J:K,2)*G929*(1-$AC$1786)*(1+$AC$1788)),IF(AD929="free","re-planting",IF(G929=0,"",IF($AD$8="",IF(AD929="me","not NVP, by",IF(AD929="",IF(G929&gt;0,(VLOOKUP(A929,'Discount Lookup'!J:K,2)*G929*(1-$AC$1786)*(1+$AC$1788)),""),"")),"not NVP, by"))))))))</f>
        <v/>
      </c>
      <c r="AC929" s="830"/>
      <c r="AD929" s="375" t="str">
        <f t="shared" si="2249"/>
        <v/>
      </c>
      <c r="AE929" s="833" t="str">
        <f t="shared" ref="AE929:AE935" si="2389">IF(G929&gt;0,(CONCATENATE((G929)," quantity, ",(A929)," ",B929)),"")</f>
        <v/>
      </c>
      <c r="AF929" s="833"/>
      <c r="AG929" s="833"/>
      <c r="AH929" s="91">
        <f>IF(AD929="free",0,IF(AD929="me",0,IF(G929&gt;0,(VLOOKUP(A929,'Discount Lookup'!J:K,2)*G929),0)))</f>
        <v>0</v>
      </c>
      <c r="AI929" s="92" t="str">
        <f t="shared" si="2322"/>
        <v/>
      </c>
      <c r="AJ929" s="828" t="str">
        <f t="shared" si="2313"/>
        <v/>
      </c>
      <c r="AK929" s="828"/>
      <c r="AL929" s="313" t="str">
        <f t="shared" si="2338"/>
        <v/>
      </c>
      <c r="AM929" s="312"/>
      <c r="AN929" s="101"/>
      <c r="AO929" s="101"/>
      <c r="AP929" s="101"/>
      <c r="AQ929" s="101"/>
      <c r="AR929" s="101"/>
      <c r="AS929" s="101"/>
      <c r="AT929" s="101"/>
    </row>
    <row r="930" spans="1:46" ht="12.95" customHeight="1">
      <c r="A930" s="419">
        <v>3</v>
      </c>
      <c r="B930" s="87" t="s">
        <v>50</v>
      </c>
      <c r="C930" s="128" t="s">
        <v>483</v>
      </c>
      <c r="D930" s="129" t="s">
        <v>94</v>
      </c>
      <c r="E930" s="98">
        <v>23.95</v>
      </c>
      <c r="F930" s="705" t="s">
        <v>1306</v>
      </c>
      <c r="G930" s="357">
        <v>0</v>
      </c>
      <c r="H930" s="704" t="str">
        <f t="shared" ref="H930" si="2390">IF(G930=0,"",IF(F930="Qty=",IF(G930=1,"plant","plants"),IF(F930&gt;0.0001,"warranty","Error")))</f>
        <v/>
      </c>
      <c r="I930" s="98">
        <f t="shared" ref="I930" si="2391">IF(F930="Qty=",(E930*G930),((E930*(1-F930))*G930))</f>
        <v>0</v>
      </c>
      <c r="J930" s="98">
        <f>IF(H930="warranty",0,(I930*($J$1782)))</f>
        <v>0</v>
      </c>
      <c r="K930" s="831">
        <f t="shared" ref="K930" si="2392">I930+J930</f>
        <v>0</v>
      </c>
      <c r="L930" s="831"/>
      <c r="M930" s="832" t="str">
        <f>IF($H$1784=0,"",IF(G930=0,"",IF(F930="Qty=",CONCATENATE("$",ROUND(K930*(1-$H$1784),2)," with ",($H$1784*100),"% discount"),CONCATENATE("$",ROUND(K930*(1-$H$1784),2)," with ",(($H$1784*100+F930*100)-($H$1784*100*F930)),IF(F930&gt;0,"% discounts",IF($H$1781&gt;0,"% discounts","% discount"))))))</f>
        <v/>
      </c>
      <c r="N930" s="832"/>
      <c r="O930" s="832"/>
      <c r="P930" s="832"/>
      <c r="Q930" s="832"/>
      <c r="R930" s="832"/>
      <c r="S930" s="303">
        <f t="shared" ref="S930" si="2393">E930*G930</f>
        <v>0</v>
      </c>
      <c r="T930" s="541">
        <f>VLOOKUP(A930,'Discount Lookup'!D:E,2,FALSE)*G930</f>
        <v>0</v>
      </c>
      <c r="U930" s="83">
        <f>VLOOKUP(A930,'Discount Lookup'!G:H,2,FALSE)*G930</f>
        <v>0</v>
      </c>
      <c r="V930" s="100">
        <f>E930*($J$1782)*G930</f>
        <v>0</v>
      </c>
      <c r="W930" s="100">
        <f t="shared" ref="W930" si="2394">I930</f>
        <v>0</v>
      </c>
      <c r="X930" s="100" t="b">
        <f>IF(G930&gt;0,IF(AD930="me","",G930))</f>
        <v>0</v>
      </c>
      <c r="Y930" s="201"/>
      <c r="Z930" s="829" t="str">
        <f t="shared" si="2312"/>
        <v/>
      </c>
      <c r="AA930" s="829"/>
      <c r="AB930" s="830" t="str">
        <f>IF(G930=0,"",IF(AD930="free","re-planting",IF(AD930="me","not NVP, by",IF($AD$8="yes",(VLOOKUP(A930,'Discount Lookup'!J:K,2)*G930*(1-$AC$1786)*(1+$AC$1788)),IF(AD930="NVP",(VLOOKUP(A930,'Discount Lookup'!J:K,2)*G930*(1-$AC$1786)*(1+$AC$1788)),IF(AD930="free","re-planting",IF(G930=0,"",IF($AD$8="",IF(AD930="me","not NVP, by",IF(AD930="",IF(G930&gt;0,(VLOOKUP(A930,'Discount Lookup'!J:K,2)*G930*(1-$AC$1786)*(1+$AC$1788)),""),"")),"not NVP, by"))))))))</f>
        <v/>
      </c>
      <c r="AC930" s="830"/>
      <c r="AD930" s="375" t="str">
        <f t="shared" si="2249"/>
        <v/>
      </c>
      <c r="AE930" s="833" t="str">
        <f t="shared" si="2389"/>
        <v/>
      </c>
      <c r="AF930" s="833"/>
      <c r="AG930" s="833"/>
      <c r="AH930" s="91">
        <f>IF(AD930="free",0,IF(AD930="me",0,IF(G930&gt;0,(VLOOKUP(A930,'Discount Lookup'!J:K,2)*G930),0)))</f>
        <v>0</v>
      </c>
      <c r="AI930" s="92" t="str">
        <f t="shared" si="2322"/>
        <v/>
      </c>
      <c r="AJ930" s="828" t="str">
        <f t="shared" si="2313"/>
        <v/>
      </c>
      <c r="AK930" s="828"/>
      <c r="AL930" s="313" t="str">
        <f t="shared" si="2338"/>
        <v/>
      </c>
      <c r="AM930" s="312"/>
      <c r="AN930" s="101"/>
      <c r="AO930" s="101"/>
      <c r="AP930" s="101"/>
      <c r="AQ930" s="101"/>
      <c r="AR930" s="101"/>
      <c r="AS930" s="101"/>
      <c r="AT930" s="101"/>
    </row>
    <row r="931" spans="1:46" ht="12.95" customHeight="1">
      <c r="A931" s="468"/>
      <c r="B931" s="149" t="s">
        <v>1046</v>
      </c>
      <c r="C931" s="118"/>
      <c r="D931" s="118"/>
      <c r="E931" s="119"/>
      <c r="F931" s="710"/>
      <c r="G931" s="356"/>
      <c r="H931" s="744"/>
      <c r="I931" s="131"/>
      <c r="J931" s="131"/>
      <c r="K931" s="608"/>
      <c r="L931" s="608"/>
      <c r="M931" s="121"/>
      <c r="N931" s="121"/>
      <c r="O931" s="123"/>
      <c r="P931" s="124"/>
      <c r="Q931" s="124"/>
      <c r="R931" s="83"/>
      <c r="S931" s="82"/>
      <c r="T931" s="540"/>
      <c r="U931" s="83"/>
      <c r="V931" s="100" t="b">
        <f>IF(G931&gt;0,IF(AD931="me","",G931))</f>
        <v>0</v>
      </c>
      <c r="W931" s="100"/>
      <c r="X931" s="100"/>
      <c r="Y931" s="201"/>
      <c r="Z931" s="829" t="str">
        <f t="shared" si="2312"/>
        <v/>
      </c>
      <c r="AA931" s="829"/>
      <c r="AB931" s="830" t="str">
        <f>IF(G931=0,"",IF(AD931="free","re-planting",IF(AD931="me","not NVP, by",IF($AD$8="yes",(VLOOKUP(A931,'Discount Lookup'!J:K,2)*G931*(1-$AC$1786)*(1+$AC$1788)),IF(AD931="NVP",(VLOOKUP(A931,'Discount Lookup'!J:K,2)*G931*(1-$AC$1786)*(1+$AC$1788)),IF(AD931="free","re-planting",IF(G931=0,"",IF($AD$8="",IF(AD931="me","not NVP, by",IF(AD931="",IF(G931&gt;0,(VLOOKUP(A931,'Discount Lookup'!J:K,2)*G931*(1-$AC$1786)*(1+$AC$1788)),""),"")),"not NVP, by"))))))))</f>
        <v/>
      </c>
      <c r="AC931" s="830"/>
      <c r="AD931" s="375" t="str">
        <f t="shared" si="2249"/>
        <v/>
      </c>
      <c r="AE931" s="833" t="str">
        <f t="shared" si="2389"/>
        <v/>
      </c>
      <c r="AF931" s="833"/>
      <c r="AG931" s="833"/>
      <c r="AH931" s="91">
        <f>IF(AD931="free",0,IF(AD931="me",0,IF(G931&gt;0,(VLOOKUP(A931,'Discount Lookup'!J:K,2)*G931),0)))</f>
        <v>0</v>
      </c>
      <c r="AI931" s="92" t="str">
        <f t="shared" si="2322"/>
        <v/>
      </c>
      <c r="AJ931" s="828" t="str">
        <f t="shared" si="2313"/>
        <v/>
      </c>
      <c r="AK931" s="828"/>
      <c r="AL931" s="313" t="str">
        <f t="shared" si="2338"/>
        <v/>
      </c>
      <c r="AM931" s="312"/>
      <c r="AN931" s="101"/>
      <c r="AO931" s="101"/>
      <c r="AP931" s="101"/>
      <c r="AQ931" s="101"/>
      <c r="AR931" s="101"/>
      <c r="AS931" s="101"/>
      <c r="AT931" s="101"/>
    </row>
    <row r="932" spans="1:46" ht="13.5" customHeight="1">
      <c r="A932" s="898" t="s">
        <v>558</v>
      </c>
      <c r="B932" s="897"/>
      <c r="C932" s="897"/>
      <c r="D932" s="897"/>
      <c r="E932" s="897"/>
      <c r="F932" s="897"/>
      <c r="G932" s="897"/>
      <c r="H932" s="776" t="s">
        <v>547</v>
      </c>
      <c r="I932" s="88" t="s">
        <v>235</v>
      </c>
      <c r="J932" s="126"/>
      <c r="K932" s="603" t="s">
        <v>45</v>
      </c>
      <c r="L932" s="601" t="s">
        <v>46</v>
      </c>
      <c r="M932" s="86"/>
      <c r="N932" s="87" t="s">
        <v>128</v>
      </c>
      <c r="O932" s="135"/>
      <c r="P932" s="135"/>
      <c r="Q932" s="135"/>
      <c r="R932" s="86"/>
      <c r="S932" s="125"/>
      <c r="T932" s="543"/>
      <c r="U932" s="112"/>
      <c r="V932" s="100" t="b">
        <f>IF(G932&gt;0,IF(AD932="me","",G932))</f>
        <v>0</v>
      </c>
      <c r="W932" s="100"/>
      <c r="X932" s="100"/>
      <c r="Y932" s="201"/>
      <c r="Z932" s="838" t="str">
        <f>IF(G932=0,"",IF(AD932="me","",IF($AD$8="me","",IF(AD932="free","warranty",IF($AD$8="yes","NVP planting:","to NVP install:")))))</f>
        <v/>
      </c>
      <c r="AA932" s="838"/>
      <c r="AB932" s="830" t="str">
        <f>IF(G932=0,"",IF(AD932="free","re-planting",IF(AD932="me","not NVP, by",IF($AD$8="yes",(VLOOKUP(A932,'Discount Lookup'!J:K,2)*G932*(1-$AC$1786)*(1+$AC$1788)),IF(AD932="NVP",(VLOOKUP(A932,'Discount Lookup'!J:K,2)*G932*(1-$AC$1786)*(1+$AC$1788)),IF(AD932="free","re-planting",IF(G932=0,"",IF($AD$8="",IF(AD932="me","not NVP, by",IF(AD932="",IF(G932&gt;0,(VLOOKUP(A932,'Discount Lookup'!J:K,2)*G932*(1-$AC$1786)*(1+$AC$1788)),""),"")),"not NVP, by"))))))))</f>
        <v/>
      </c>
      <c r="AC932" s="830"/>
      <c r="AD932" s="375" t="str">
        <f t="shared" si="2249"/>
        <v/>
      </c>
      <c r="AE932" s="833" t="str">
        <f t="shared" si="2389"/>
        <v/>
      </c>
      <c r="AF932" s="833"/>
      <c r="AG932" s="833"/>
      <c r="AH932" s="91">
        <f>IF(AD932="free",0,IF(AD932="me",0,IF(G932&gt;0,(VLOOKUP(A932,'Discount Lookup'!J:K,2)*G932),0)))</f>
        <v>0</v>
      </c>
      <c r="AI932" s="92" t="str">
        <f>IF(AD932="free",(K932*(1-$H$1784)),IF(G932=0,"",IF($AD$8="",IF(G932=0,"",IF(AD932="me",(K932*(1-$H$1784)),(K932*(1-$H$1784))+AB932)),IF(K932="Images","",IF(K932=0,"",(K932*(1-$H$1784)))))))</f>
        <v/>
      </c>
      <c r="AJ932" s="828" t="str">
        <f>IF(G932=0,"",IF(AD932="me","  delivery-only",IF($AD$8="me","  delivery-only",CONCATENATE(" $",ROUND(AI932/G932,2)," each"))))</f>
        <v/>
      </c>
      <c r="AK932" s="828"/>
      <c r="AL932" s="313" t="str">
        <f t="shared" si="2338"/>
        <v/>
      </c>
      <c r="AM932" s="312"/>
      <c r="AN932" s="101"/>
      <c r="AO932" s="101"/>
      <c r="AP932" s="101"/>
      <c r="AQ932" s="101"/>
      <c r="AR932" s="101"/>
      <c r="AS932" s="101"/>
      <c r="AT932" s="101"/>
    </row>
    <row r="933" spans="1:46" ht="13.5" customHeight="1">
      <c r="A933" s="447">
        <v>3</v>
      </c>
      <c r="B933" s="87" t="s">
        <v>50</v>
      </c>
      <c r="C933" s="399" t="s">
        <v>136</v>
      </c>
      <c r="D933" s="129" t="s">
        <v>62</v>
      </c>
      <c r="E933" s="98">
        <v>33.950000000000003</v>
      </c>
      <c r="F933" s="705" t="s">
        <v>1306</v>
      </c>
      <c r="G933" s="357">
        <v>0</v>
      </c>
      <c r="H933" s="704" t="str">
        <f t="shared" ref="H933" si="2395">IF(G933=0,"",IF(F933="Qty=",IF(G933=1,"plant","plants"),IF(F933&gt;0.0001,"warranty","Error")))</f>
        <v/>
      </c>
      <c r="I933" s="98">
        <f t="shared" ref="I933" si="2396">IF(F933="Qty=",(E933*G933),((E933*(1-F933))*G933))</f>
        <v>0</v>
      </c>
      <c r="J933" s="98">
        <f>IF(H933="warranty",0,(I933*($J$1782)))</f>
        <v>0</v>
      </c>
      <c r="K933" s="831">
        <f t="shared" ref="K933:K934" si="2397">I933+J933</f>
        <v>0</v>
      </c>
      <c r="L933" s="831"/>
      <c r="M933" s="832" t="str">
        <f>IF($H$1784=0,"",IF(G933=0,"",IF(F933="Qty=",CONCATENATE("$",ROUND(K933*(1-$H$1784),2)," with ",($H$1784*100),"% discount"),CONCATENATE("$",ROUND(K933*(1-$H$1784),2)," with ",(($H$1784*100+F933*100)-($H$1784*100*F933)),IF(F933&gt;0,"% discounts",IF($H$1781&gt;0,"% discounts","% discount"))))))</f>
        <v/>
      </c>
      <c r="N933" s="832"/>
      <c r="O933" s="832"/>
      <c r="P933" s="832"/>
      <c r="Q933" s="832"/>
      <c r="R933" s="832"/>
      <c r="S933" s="303">
        <f t="shared" ref="S933" si="2398">E933*G933</f>
        <v>0</v>
      </c>
      <c r="T933" s="541">
        <f>VLOOKUP(A933,'Discount Lookup'!D:E,2,FALSE)*G933</f>
        <v>0</v>
      </c>
      <c r="U933" s="83">
        <f>VLOOKUP(A933,'Discount Lookup'!G:H,2,FALSE)*G933</f>
        <v>0</v>
      </c>
      <c r="V933" s="100">
        <f>E933*($J$1782)*G933</f>
        <v>0</v>
      </c>
      <c r="W933" s="100">
        <f t="shared" ref="W933" si="2399">I933</f>
        <v>0</v>
      </c>
      <c r="X933" s="100" t="b">
        <f>IF(G933&gt;0,IF(AD933="me","",G933))</f>
        <v>0</v>
      </c>
      <c r="Y933" s="201"/>
      <c r="Z933" s="838" t="str">
        <f>IF(G933=0,"",IF(AD933="me","",IF($AD$8="me","",IF(AD933="free","warranty",IF($AD$8="yes","NVP planting:","to NVP install:")))))</f>
        <v/>
      </c>
      <c r="AA933" s="838"/>
      <c r="AB933" s="830" t="str">
        <f>IF(G933=0,"",IF(AD933="free","re-planting",IF(AD933="me","not NVP, by",IF($AD$8="yes",(VLOOKUP(A933,'Discount Lookup'!J:K,2)*G933*(1-$AC$1786)*(1+$AC$1788)),IF(AD933="NVP",(VLOOKUP(A933,'Discount Lookup'!J:K,2)*G933*(1-$AC$1786)*(1+$AC$1788)),IF(AD933="free","re-planting",IF(G933=0,"",IF($AD$8="",IF(AD933="me","not NVP, by",IF(AD933="",IF(G933&gt;0,(VLOOKUP(A933,'Discount Lookup'!J:K,2)*G933*(1-$AC$1786)*(1+$AC$1788)),""),"")),"not NVP, by"))))))))</f>
        <v/>
      </c>
      <c r="AC933" s="830"/>
      <c r="AD933" s="375" t="str">
        <f t="shared" si="2249"/>
        <v/>
      </c>
      <c r="AE933" s="833" t="str">
        <f t="shared" si="2389"/>
        <v/>
      </c>
      <c r="AF933" s="833"/>
      <c r="AG933" s="833"/>
      <c r="AH933" s="91">
        <f>IF(AD933="free",0,IF(AD933="me",0,IF(G933&gt;0,(VLOOKUP(A933,'Discount Lookup'!J:K,2)*G933),0)))</f>
        <v>0</v>
      </c>
      <c r="AI933" s="92" t="str">
        <f>IF(G933=0,"",IF(AD933="free",(K933*(1-$H$1784)),IF($AD$8="me",(K933*(1-$H$1784)),IF(AD933="me",(K933*(1-$H$1784)),(K933*(1-$H$1784))+AB933))))</f>
        <v/>
      </c>
      <c r="AJ933" s="828" t="str">
        <f>IF(G933=0,"",IF(AD933="me","  delivery-only",IF($AD$8="me","  delivery-only",CONCATENATE(" $",ROUND(AI933/G933,2)," each"))))</f>
        <v/>
      </c>
      <c r="AK933" s="828"/>
      <c r="AL933" s="313" t="str">
        <f t="shared" si="2338"/>
        <v/>
      </c>
      <c r="AM933" s="312"/>
      <c r="AN933" s="101"/>
      <c r="AO933" s="101"/>
      <c r="AP933" s="101"/>
      <c r="AQ933" s="101"/>
      <c r="AR933" s="101"/>
      <c r="AS933" s="101"/>
      <c r="AT933" s="101"/>
    </row>
    <row r="934" spans="1:46" ht="13.5" customHeight="1">
      <c r="A934" s="447">
        <v>3</v>
      </c>
      <c r="B934" s="87" t="s">
        <v>50</v>
      </c>
      <c r="C934" s="399" t="s">
        <v>135</v>
      </c>
      <c r="D934" s="129" t="s">
        <v>94</v>
      </c>
      <c r="E934" s="98">
        <v>31.95</v>
      </c>
      <c r="F934" s="705" t="s">
        <v>1306</v>
      </c>
      <c r="G934" s="357">
        <v>0</v>
      </c>
      <c r="H934" s="704" t="str">
        <f t="shared" ref="H934" si="2400">IF(G934=0,"",IF(F934="Qty=",IF(G934=1,"plant","plants"),IF(F934&gt;0.0001,"warranty","Error")))</f>
        <v/>
      </c>
      <c r="I934" s="98">
        <f t="shared" ref="I934" si="2401">IF(F934="Qty=",(E934*G934),((E934*(1-F934))*G934))</f>
        <v>0</v>
      </c>
      <c r="J934" s="98">
        <f>IF(H934="warranty",0,(I934*($J$1782)))</f>
        <v>0</v>
      </c>
      <c r="K934" s="831">
        <f t="shared" si="2397"/>
        <v>0</v>
      </c>
      <c r="L934" s="831"/>
      <c r="M934" s="832" t="str">
        <f>IF($H$1784=0,"",IF(G934=0,"",IF(F934="Qty=",CONCATENATE("$",ROUND(K934*(1-$H$1784),2)," with ",($H$1784*100),"% discount"),CONCATENATE("$",ROUND(K934*(1-$H$1784),2)," with ",(($H$1784*100+F934*100)-($H$1784*100*F934)),IF(F934&gt;0,"% discounts",IF($H$1781&gt;0,"% discounts","% discount"))))))</f>
        <v/>
      </c>
      <c r="N934" s="832"/>
      <c r="O934" s="832"/>
      <c r="P934" s="832"/>
      <c r="Q934" s="832"/>
      <c r="R934" s="832"/>
      <c r="S934" s="303">
        <f t="shared" ref="S934" si="2402">E934*G934</f>
        <v>0</v>
      </c>
      <c r="T934" s="541">
        <f>VLOOKUP(A934,'Discount Lookup'!D:E,2,FALSE)*G934</f>
        <v>0</v>
      </c>
      <c r="U934" s="83">
        <f>VLOOKUP(A934,'Discount Lookup'!G:H,2,FALSE)*G934</f>
        <v>0</v>
      </c>
      <c r="V934" s="100">
        <f>E934*($J$1782)*G934</f>
        <v>0</v>
      </c>
      <c r="W934" s="100">
        <f t="shared" ref="W934" si="2403">I934</f>
        <v>0</v>
      </c>
      <c r="X934" s="100" t="b">
        <f>IF(G934&gt;0,IF(AD934="me","",G934))</f>
        <v>0</v>
      </c>
      <c r="Y934" s="201"/>
      <c r="Z934" s="838" t="str">
        <f>IF(G934=0,"",IF(AD934="me","",IF($AD$8="me","",IF(AD934="free","warranty",IF($AD$8="yes","NVP planting:","to NVP install:")))))</f>
        <v/>
      </c>
      <c r="AA934" s="838"/>
      <c r="AB934" s="830" t="str">
        <f>IF(G934=0,"",IF(AD934="free","re-planting",IF(AD934="me","not NVP, by",IF($AD$8="yes",(VLOOKUP(A934,'Discount Lookup'!J:K,2)*G934*(1-$AC$1786)*(1+$AC$1788)),IF(AD934="NVP",(VLOOKUP(A934,'Discount Lookup'!J:K,2)*G934*(1-$AC$1786)*(1+$AC$1788)),IF(AD934="free","re-planting",IF(G934=0,"",IF($AD$8="",IF(AD934="me","not NVP, by",IF(AD934="",IF(G934&gt;0,(VLOOKUP(A934,'Discount Lookup'!J:K,2)*G934*(1-$AC$1786)*(1+$AC$1788)),""),"")),"not NVP, by"))))))))</f>
        <v/>
      </c>
      <c r="AC934" s="830"/>
      <c r="AD934" s="375" t="str">
        <f t="shared" si="2249"/>
        <v/>
      </c>
      <c r="AE934" s="833" t="str">
        <f t="shared" si="2389"/>
        <v/>
      </c>
      <c r="AF934" s="833"/>
      <c r="AG934" s="833"/>
      <c r="AH934" s="91">
        <f>IF(AD934="free",0,IF(AD934="me",0,IF(G934&gt;0,(VLOOKUP(A934,'Discount Lookup'!J:K,2)*G934),0)))</f>
        <v>0</v>
      </c>
      <c r="AI934" s="92" t="str">
        <f>IF(G934=0,"",IF(AD934="free",(K934*(1-$H$1784)),IF($AD$8="me",(K934*(1-$H$1784)),IF(AD934="me",(K934*(1-$H$1784)),(K934*(1-$H$1784))+AB934))))</f>
        <v/>
      </c>
      <c r="AJ934" s="828" t="str">
        <f>IF(G934=0,"",IF(AD934="me","  delivery-only",IF($AD$8="me","  delivery-only",CONCATENATE(" $",ROUND(AI934/G934,2)," each"))))</f>
        <v/>
      </c>
      <c r="AK934" s="828"/>
      <c r="AL934" s="313" t="str">
        <f t="shared" si="2338"/>
        <v/>
      </c>
      <c r="AM934" s="312"/>
      <c r="AN934" s="101"/>
      <c r="AO934" s="101"/>
      <c r="AP934" s="101"/>
      <c r="AQ934" s="101"/>
      <c r="AR934" s="101"/>
      <c r="AS934" s="101"/>
      <c r="AT934" s="101"/>
    </row>
    <row r="935" spans="1:46" ht="13.5" customHeight="1">
      <c r="A935" s="508"/>
      <c r="B935" s="149" t="s">
        <v>559</v>
      </c>
      <c r="C935" s="117"/>
      <c r="D935" s="118"/>
      <c r="E935" s="119"/>
      <c r="F935" s="711"/>
      <c r="G935" s="356"/>
      <c r="H935" s="745"/>
      <c r="I935" s="119"/>
      <c r="J935" s="119"/>
      <c r="K935" s="609"/>
      <c r="L935" s="609"/>
      <c r="M935" s="121"/>
      <c r="N935" s="121"/>
      <c r="O935" s="832"/>
      <c r="P935" s="832"/>
      <c r="Q935" s="832"/>
      <c r="R935" s="832"/>
      <c r="S935" s="832"/>
      <c r="T935" s="832"/>
      <c r="U935" s="83"/>
      <c r="V935" s="100" t="b">
        <f>IF(G935&gt;0,IF(AD935="me","",G935))</f>
        <v>0</v>
      </c>
      <c r="W935" s="100"/>
      <c r="X935" s="100"/>
      <c r="Y935" s="201"/>
      <c r="Z935" s="838" t="str">
        <f>IF(G935=0,"",IF(AD935="me","",IF($AD$8="me","",IF(AD935="free","warranty",IF($AD$8="yes","NVP planting:","to NVP install:")))))</f>
        <v/>
      </c>
      <c r="AA935" s="838"/>
      <c r="AB935" s="830" t="str">
        <f>IF(G935=0,"",IF(AD935="free","re-planting",IF(AD935="me","not NVP, by",IF($AD$8="yes",(VLOOKUP(A935,'Discount Lookup'!J:K,2)*G935*(1-$AC$1786)*(1+$AC$1788)),IF(AD935="NVP",(VLOOKUP(A935,'Discount Lookup'!J:K,2)*G935*(1-$AC$1786)*(1+$AC$1788)),IF(AD935="free","re-planting",IF(G935=0,"",IF($AD$8="",IF(AD935="me","not NVP, by",IF(AD935="",IF(G935&gt;0,(VLOOKUP(A935,'Discount Lookup'!J:K,2)*G935*(1-$AC$1786)*(1+$AC$1788)),""),"")),"not NVP, by"))))))))</f>
        <v/>
      </c>
      <c r="AC935" s="830"/>
      <c r="AD935" s="375" t="str">
        <f t="shared" si="2249"/>
        <v/>
      </c>
      <c r="AE935" s="833" t="str">
        <f t="shared" si="2389"/>
        <v/>
      </c>
      <c r="AF935" s="833"/>
      <c r="AG935" s="833"/>
      <c r="AH935" s="91">
        <f>IF(AD935="free",0,IF(AD935="me",0,IF(G935&gt;0,(VLOOKUP(A935,'Discount Lookup'!J:K,2)*G935),0)))</f>
        <v>0</v>
      </c>
      <c r="AI935" s="92" t="str">
        <f>IF(AD935="free",(K935*(1-$H$1784)),IF(G935=0,"",IF($AD$8="",IF(G935=0,"",IF(AD935="me",(K935*(1-$H$1784)),(K935*(1-$H$1784))+AB935)),IF(K935="Images","",IF(K935=0,"",(K935*(1-$H$1784)))))))</f>
        <v/>
      </c>
      <c r="AJ935" s="828" t="str">
        <f>IF(G935=0,"",IF(AD935="me","  delivery-only",IF($AD$8="me","  delivery-only",CONCATENATE(" $",ROUND(AI935/G935,2)," each"))))</f>
        <v/>
      </c>
      <c r="AK935" s="828"/>
      <c r="AL935" s="313" t="str">
        <f t="shared" si="2338"/>
        <v/>
      </c>
      <c r="AM935" s="312"/>
      <c r="AN935" s="101"/>
      <c r="AO935" s="101"/>
      <c r="AP935" s="101"/>
      <c r="AQ935" s="101"/>
      <c r="AR935" s="101"/>
      <c r="AS935" s="101"/>
      <c r="AT935" s="101"/>
    </row>
    <row r="936" spans="1:46" ht="12.95" customHeight="1">
      <c r="A936" s="896" t="s">
        <v>546</v>
      </c>
      <c r="B936" s="897"/>
      <c r="C936" s="897"/>
      <c r="D936" s="897"/>
      <c r="E936" s="897"/>
      <c r="F936" s="897"/>
      <c r="G936" s="897"/>
      <c r="H936" s="776" t="s">
        <v>547</v>
      </c>
      <c r="I936" s="88" t="s">
        <v>79</v>
      </c>
      <c r="J936" s="86"/>
      <c r="K936" s="603" t="s">
        <v>45</v>
      </c>
      <c r="L936" s="601" t="s">
        <v>46</v>
      </c>
      <c r="M936" s="86"/>
      <c r="N936" s="87" t="s">
        <v>69</v>
      </c>
      <c r="O936" s="87"/>
      <c r="P936" s="87"/>
      <c r="Q936" s="87"/>
      <c r="R936" s="86"/>
      <c r="S936" s="125"/>
      <c r="T936" s="543"/>
      <c r="U936" s="89" t="s">
        <v>48</v>
      </c>
      <c r="V936" s="100" t="b">
        <f>IF(G936&gt;0,IF(AD936="me","",G936))</f>
        <v>0</v>
      </c>
      <c r="W936" s="100"/>
      <c r="X936" s="100"/>
      <c r="Y936" s="201"/>
      <c r="Z936" s="829" t="str">
        <f t="shared" si="2312"/>
        <v/>
      </c>
      <c r="AA936" s="829"/>
      <c r="AB936" s="830" t="str">
        <f>IF(G936=0,"",IF(AD936="free","re-planting",IF(AD936="me","not NVP, by",IF($AD$8="yes",(VLOOKUP(A936,'Discount Lookup'!J:K,2)*G936*(1-$AC$1786)*(1+$AC$1788)),IF(AD936="NVP",(VLOOKUP(A936,'Discount Lookup'!J:K,2)*G936*(1-$AC$1786)*(1+$AC$1788)),IF(AD936="free","re-planting",IF(G936=0,"",IF($AD$8="",IF(AD936="me","not NVP, by",IF(AD936="",IF(G936&gt;0,(VLOOKUP(A936,'Discount Lookup'!J:K,2)*G936*(1-$AC$1786)*(1+$AC$1788)),""),"")),"not NVP, by"))))))))</f>
        <v/>
      </c>
      <c r="AC936" s="830"/>
      <c r="AD936" s="375" t="str">
        <f t="shared" si="2249"/>
        <v/>
      </c>
      <c r="AE936" s="833" t="str">
        <f t="shared" si="2364"/>
        <v/>
      </c>
      <c r="AF936" s="833"/>
      <c r="AG936" s="833"/>
      <c r="AH936" s="91">
        <f>IF(AD936="free",0,IF(AD936="me",0,IF(G936&gt;0,(VLOOKUP(A936,'Discount Lookup'!J:K,2)*G936),0)))</f>
        <v>0</v>
      </c>
      <c r="AI936" s="92" t="str">
        <f t="shared" ref="AI936:AI972" si="2404">IF(G936=0,"",IF(AD936="free",(K936*(1-$H$1784)),IF($AD$8="me",(K936*(1-$H$1784)),IF(AD936="me",(K936*(1-$H$1784)),(K936*(1-$H$1784))+AB936))))</f>
        <v/>
      </c>
      <c r="AJ936" s="828" t="str">
        <f t="shared" si="2313"/>
        <v/>
      </c>
      <c r="AK936" s="828"/>
      <c r="AL936" s="313" t="str">
        <f t="shared" si="2338"/>
        <v/>
      </c>
      <c r="AM936" s="312"/>
      <c r="AN936" s="101"/>
      <c r="AO936" s="101"/>
      <c r="AP936" s="101"/>
      <c r="AQ936" s="101"/>
      <c r="AR936" s="101"/>
      <c r="AS936" s="101"/>
      <c r="AT936" s="101"/>
    </row>
    <row r="937" spans="1:46" ht="12.95" customHeight="1">
      <c r="A937" s="419">
        <v>3</v>
      </c>
      <c r="B937" s="87" t="s">
        <v>50</v>
      </c>
      <c r="C937" s="399" t="s">
        <v>51</v>
      </c>
      <c r="D937" s="129" t="s">
        <v>86</v>
      </c>
      <c r="E937" s="98">
        <v>24.95</v>
      </c>
      <c r="F937" s="705" t="s">
        <v>1306</v>
      </c>
      <c r="G937" s="357">
        <v>0</v>
      </c>
      <c r="H937" s="704" t="str">
        <f t="shared" ref="H937:H941" si="2405">IF(G937=0,"",IF(F937="Qty=",IF(G937=1,"plant","plants"),IF(F937&gt;0.0001,"warranty","Error")))</f>
        <v/>
      </c>
      <c r="I937" s="98">
        <f t="shared" ref="I937:I941" si="2406">IF(F937="Qty=",(E937*G937),((E937*(1-F937))*G937))</f>
        <v>0</v>
      </c>
      <c r="J937" s="98">
        <f>IF(H937="warranty",0,(I937*($J$1782)))</f>
        <v>0</v>
      </c>
      <c r="K937" s="831">
        <f t="shared" ref="K937:K941" si="2407">I937+J937</f>
        <v>0</v>
      </c>
      <c r="L937" s="831"/>
      <c r="M937" s="832" t="str">
        <f>IF($H$1784=0,"",IF(G937=0,"",IF(F937="Qty=",CONCATENATE("$",ROUND(K937*(1-$H$1784),2)," with ",($H$1784*100),"% discount"),CONCATENATE("$",ROUND(K937*(1-$H$1784),2)," with ",(($H$1784*100+F937*100)-($H$1784*100*F937)),IF(F937&gt;0,"% discounts",IF($H$1781&gt;0,"% discounts","% discount"))))))</f>
        <v/>
      </c>
      <c r="N937" s="832"/>
      <c r="O937" s="832"/>
      <c r="P937" s="832"/>
      <c r="Q937" s="832"/>
      <c r="R937" s="832"/>
      <c r="S937" s="303">
        <f t="shared" ref="S937:S941" si="2408">E937*G937</f>
        <v>0</v>
      </c>
      <c r="T937" s="541">
        <f>VLOOKUP(A937,'Discount Lookup'!D:E,2,FALSE)*G937</f>
        <v>0</v>
      </c>
      <c r="U937" s="83">
        <f>VLOOKUP(A937,'Discount Lookup'!G:H,2,FALSE)*G937</f>
        <v>0</v>
      </c>
      <c r="V937" s="100">
        <f>E937*($J$1782)*G937</f>
        <v>0</v>
      </c>
      <c r="W937" s="100">
        <f t="shared" ref="W937:W941" si="2409">I937</f>
        <v>0</v>
      </c>
      <c r="X937" s="100" t="b">
        <f>IF(G937&gt;0,IF(AD937="me","",G937))</f>
        <v>0</v>
      </c>
      <c r="Y937" s="201"/>
      <c r="Z937" s="829" t="str">
        <f t="shared" si="2312"/>
        <v/>
      </c>
      <c r="AA937" s="829"/>
      <c r="AB937" s="830" t="str">
        <f>IF(G937=0,"",IF(AD937="free","re-planting",IF(AD937="me","not NVP, by",IF($AD$8="yes",(VLOOKUP(A937,'Discount Lookup'!J:K,2)*G937*(1-$AC$1786)*(1+$AC$1788)),IF(AD937="NVP",(VLOOKUP(A937,'Discount Lookup'!J:K,2)*G937*(1-$AC$1786)*(1+$AC$1788)),IF(AD937="free","re-planting",IF(G937=0,"",IF($AD$8="",IF(AD937="me","not NVP, by",IF(AD937="",IF(G937&gt;0,(VLOOKUP(A937,'Discount Lookup'!J:K,2)*G937*(1-$AC$1786)*(1+$AC$1788)),""),"")),"not NVP, by"))))))))</f>
        <v/>
      </c>
      <c r="AC937" s="830"/>
      <c r="AD937" s="375" t="str">
        <f t="shared" si="2249"/>
        <v/>
      </c>
      <c r="AE937" s="833" t="str">
        <f t="shared" si="2364"/>
        <v/>
      </c>
      <c r="AF937" s="833"/>
      <c r="AG937" s="833"/>
      <c r="AH937" s="91">
        <f>IF(AD937="free",0,IF(AD937="me",0,IF(G937&gt;0,(VLOOKUP(A937,'Discount Lookup'!J:K,2)*G937),0)))</f>
        <v>0</v>
      </c>
      <c r="AI937" s="92" t="str">
        <f t="shared" si="2404"/>
        <v/>
      </c>
      <c r="AJ937" s="828" t="str">
        <f t="shared" si="2313"/>
        <v/>
      </c>
      <c r="AK937" s="828"/>
      <c r="AL937" s="313" t="str">
        <f t="shared" si="2338"/>
        <v/>
      </c>
      <c r="AM937" s="312"/>
      <c r="AN937" s="101"/>
      <c r="AO937" s="101"/>
      <c r="AP937" s="101"/>
      <c r="AQ937" s="101"/>
      <c r="AR937" s="101"/>
      <c r="AS937" s="101"/>
      <c r="AT937" s="101"/>
    </row>
    <row r="938" spans="1:46" ht="12.95" customHeight="1">
      <c r="A938" s="419">
        <v>3</v>
      </c>
      <c r="B938" s="87" t="s">
        <v>50</v>
      </c>
      <c r="C938" s="399" t="s">
        <v>136</v>
      </c>
      <c r="D938" s="129" t="s">
        <v>62</v>
      </c>
      <c r="E938" s="98">
        <v>22.95</v>
      </c>
      <c r="F938" s="705" t="s">
        <v>1306</v>
      </c>
      <c r="G938" s="357">
        <v>0</v>
      </c>
      <c r="H938" s="704" t="str">
        <f t="shared" si="2405"/>
        <v/>
      </c>
      <c r="I938" s="98">
        <f t="shared" si="2406"/>
        <v>0</v>
      </c>
      <c r="J938" s="98">
        <f>IF(H938="warranty",0,(I938*($J$1782)))</f>
        <v>0</v>
      </c>
      <c r="K938" s="831">
        <f t="shared" si="2407"/>
        <v>0</v>
      </c>
      <c r="L938" s="831"/>
      <c r="M938" s="832" t="str">
        <f>IF($H$1784=0,"",IF(G938=0,"",IF(F938="Qty=",CONCATENATE("$",ROUND(K938*(1-$H$1784),2)," with ",($H$1784*100),"% discount"),CONCATENATE("$",ROUND(K938*(1-$H$1784),2)," with ",(($H$1784*100+F938*100)-($H$1784*100*F938)),IF(F938&gt;0,"% discounts",IF($H$1781&gt;0,"% discounts","% discount"))))))</f>
        <v/>
      </c>
      <c r="N938" s="832"/>
      <c r="O938" s="832"/>
      <c r="P938" s="832"/>
      <c r="Q938" s="832"/>
      <c r="R938" s="832"/>
      <c r="S938" s="303">
        <f t="shared" si="2408"/>
        <v>0</v>
      </c>
      <c r="T938" s="541">
        <f>VLOOKUP(A938,'Discount Lookup'!D:E,2,FALSE)*G938</f>
        <v>0</v>
      </c>
      <c r="U938" s="83">
        <f>VLOOKUP(A938,'Discount Lookup'!G:H,2,FALSE)*G938</f>
        <v>0</v>
      </c>
      <c r="V938" s="100">
        <f>E938*($J$1782)*G938</f>
        <v>0</v>
      </c>
      <c r="W938" s="100">
        <f t="shared" si="2409"/>
        <v>0</v>
      </c>
      <c r="X938" s="100" t="b">
        <f>IF(G938&gt;0,IF(AD938="me","",G938))</f>
        <v>0</v>
      </c>
      <c r="Y938" s="201"/>
      <c r="Z938" s="829" t="str">
        <f t="shared" si="2312"/>
        <v/>
      </c>
      <c r="AA938" s="829"/>
      <c r="AB938" s="830" t="str">
        <f>IF(G938=0,"",IF(AD938="free","re-planting",IF(AD938="me","not NVP, by",IF($AD$8="yes",(VLOOKUP(A938,'Discount Lookup'!J:K,2)*G938*(1-$AC$1786)*(1+$AC$1788)),IF(AD938="NVP",(VLOOKUP(A938,'Discount Lookup'!J:K,2)*G938*(1-$AC$1786)*(1+$AC$1788)),IF(AD938="free","re-planting",IF(G938=0,"",IF($AD$8="",IF(AD938="me","not NVP, by",IF(AD938="",IF(G938&gt;0,(VLOOKUP(A938,'Discount Lookup'!J:K,2)*G938*(1-$AC$1786)*(1+$AC$1788)),""),"")),"not NVP, by"))))))))</f>
        <v/>
      </c>
      <c r="AC938" s="830"/>
      <c r="AD938" s="375" t="str">
        <f t="shared" ref="AD938:AD995" si="2410">IF(G938=0,"",IF($AD$8="me","me",IF(H938="warranty","free",IF($AD$8="yes","NVP",""))))</f>
        <v/>
      </c>
      <c r="AE938" s="833" t="str">
        <f t="shared" si="2364"/>
        <v/>
      </c>
      <c r="AF938" s="833"/>
      <c r="AG938" s="833"/>
      <c r="AH938" s="91">
        <f>IF(AD938="free",0,IF(AD938="me",0,IF(G938&gt;0,(VLOOKUP(A938,'Discount Lookup'!J:K,2)*G938),0)))</f>
        <v>0</v>
      </c>
      <c r="AI938" s="92" t="str">
        <f t="shared" si="2404"/>
        <v/>
      </c>
      <c r="AJ938" s="828" t="str">
        <f t="shared" si="2313"/>
        <v/>
      </c>
      <c r="AK938" s="828"/>
      <c r="AL938" s="313" t="str">
        <f t="shared" si="2338"/>
        <v/>
      </c>
      <c r="AM938" s="312"/>
      <c r="AN938" s="101"/>
      <c r="AO938" s="101"/>
      <c r="AP938" s="101"/>
      <c r="AQ938" s="101"/>
      <c r="AR938" s="101"/>
      <c r="AS938" s="101"/>
      <c r="AT938" s="101"/>
    </row>
    <row r="939" spans="1:46" ht="12.95" customHeight="1">
      <c r="A939" s="419">
        <v>5</v>
      </c>
      <c r="B939" s="87" t="s">
        <v>50</v>
      </c>
      <c r="C939" s="399" t="s">
        <v>136</v>
      </c>
      <c r="D939" s="129" t="s">
        <v>86</v>
      </c>
      <c r="E939" s="98">
        <v>41.95</v>
      </c>
      <c r="F939" s="705" t="s">
        <v>1306</v>
      </c>
      <c r="G939" s="357">
        <v>0</v>
      </c>
      <c r="H939" s="704" t="str">
        <f t="shared" si="2405"/>
        <v/>
      </c>
      <c r="I939" s="98">
        <f t="shared" si="2406"/>
        <v>0</v>
      </c>
      <c r="J939" s="98">
        <f>IF(H939="warranty",0,(I939*($J$1782)))</f>
        <v>0</v>
      </c>
      <c r="K939" s="831">
        <f t="shared" si="2407"/>
        <v>0</v>
      </c>
      <c r="L939" s="831"/>
      <c r="M939" s="832" t="str">
        <f>IF($H$1784=0,"",IF(G939=0,"",IF(F939="Qty=",CONCATENATE("$",ROUND(K939*(1-$H$1784),2)," with ",($H$1784*100),"% discount"),CONCATENATE("$",ROUND(K939*(1-$H$1784),2)," with ",(($H$1784*100+F939*100)-($H$1784*100*F939)),IF(F939&gt;0,"% discounts",IF($H$1781&gt;0,"% discounts","% discount"))))))</f>
        <v/>
      </c>
      <c r="N939" s="832"/>
      <c r="O939" s="832"/>
      <c r="P939" s="832"/>
      <c r="Q939" s="832"/>
      <c r="R939" s="832"/>
      <c r="S939" s="303">
        <f t="shared" ref="S939:S940" si="2411">E939*G939</f>
        <v>0</v>
      </c>
      <c r="T939" s="541">
        <f>VLOOKUP(A939,'Discount Lookup'!D:E,2,FALSE)*G939</f>
        <v>0</v>
      </c>
      <c r="U939" s="83">
        <f>VLOOKUP(A939,'Discount Lookup'!G:H,2,FALSE)*G939</f>
        <v>0</v>
      </c>
      <c r="V939" s="100">
        <f>E939*($J$1782)*G939</f>
        <v>0</v>
      </c>
      <c r="W939" s="100">
        <f t="shared" ref="W939:W940" si="2412">I939</f>
        <v>0</v>
      </c>
      <c r="X939" s="100" t="b">
        <f>IF(G939&gt;0,IF(AD939="me","",G939))</f>
        <v>0</v>
      </c>
      <c r="Y939" s="201"/>
      <c r="Z939" s="829" t="str">
        <f t="shared" si="2312"/>
        <v/>
      </c>
      <c r="AA939" s="829"/>
      <c r="AB939" s="830" t="str">
        <f>IF(G939=0,"",IF(AD939="free","re-planting",IF(AD939="me","not NVP, by",IF($AD$8="yes",(VLOOKUP(A939,'Discount Lookup'!J:K,2)*G939*(1-$AC$1786)*(1+$AC$1788)),IF(AD939="NVP",(VLOOKUP(A939,'Discount Lookup'!J:K,2)*G939*(1-$AC$1786)*(1+$AC$1788)),IF(AD939="free","re-planting",IF(G939=0,"",IF($AD$8="",IF(AD939="me","not NVP, by",IF(AD939="",IF(G939&gt;0,(VLOOKUP(A939,'Discount Lookup'!J:K,2)*G939*(1-$AC$1786)*(1+$AC$1788)),""),"")),"not NVP, by"))))))))</f>
        <v/>
      </c>
      <c r="AC939" s="830"/>
      <c r="AD939" s="375" t="str">
        <f t="shared" si="2410"/>
        <v/>
      </c>
      <c r="AE939" s="833" t="str">
        <f t="shared" si="2364"/>
        <v/>
      </c>
      <c r="AF939" s="833"/>
      <c r="AG939" s="833"/>
      <c r="AH939" s="91">
        <f>IF(AD939="free",0,IF(AD939="me",0,IF(G939&gt;0,(VLOOKUP(A939,'Discount Lookup'!J:K,2)*G939),0)))</f>
        <v>0</v>
      </c>
      <c r="AI939" s="92" t="str">
        <f t="shared" si="2404"/>
        <v/>
      </c>
      <c r="AJ939" s="828" t="str">
        <f t="shared" si="2313"/>
        <v/>
      </c>
      <c r="AK939" s="828"/>
      <c r="AL939" s="313" t="str">
        <f t="shared" si="2338"/>
        <v/>
      </c>
      <c r="AM939" s="312"/>
      <c r="AN939" s="101"/>
      <c r="AO939" s="101"/>
      <c r="AP939" s="101"/>
      <c r="AQ939" s="101"/>
      <c r="AR939" s="101"/>
      <c r="AS939" s="101"/>
      <c r="AT939" s="101"/>
    </row>
    <row r="940" spans="1:46" ht="12.95" customHeight="1">
      <c r="A940" s="419">
        <v>5</v>
      </c>
      <c r="B940" s="87" t="s">
        <v>50</v>
      </c>
      <c r="C940" s="128" t="s">
        <v>549</v>
      </c>
      <c r="D940" s="129" t="s">
        <v>62</v>
      </c>
      <c r="E940" s="98">
        <v>40.950000000000003</v>
      </c>
      <c r="F940" s="705" t="s">
        <v>1306</v>
      </c>
      <c r="G940" s="357">
        <v>0</v>
      </c>
      <c r="H940" s="704" t="str">
        <f t="shared" si="2405"/>
        <v/>
      </c>
      <c r="I940" s="98">
        <f t="shared" si="2406"/>
        <v>0</v>
      </c>
      <c r="J940" s="98">
        <f>IF(H940="warranty",0,(I940*($J$1782)))</f>
        <v>0</v>
      </c>
      <c r="K940" s="831">
        <f t="shared" si="2407"/>
        <v>0</v>
      </c>
      <c r="L940" s="831"/>
      <c r="M940" s="832" t="str">
        <f>IF($H$1784=0,"",IF(G940=0,"",IF(F940="Qty=",CONCATENATE("$",ROUND(K940*(1-$H$1784),2)," with ",($H$1784*100),"% discount"),CONCATENATE("$",ROUND(K940*(1-$H$1784),2)," with ",(($H$1784*100+F940*100)-($H$1784*100*F940)),IF(F940&gt;0,"% discounts",IF($H$1781&gt;0,"% discounts","% discount"))))))</f>
        <v/>
      </c>
      <c r="N940" s="832"/>
      <c r="O940" s="832"/>
      <c r="P940" s="832"/>
      <c r="Q940" s="832"/>
      <c r="R940" s="832"/>
      <c r="S940" s="303">
        <f t="shared" si="2411"/>
        <v>0</v>
      </c>
      <c r="T940" s="541">
        <f>VLOOKUP(A940,'Discount Lookup'!D:E,2,FALSE)*G940</f>
        <v>0</v>
      </c>
      <c r="U940" s="83">
        <f>VLOOKUP(A940,'Discount Lookup'!G:H,2,FALSE)*G940</f>
        <v>0</v>
      </c>
      <c r="V940" s="100">
        <f>E940*($J$1782)*G940</f>
        <v>0</v>
      </c>
      <c r="W940" s="100">
        <f t="shared" si="2412"/>
        <v>0</v>
      </c>
      <c r="X940" s="100" t="b">
        <f>IF(G940&gt;0,IF(AD940="me","",G940))</f>
        <v>0</v>
      </c>
      <c r="Y940" s="201"/>
      <c r="Z940" s="829" t="str">
        <f t="shared" si="2312"/>
        <v/>
      </c>
      <c r="AA940" s="829"/>
      <c r="AB940" s="830" t="str">
        <f>IF(G940=0,"",IF(AD940="free","re-planting",IF(AD940="me","not NVP, by",IF($AD$8="yes",(VLOOKUP(A940,'Discount Lookup'!J:K,2)*G940*(1-$AC$1786)*(1+$AC$1788)),IF(AD940="NVP",(VLOOKUP(A940,'Discount Lookup'!J:K,2)*G940*(1-$AC$1786)*(1+$AC$1788)),IF(AD940="free","re-planting",IF(G940=0,"",IF($AD$8="",IF(AD940="me","not NVP, by",IF(AD940="",IF(G940&gt;0,(VLOOKUP(A940,'Discount Lookup'!J:K,2)*G940*(1-$AC$1786)*(1+$AC$1788)),""),"")),"not NVP, by"))))))))</f>
        <v/>
      </c>
      <c r="AC940" s="830"/>
      <c r="AD940" s="375" t="str">
        <f t="shared" si="2410"/>
        <v/>
      </c>
      <c r="AE940" s="833" t="str">
        <f t="shared" ref="AE940" si="2413">IF(G940&gt;0,(CONCATENATE((G940)," quantity, ",(A940)," ",B940)),"")</f>
        <v/>
      </c>
      <c r="AF940" s="833"/>
      <c r="AG940" s="833"/>
      <c r="AH940" s="91">
        <f>IF(AD940="free",0,IF(AD940="me",0,IF(G940&gt;0,(VLOOKUP(A940,'Discount Lookup'!J:K,2)*G940),0)))</f>
        <v>0</v>
      </c>
      <c r="AI940" s="92" t="str">
        <f t="shared" si="2404"/>
        <v/>
      </c>
      <c r="AJ940" s="828" t="str">
        <f t="shared" si="2313"/>
        <v/>
      </c>
      <c r="AK940" s="828"/>
      <c r="AL940" s="313" t="str">
        <f t="shared" si="2338"/>
        <v/>
      </c>
      <c r="AM940" s="312"/>
      <c r="AN940" s="101"/>
      <c r="AO940" s="101"/>
      <c r="AP940" s="101"/>
      <c r="AQ940" s="101"/>
      <c r="AR940" s="101"/>
      <c r="AS940" s="101"/>
      <c r="AT940" s="101"/>
    </row>
    <row r="941" spans="1:46" ht="12.95" customHeight="1">
      <c r="A941" s="419">
        <v>7</v>
      </c>
      <c r="B941" s="87" t="s">
        <v>50</v>
      </c>
      <c r="C941" s="128" t="s">
        <v>536</v>
      </c>
      <c r="D941" s="129" t="s">
        <v>63</v>
      </c>
      <c r="E941" s="98">
        <v>62.95</v>
      </c>
      <c r="F941" s="705" t="s">
        <v>1306</v>
      </c>
      <c r="G941" s="357">
        <v>0</v>
      </c>
      <c r="H941" s="704" t="str">
        <f t="shared" si="2405"/>
        <v/>
      </c>
      <c r="I941" s="98">
        <f t="shared" si="2406"/>
        <v>0</v>
      </c>
      <c r="J941" s="98">
        <f>IF(H941="warranty",0,(I941*($J$1782)))</f>
        <v>0</v>
      </c>
      <c r="K941" s="831">
        <f t="shared" si="2407"/>
        <v>0</v>
      </c>
      <c r="L941" s="831"/>
      <c r="M941" s="832" t="str">
        <f>IF($H$1784=0,"",IF(G941=0,"",IF(F941="Qty=",CONCATENATE("$",ROUND(K941*(1-$H$1784),2)," with ",($H$1784*100),"% discount"),CONCATENATE("$",ROUND(K941*(1-$H$1784),2)," with ",(($H$1784*100+F941*100)-($H$1784*100*F941)),IF(F941&gt;0,"% discounts",IF($H$1781&gt;0,"% discounts","% discount"))))))</f>
        <v/>
      </c>
      <c r="N941" s="832"/>
      <c r="O941" s="832"/>
      <c r="P941" s="832"/>
      <c r="Q941" s="832"/>
      <c r="R941" s="832"/>
      <c r="S941" s="303">
        <f t="shared" si="2408"/>
        <v>0</v>
      </c>
      <c r="T941" s="541">
        <f>VLOOKUP(A941,'Discount Lookup'!D:E,2,FALSE)*G941</f>
        <v>0</v>
      </c>
      <c r="U941" s="83">
        <f>VLOOKUP(A941,'Discount Lookup'!G:H,2,FALSE)*G941</f>
        <v>0</v>
      </c>
      <c r="V941" s="100">
        <f>E941*($J$1782)*G941</f>
        <v>0</v>
      </c>
      <c r="W941" s="100">
        <f t="shared" si="2409"/>
        <v>0</v>
      </c>
      <c r="X941" s="100" t="b">
        <f>IF(G941&gt;0,IF(AD941="me","",G941))</f>
        <v>0</v>
      </c>
      <c r="Y941" s="201"/>
      <c r="Z941" s="829" t="str">
        <f t="shared" si="2312"/>
        <v/>
      </c>
      <c r="AA941" s="829"/>
      <c r="AB941" s="830" t="str">
        <f>IF(G941=0,"",IF(AD941="free","re-planting",IF(AD941="me","not NVP, by",IF($AD$8="yes",(VLOOKUP(A941,'Discount Lookup'!J:K,2)*G941*(1-$AC$1786)*(1+$AC$1788)),IF(AD941="NVP",(VLOOKUP(A941,'Discount Lookup'!J:K,2)*G941*(1-$AC$1786)*(1+$AC$1788)),IF(AD941="free","re-planting",IF(G941=0,"",IF($AD$8="",IF(AD941="me","not NVP, by",IF(AD941="",IF(G941&gt;0,(VLOOKUP(A941,'Discount Lookup'!J:K,2)*G941*(1-$AC$1786)*(1+$AC$1788)),""),"")),"not NVP, by"))))))))</f>
        <v/>
      </c>
      <c r="AC941" s="830"/>
      <c r="AD941" s="375" t="str">
        <f t="shared" si="2410"/>
        <v/>
      </c>
      <c r="AE941" s="833" t="str">
        <f t="shared" si="2364"/>
        <v/>
      </c>
      <c r="AF941" s="833"/>
      <c r="AG941" s="833"/>
      <c r="AH941" s="91">
        <f>IF(AD941="free",0,IF(AD941="me",0,IF(G941&gt;0,(VLOOKUP(A941,'Discount Lookup'!J:K,2)*G941),0)))</f>
        <v>0</v>
      </c>
      <c r="AI941" s="92" t="str">
        <f t="shared" si="2404"/>
        <v/>
      </c>
      <c r="AJ941" s="828" t="str">
        <f t="shared" si="2313"/>
        <v/>
      </c>
      <c r="AK941" s="828"/>
      <c r="AL941" s="313" t="str">
        <f t="shared" si="2338"/>
        <v/>
      </c>
      <c r="AM941" s="312"/>
      <c r="AN941" s="101"/>
      <c r="AO941" s="101"/>
      <c r="AP941" s="101"/>
      <c r="AQ941" s="101"/>
      <c r="AR941" s="101"/>
      <c r="AS941" s="101"/>
      <c r="AT941" s="101"/>
    </row>
    <row r="942" spans="1:46" ht="12.95" customHeight="1">
      <c r="A942" s="468"/>
      <c r="B942" s="149" t="s">
        <v>550</v>
      </c>
      <c r="C942" s="118"/>
      <c r="D942" s="118"/>
      <c r="E942" s="119"/>
      <c r="F942" s="711"/>
      <c r="G942" s="358"/>
      <c r="H942" s="745"/>
      <c r="I942" s="119"/>
      <c r="J942" s="119"/>
      <c r="K942" s="609"/>
      <c r="L942" s="609"/>
      <c r="M942" s="121"/>
      <c r="N942" s="121"/>
      <c r="O942" s="123"/>
      <c r="P942" s="124"/>
      <c r="Q942" s="124"/>
      <c r="R942" s="83"/>
      <c r="S942" s="82">
        <f>E942*G942</f>
        <v>0</v>
      </c>
      <c r="T942" s="540"/>
      <c r="U942" s="83"/>
      <c r="V942" s="100" t="b">
        <f>IF(G942&gt;0,IF(AD942="me","",G942))</f>
        <v>0</v>
      </c>
      <c r="W942" s="100"/>
      <c r="X942" s="100"/>
      <c r="Y942" s="201"/>
      <c r="Z942" s="829" t="str">
        <f t="shared" si="2312"/>
        <v/>
      </c>
      <c r="AA942" s="829"/>
      <c r="AB942" s="830" t="str">
        <f>IF(G942=0,"",IF(AD942="free","re-planting",IF(AD942="me","not NVP, by",IF($AD$8="yes",(VLOOKUP(A942,'Discount Lookup'!J:K,2)*G942*(1-$AC$1786)*(1+$AC$1788)),IF(AD942="NVP",(VLOOKUP(A942,'Discount Lookup'!J:K,2)*G942*(1-$AC$1786)*(1+$AC$1788)),IF(AD942="free","re-planting",IF(G942=0,"",IF($AD$8="",IF(AD942="me","not NVP, by",IF(AD942="",IF(G942&gt;0,(VLOOKUP(A942,'Discount Lookup'!J:K,2)*G942*(1-$AC$1786)*(1+$AC$1788)),""),"")),"not NVP, by"))))))))</f>
        <v/>
      </c>
      <c r="AC942" s="830"/>
      <c r="AD942" s="375" t="str">
        <f t="shared" si="2410"/>
        <v/>
      </c>
      <c r="AE942" s="833" t="str">
        <f t="shared" si="2364"/>
        <v/>
      </c>
      <c r="AF942" s="833"/>
      <c r="AG942" s="833"/>
      <c r="AH942" s="91">
        <f>IF(AD942="free",0,IF(AD942="me",0,IF(G942&gt;0,(VLOOKUP(A942,'Discount Lookup'!J:K,2)*G942),0)))</f>
        <v>0</v>
      </c>
      <c r="AI942" s="92" t="str">
        <f t="shared" si="2404"/>
        <v/>
      </c>
      <c r="AJ942" s="828" t="str">
        <f t="shared" si="2313"/>
        <v/>
      </c>
      <c r="AK942" s="828"/>
      <c r="AL942" s="313" t="str">
        <f t="shared" si="2338"/>
        <v/>
      </c>
      <c r="AM942" s="312"/>
      <c r="AN942" s="101"/>
      <c r="AO942" s="101"/>
      <c r="AP942" s="101"/>
      <c r="AQ942" s="101"/>
      <c r="AR942" s="101"/>
      <c r="AS942" s="101"/>
      <c r="AT942" s="101"/>
    </row>
    <row r="943" spans="1:46" ht="12.95" customHeight="1">
      <c r="A943" s="896" t="s">
        <v>551</v>
      </c>
      <c r="B943" s="897"/>
      <c r="C943" s="897"/>
      <c r="D943" s="897"/>
      <c r="E943" s="897"/>
      <c r="F943" s="897"/>
      <c r="G943" s="897"/>
      <c r="H943" s="776" t="s">
        <v>547</v>
      </c>
      <c r="I943" s="88" t="s">
        <v>79</v>
      </c>
      <c r="J943" s="86"/>
      <c r="K943" s="603" t="s">
        <v>45</v>
      </c>
      <c r="L943" s="601" t="s">
        <v>46</v>
      </c>
      <c r="M943" s="86"/>
      <c r="N943" s="87" t="s">
        <v>69</v>
      </c>
      <c r="O943" s="87"/>
      <c r="P943" s="88"/>
      <c r="Q943" s="89" t="s">
        <v>48</v>
      </c>
      <c r="R943" s="835" t="s">
        <v>49</v>
      </c>
      <c r="S943" s="835"/>
      <c r="T943" s="835"/>
      <c r="U943" s="835"/>
      <c r="V943" s="100" t="b">
        <f>IF(G943&gt;0,IF(AD943="me","",G943))</f>
        <v>0</v>
      </c>
      <c r="W943" s="100"/>
      <c r="X943" s="100"/>
      <c r="Y943" s="201"/>
      <c r="Z943" s="829" t="str">
        <f t="shared" si="2312"/>
        <v/>
      </c>
      <c r="AA943" s="829"/>
      <c r="AB943" s="830" t="str">
        <f>IF(G943=0,"",IF(AD943="free","re-planting",IF(AD943="me","not NVP, by",IF($AD$8="yes",(VLOOKUP(A943,'Discount Lookup'!J:K,2)*G943*(1-$AC$1786)*(1+$AC$1788)),IF(AD943="NVP",(VLOOKUP(A943,'Discount Lookup'!J:K,2)*G943*(1-$AC$1786)*(1+$AC$1788)),IF(AD943="free","re-planting",IF(G943=0,"",IF($AD$8="",IF(AD943="me","not NVP, by",IF(AD943="",IF(G943&gt;0,(VLOOKUP(A943,'Discount Lookup'!J:K,2)*G943*(1-$AC$1786)*(1+$AC$1788)),""),"")),"not NVP, by"))))))))</f>
        <v/>
      </c>
      <c r="AC943" s="830"/>
      <c r="AD943" s="375" t="str">
        <f t="shared" si="2410"/>
        <v/>
      </c>
      <c r="AE943" s="833" t="str">
        <f>IF(G943&gt;0,(CONCATENATE((G943)," quantity, ",(A943)," ",B943)),"")</f>
        <v/>
      </c>
      <c r="AF943" s="833"/>
      <c r="AG943" s="833"/>
      <c r="AH943" s="91" t="str">
        <f>IF(AD943="free",0,IF(AD943="me","",IF(G943&gt;0,(VLOOKUP(A943,'Discount Lookup'!J:K,2)*G943),"")))</f>
        <v/>
      </c>
      <c r="AI943" s="92" t="str">
        <f t="shared" si="2404"/>
        <v/>
      </c>
      <c r="AJ943" s="828" t="str">
        <f t="shared" si="2313"/>
        <v/>
      </c>
      <c r="AK943" s="828"/>
      <c r="AL943" s="313" t="str">
        <f t="shared" si="2338"/>
        <v/>
      </c>
      <c r="AM943" s="312"/>
      <c r="AN943" s="101"/>
      <c r="AO943" s="101"/>
      <c r="AP943" s="101"/>
      <c r="AQ943" s="101"/>
      <c r="AR943" s="101"/>
      <c r="AS943" s="101"/>
      <c r="AT943" s="101"/>
    </row>
    <row r="944" spans="1:46" ht="12.95" customHeight="1">
      <c r="A944" s="419">
        <v>3</v>
      </c>
      <c r="B944" s="87" t="s">
        <v>50</v>
      </c>
      <c r="C944" s="399" t="s">
        <v>136</v>
      </c>
      <c r="D944" s="129" t="s">
        <v>86</v>
      </c>
      <c r="E944" s="98">
        <v>24.95</v>
      </c>
      <c r="F944" s="705" t="s">
        <v>1306</v>
      </c>
      <c r="G944" s="357">
        <v>0</v>
      </c>
      <c r="H944" s="704" t="str">
        <f t="shared" ref="H944" si="2414">IF(G944=0,"",IF(F944="Qty=",IF(G944=1,"plant","plants"),IF(F944&gt;0.0001,"warranty","Error")))</f>
        <v/>
      </c>
      <c r="I944" s="98">
        <f t="shared" ref="I944" si="2415">IF(F944="Qty=",(E944*G944),((E944*(1-F944))*G944))</f>
        <v>0</v>
      </c>
      <c r="J944" s="98">
        <f>IF(H944="warranty",0,(I944*($J$1782)))</f>
        <v>0</v>
      </c>
      <c r="K944" s="831">
        <f t="shared" ref="K944:K945" si="2416">I944+J944</f>
        <v>0</v>
      </c>
      <c r="L944" s="831"/>
      <c r="M944" s="832" t="str">
        <f>IF($H$1784=0,"",IF(G944=0,"",IF(F944="Qty=",CONCATENATE("$",ROUND(K944*(1-$H$1784),2)," with ",($H$1784*100),"% discount"),CONCATENATE("$",ROUND(K944*(1-$H$1784),2)," with ",(($H$1784*100+F944*100)-($H$1784*100*F944)),IF(F944&gt;0,"% discounts",IF($H$1781&gt;0,"% discounts","% discount"))))))</f>
        <v/>
      </c>
      <c r="N944" s="832"/>
      <c r="O944" s="832"/>
      <c r="P944" s="832"/>
      <c r="Q944" s="832"/>
      <c r="R944" s="832"/>
      <c r="S944" s="303">
        <f t="shared" ref="S944" si="2417">E944*G944</f>
        <v>0</v>
      </c>
      <c r="T944" s="541">
        <f>VLOOKUP(A944,'Discount Lookup'!D:E,2,FALSE)*G944</f>
        <v>0</v>
      </c>
      <c r="U944" s="83">
        <f>VLOOKUP(A944,'Discount Lookup'!G:H,2,FALSE)*G944</f>
        <v>0</v>
      </c>
      <c r="V944" s="100">
        <f>E944*($J$1782)*G944</f>
        <v>0</v>
      </c>
      <c r="W944" s="100">
        <f t="shared" ref="W944" si="2418">I944</f>
        <v>0</v>
      </c>
      <c r="X944" s="100" t="b">
        <f>IF(G944&gt;0,IF(AD944="me","",G944))</f>
        <v>0</v>
      </c>
      <c r="Y944" s="201"/>
      <c r="Z944" s="829" t="str">
        <f t="shared" ref="Z944" si="2419">IF(G944=0,"",IF(AD944="me","",IF($AD$8="me","",IF(AD944="free","warranty",IF($AD$8="yes","NVP planting:","to NVP install:")))))</f>
        <v/>
      </c>
      <c r="AA944" s="829"/>
      <c r="AB944" s="830" t="str">
        <f>IF(G944=0,"",IF(AD944="free","re-planting",IF(AD944="me","not NVP, by",IF($AD$8="yes",(VLOOKUP(A944,'Discount Lookup'!J:K,2)*G944*(1-$AC$1786)*(1+$AC$1788)),IF(AD944="NVP",(VLOOKUP(A944,'Discount Lookup'!J:K,2)*G944*(1-$AC$1786)*(1+$AC$1788)),IF(AD944="free","re-planting",IF(G944=0,"",IF($AD$8="",IF(AD944="me","not NVP, by",IF(AD944="",IF(G944&gt;0,(VLOOKUP(A944,'Discount Lookup'!J:K,2)*G944*(1-$AC$1786)*(1+$AC$1788)),""),"")),"not NVP, by"))))))))</f>
        <v/>
      </c>
      <c r="AC944" s="830"/>
      <c r="AD944" s="375" t="str">
        <f t="shared" ref="AD944" si="2420">IF(G944=0,"",IF($AD$8="me","me",IF(H944="warranty","free",IF($AD$8="yes","NVP",""))))</f>
        <v/>
      </c>
      <c r="AE944" s="833" t="str">
        <f>IF(G944&gt;0,(CONCATENATE((G944)," quantity, ",(A944)," ",B944)),"")</f>
        <v/>
      </c>
      <c r="AF944" s="833"/>
      <c r="AG944" s="833"/>
      <c r="AH944" s="91" t="str">
        <f>IF(AD944="free",0,IF(AD944="me","",IF(G944&gt;0,(VLOOKUP(A944,'Discount Lookup'!J:K,2)*G944),"")))</f>
        <v/>
      </c>
      <c r="AI944" s="92" t="str">
        <f t="shared" si="2404"/>
        <v/>
      </c>
      <c r="AJ944" s="828" t="str">
        <f t="shared" ref="AJ944" si="2421">IF(G944=0,"",IF(AD944="me","  delivery-only",IF($AD$8="me","  delivery-only",CONCATENATE(" $",ROUND(AI944/G944,2)," each"))))</f>
        <v/>
      </c>
      <c r="AK944" s="828"/>
      <c r="AL944" s="313" t="str">
        <f t="shared" si="2338"/>
        <v/>
      </c>
      <c r="AM944" s="312"/>
      <c r="AN944" s="101"/>
      <c r="AO944" s="101"/>
      <c r="AP944" s="101"/>
      <c r="AQ944" s="101"/>
      <c r="AR944" s="101"/>
      <c r="AS944" s="101"/>
      <c r="AT944" s="101"/>
    </row>
    <row r="945" spans="1:46" ht="12.95" customHeight="1">
      <c r="A945" s="419">
        <v>3</v>
      </c>
      <c r="B945" s="87" t="s">
        <v>50</v>
      </c>
      <c r="C945" s="399" t="s">
        <v>136</v>
      </c>
      <c r="D945" s="129" t="s">
        <v>90</v>
      </c>
      <c r="E945" s="98">
        <v>32.950000000000003</v>
      </c>
      <c r="F945" s="705" t="s">
        <v>1306</v>
      </c>
      <c r="G945" s="357">
        <v>0</v>
      </c>
      <c r="H945" s="704" t="str">
        <f t="shared" ref="H945" si="2422">IF(G945=0,"",IF(F945="Qty=",IF(G945=1,"plant","plants"),IF(F945&gt;0.0001,"warranty","Error")))</f>
        <v/>
      </c>
      <c r="I945" s="98">
        <f t="shared" ref="I945" si="2423">IF(F945="Qty=",(E945*G945),((E945*(1-F945))*G945))</f>
        <v>0</v>
      </c>
      <c r="J945" s="98">
        <f>IF(H945="warranty",0,(I945*($J$1782)))</f>
        <v>0</v>
      </c>
      <c r="K945" s="831">
        <f t="shared" si="2416"/>
        <v>0</v>
      </c>
      <c r="L945" s="831"/>
      <c r="M945" s="832" t="str">
        <f>IF($H$1784=0,"",IF(G945=0,"",IF(F945="Qty=",CONCATENATE("$",ROUND(K945*(1-$H$1784),2)," with ",($H$1784*100),"% discount"),CONCATENATE("$",ROUND(K945*(1-$H$1784),2)," with ",(($H$1784*100+F945*100)-($H$1784*100*F945)),IF(F945&gt;0,"% discounts",IF($H$1781&gt;0,"% discounts","% discount"))))))</f>
        <v/>
      </c>
      <c r="N945" s="832"/>
      <c r="O945" s="832"/>
      <c r="P945" s="832"/>
      <c r="Q945" s="832"/>
      <c r="R945" s="832"/>
      <c r="S945" s="303">
        <f t="shared" ref="S945" si="2424">E945*G945</f>
        <v>0</v>
      </c>
      <c r="T945" s="541">
        <f>VLOOKUP(A945,'Discount Lookup'!D:E,2,FALSE)*G945</f>
        <v>0</v>
      </c>
      <c r="U945" s="83">
        <f>VLOOKUP(A945,'Discount Lookup'!G:H,2,FALSE)*G945</f>
        <v>0</v>
      </c>
      <c r="V945" s="100">
        <f>E945*($J$1782)*G945</f>
        <v>0</v>
      </c>
      <c r="W945" s="100">
        <f t="shared" ref="W945" si="2425">I945</f>
        <v>0</v>
      </c>
      <c r="X945" s="100" t="b">
        <f>IF(G945&gt;0,IF(AD945="me","",G945))</f>
        <v>0</v>
      </c>
      <c r="Y945" s="201"/>
      <c r="Z945" s="829" t="str">
        <f t="shared" si="2312"/>
        <v/>
      </c>
      <c r="AA945" s="829"/>
      <c r="AB945" s="830" t="str">
        <f>IF(G945=0,"",IF(AD945="free","re-planting",IF(AD945="me","not NVP, by",IF($AD$8="yes",(VLOOKUP(A945,'Discount Lookup'!J:K,2)*G945*(1-$AC$1786)*(1+$AC$1788)),IF(AD945="NVP",(VLOOKUP(A945,'Discount Lookup'!J:K,2)*G945*(1-$AC$1786)*(1+$AC$1788)),IF(AD945="free","re-planting",IF(G945=0,"",IF($AD$8="",IF(AD945="me","not NVP, by",IF(AD945="",IF(G945&gt;0,(VLOOKUP(A945,'Discount Lookup'!J:K,2)*G945*(1-$AC$1786)*(1+$AC$1788)),""),"")),"not NVP, by"))))))))</f>
        <v/>
      </c>
      <c r="AC945" s="830"/>
      <c r="AD945" s="375" t="str">
        <f t="shared" si="2410"/>
        <v/>
      </c>
      <c r="AE945" s="833" t="str">
        <f>IF(G945&gt;0,(CONCATENATE((G945)," quantity, ",(A945)," ",B945)),"")</f>
        <v/>
      </c>
      <c r="AF945" s="833"/>
      <c r="AG945" s="833"/>
      <c r="AH945" s="91" t="str">
        <f>IF(AD945="free",0,IF(AD945="me","",IF(G945&gt;0,(VLOOKUP(A945,'Discount Lookup'!J:K,2)*G945),"")))</f>
        <v/>
      </c>
      <c r="AI945" s="92" t="str">
        <f t="shared" si="2404"/>
        <v/>
      </c>
      <c r="AJ945" s="828" t="str">
        <f t="shared" si="2313"/>
        <v/>
      </c>
      <c r="AK945" s="828"/>
      <c r="AL945" s="313" t="str">
        <f t="shared" si="2338"/>
        <v/>
      </c>
      <c r="AM945" s="312"/>
      <c r="AN945" s="101"/>
      <c r="AO945" s="101"/>
      <c r="AP945" s="101"/>
      <c r="AQ945" s="101"/>
      <c r="AR945" s="101"/>
      <c r="AS945" s="101"/>
      <c r="AT945" s="101"/>
    </row>
    <row r="946" spans="1:46" ht="12.95" customHeight="1">
      <c r="A946" s="468"/>
      <c r="B946" s="149" t="s">
        <v>1280</v>
      </c>
      <c r="C946" s="117"/>
      <c r="D946" s="118"/>
      <c r="E946" s="119"/>
      <c r="F946" s="711"/>
      <c r="G946" s="356"/>
      <c r="H946" s="745"/>
      <c r="I946" s="119"/>
      <c r="J946" s="119"/>
      <c r="K946" s="609"/>
      <c r="L946" s="609"/>
      <c r="M946" s="840"/>
      <c r="N946" s="840"/>
      <c r="O946" s="123"/>
      <c r="P946" s="124"/>
      <c r="Q946" s="48"/>
      <c r="R946" s="48"/>
      <c r="S946" s="48"/>
      <c r="T946" s="546"/>
      <c r="W946" s="286"/>
      <c r="X946" s="286"/>
      <c r="Y946" s="794"/>
      <c r="Z946" s="829" t="str">
        <f t="shared" si="2312"/>
        <v/>
      </c>
      <c r="AA946" s="829"/>
      <c r="AB946" s="830" t="str">
        <f>IF(G946=0,"",IF(AD946="free","re-planting",IF(AD946="me","not NVP, by",IF($AD$8="yes",(VLOOKUP(A946,'Discount Lookup'!J:K,2)*G946*(1-$AC$1786)*(1+$AC$1788)),IF(AD946="NVP",(VLOOKUP(A946,'Discount Lookup'!J:K,2)*G946*(1-$AC$1786)*(1+$AC$1788)),IF(AD946="free","re-planting",IF(G946=0,"",IF($AD$8="",IF(AD946="me","not NVP, by",IF(AD946="",IF(G946&gt;0,(VLOOKUP(A946,'Discount Lookup'!J:K,2)*G946*(1-$AC$1786)*(1+$AC$1788)),""),"")),"not NVP, by"))))))))</f>
        <v/>
      </c>
      <c r="AC946" s="830"/>
      <c r="AD946" s="375" t="str">
        <f t="shared" si="2410"/>
        <v/>
      </c>
      <c r="AE946" s="833" t="str">
        <f>IF(G946&gt;0,(CONCATENATE((G946)," quantity, ",(A946)," ",B946)),"")</f>
        <v/>
      </c>
      <c r="AF946" s="833"/>
      <c r="AG946" s="833"/>
      <c r="AH946" s="91" t="str">
        <f>IF(AD946="free",0,IF(AD946="me","",IF(G946&gt;0,(VLOOKUP(A946,'Discount Lookup'!J:K,2)*G946),"")))</f>
        <v/>
      </c>
      <c r="AI946" s="92" t="str">
        <f t="shared" si="2404"/>
        <v/>
      </c>
      <c r="AJ946" s="828" t="str">
        <f t="shared" si="2313"/>
        <v/>
      </c>
      <c r="AK946" s="828"/>
      <c r="AL946" s="313" t="str">
        <f t="shared" si="2338"/>
        <v/>
      </c>
      <c r="AM946" s="312"/>
      <c r="AN946" s="101"/>
      <c r="AO946" s="101"/>
      <c r="AP946" s="101"/>
      <c r="AQ946" s="101"/>
      <c r="AR946" s="101"/>
      <c r="AS946" s="101"/>
      <c r="AT946" s="101"/>
    </row>
    <row r="947" spans="1:46" ht="12.95" customHeight="1">
      <c r="A947" s="896" t="s">
        <v>553</v>
      </c>
      <c r="B947" s="897"/>
      <c r="C947" s="897"/>
      <c r="D947" s="897"/>
      <c r="E947" s="897"/>
      <c r="F947" s="897"/>
      <c r="G947" s="897"/>
      <c r="H947" s="776" t="s">
        <v>547</v>
      </c>
      <c r="I947" s="88" t="s">
        <v>79</v>
      </c>
      <c r="J947" s="86"/>
      <c r="K947" s="603" t="s">
        <v>45</v>
      </c>
      <c r="L947" s="601" t="s">
        <v>46</v>
      </c>
      <c r="M947" s="86"/>
      <c r="N947" s="87" t="s">
        <v>69</v>
      </c>
      <c r="O947" s="87"/>
      <c r="P947" s="87"/>
      <c r="Q947" s="87"/>
      <c r="R947" s="86"/>
      <c r="S947" s="125"/>
      <c r="T947" s="543"/>
      <c r="U947" s="89" t="s">
        <v>48</v>
      </c>
      <c r="V947" s="100" t="b">
        <f>IF(G947&gt;0,IF(AD947="me","",G947))</f>
        <v>0</v>
      </c>
      <c r="W947" s="100"/>
      <c r="X947" s="100"/>
      <c r="Y947" s="201"/>
      <c r="Z947" s="829" t="str">
        <f t="shared" si="2312"/>
        <v/>
      </c>
      <c r="AA947" s="829"/>
      <c r="AB947" s="830" t="str">
        <f>IF(G947=0,"",IF(AD947="free","re-planting",IF(AD947="me","not NVP, by",IF($AD$8="yes",(VLOOKUP(A947,'Discount Lookup'!J:K,2)*G947*(1-$AC$1786)*(1+$AC$1788)),IF(AD947="NVP",(VLOOKUP(A947,'Discount Lookup'!J:K,2)*G947*(1-$AC$1786)*(1+$AC$1788)),IF(AD947="free","re-planting",IF(G947=0,"",IF($AD$8="",IF(AD947="me","not NVP, by",IF(AD947="",IF(G947&gt;0,(VLOOKUP(A947,'Discount Lookup'!J:K,2)*G947*(1-$AC$1786)*(1+$AC$1788)),""),"")),"not NVP, by"))))))))</f>
        <v/>
      </c>
      <c r="AC947" s="830"/>
      <c r="AD947" s="375" t="str">
        <f t="shared" si="2410"/>
        <v/>
      </c>
      <c r="AE947" s="833" t="str">
        <f t="shared" si="2364"/>
        <v/>
      </c>
      <c r="AF947" s="833"/>
      <c r="AG947" s="833"/>
      <c r="AH947" s="91">
        <f>IF(AD947="free",0,IF(AD947="me",0,IF(G947&gt;0,(VLOOKUP(A947,'Discount Lookup'!J:K,2)*G947),0)))</f>
        <v>0</v>
      </c>
      <c r="AI947" s="92" t="str">
        <f t="shared" si="2404"/>
        <v/>
      </c>
      <c r="AJ947" s="828" t="str">
        <f t="shared" si="2313"/>
        <v/>
      </c>
      <c r="AK947" s="828"/>
      <c r="AL947" s="313" t="str">
        <f t="shared" si="2338"/>
        <v/>
      </c>
      <c r="AM947" s="312"/>
      <c r="AN947" s="101"/>
      <c r="AO947" s="101"/>
      <c r="AP947" s="101"/>
      <c r="AQ947" s="101"/>
      <c r="AR947" s="101"/>
      <c r="AS947" s="101"/>
      <c r="AT947" s="101"/>
    </row>
    <row r="948" spans="1:46" ht="12.95" customHeight="1">
      <c r="A948" s="419">
        <v>3</v>
      </c>
      <c r="B948" s="87" t="s">
        <v>50</v>
      </c>
      <c r="C948" s="128" t="s">
        <v>482</v>
      </c>
      <c r="D948" s="129" t="s">
        <v>94</v>
      </c>
      <c r="E948" s="98">
        <v>23.95</v>
      </c>
      <c r="F948" s="705" t="s">
        <v>1306</v>
      </c>
      <c r="G948" s="357">
        <v>0</v>
      </c>
      <c r="H948" s="704" t="str">
        <f t="shared" ref="H948" si="2426">IF(G948=0,"",IF(F948="Qty=",IF(G948=1,"plant","plants"),IF(F948&gt;0.0001,"warranty","Error")))</f>
        <v/>
      </c>
      <c r="I948" s="98">
        <f t="shared" ref="I948" si="2427">IF(F948="Qty=",(E948*G948),((E948*(1-F948))*G948))</f>
        <v>0</v>
      </c>
      <c r="J948" s="98">
        <f>IF(H948="warranty",0,(I948*($J$1782)))</f>
        <v>0</v>
      </c>
      <c r="K948" s="831">
        <f t="shared" ref="K948" si="2428">I948+J948</f>
        <v>0</v>
      </c>
      <c r="L948" s="831"/>
      <c r="M948" s="832" t="str">
        <f>IF($H$1784=0,"",IF(G948=0,"",IF(F948="Qty=",CONCATENATE("$",ROUND(K948*(1-$H$1784),2)," with ",($H$1784*100),"% discount"),CONCATENATE("$",ROUND(K948*(1-$H$1784),2)," with ",(($H$1784*100+F948*100)-($H$1784*100*F948)),IF(F948&gt;0,"% discounts",IF($H$1781&gt;0,"% discounts","% discount"))))))</f>
        <v/>
      </c>
      <c r="N948" s="832"/>
      <c r="O948" s="832"/>
      <c r="P948" s="832"/>
      <c r="Q948" s="832"/>
      <c r="R948" s="832"/>
      <c r="S948" s="303">
        <f>E948*G948</f>
        <v>0</v>
      </c>
      <c r="T948" s="541">
        <f>VLOOKUP(A948,'Discount Lookup'!D:E,2,FALSE)*G948</f>
        <v>0</v>
      </c>
      <c r="U948" s="83">
        <f>VLOOKUP(A948,'Discount Lookup'!G:H,2,FALSE)*G948</f>
        <v>0</v>
      </c>
      <c r="V948" s="100">
        <f>E948*($J$1782)*G948</f>
        <v>0</v>
      </c>
      <c r="W948" s="100">
        <f>I948</f>
        <v>0</v>
      </c>
      <c r="X948" s="100" t="b">
        <f>IF(G948&gt;0,IF(AD948="me","",G948))</f>
        <v>0</v>
      </c>
      <c r="Y948" s="201"/>
      <c r="Z948" s="829" t="str">
        <f t="shared" si="2312"/>
        <v/>
      </c>
      <c r="AA948" s="829"/>
      <c r="AB948" s="830" t="str">
        <f>IF(G948=0,"",IF(AD948="free","re-planting",IF(AD948="me","not NVP, by",IF($AD$8="yes",(VLOOKUP(A948,'Discount Lookup'!J:K,2)*G948*(1-$AC$1786)*(1+$AC$1788)),IF(AD948="NVP",(VLOOKUP(A948,'Discount Lookup'!J:K,2)*G948*(1-$AC$1786)*(1+$AC$1788)),IF(AD948="free","re-planting",IF(G948=0,"",IF($AD$8="",IF(AD948="me","not NVP, by",IF(AD948="",IF(G948&gt;0,(VLOOKUP(A948,'Discount Lookup'!J:K,2)*G948*(1-$AC$1786)*(1+$AC$1788)),""),"")),"not NVP, by"))))))))</f>
        <v/>
      </c>
      <c r="AC948" s="830"/>
      <c r="AD948" s="375" t="str">
        <f t="shared" si="2410"/>
        <v/>
      </c>
      <c r="AE948" s="833" t="str">
        <f t="shared" si="2364"/>
        <v/>
      </c>
      <c r="AF948" s="833"/>
      <c r="AG948" s="833"/>
      <c r="AH948" s="91">
        <f>IF(AD948="free",0,IF(AD948="me",0,IF(G948&gt;0,(VLOOKUP(A948,'Discount Lookup'!J:K,2)*G948),0)))</f>
        <v>0</v>
      </c>
      <c r="AI948" s="92" t="str">
        <f t="shared" si="2404"/>
        <v/>
      </c>
      <c r="AJ948" s="828" t="str">
        <f t="shared" si="2313"/>
        <v/>
      </c>
      <c r="AK948" s="828"/>
      <c r="AL948" s="313" t="str">
        <f t="shared" si="2338"/>
        <v/>
      </c>
      <c r="AM948" s="312"/>
      <c r="AN948" s="101"/>
      <c r="AO948" s="101"/>
      <c r="AP948" s="101"/>
      <c r="AQ948" s="101"/>
      <c r="AR948" s="101"/>
      <c r="AS948" s="101"/>
      <c r="AT948" s="101"/>
    </row>
    <row r="949" spans="1:46" ht="12.95" customHeight="1">
      <c r="A949" s="468"/>
      <c r="B949" s="149" t="s">
        <v>554</v>
      </c>
      <c r="C949" s="117"/>
      <c r="D949" s="118"/>
      <c r="E949" s="119"/>
      <c r="F949" s="711"/>
      <c r="G949" s="356"/>
      <c r="H949" s="745"/>
      <c r="I949" s="119"/>
      <c r="J949" s="119"/>
      <c r="K949" s="609"/>
      <c r="L949" s="609"/>
      <c r="M949" s="121"/>
      <c r="N949" s="121"/>
      <c r="O949" s="123"/>
      <c r="P949" s="124"/>
      <c r="Q949" s="841" t="s">
        <v>125</v>
      </c>
      <c r="R949" s="841"/>
      <c r="S949" s="841"/>
      <c r="T949" s="841"/>
      <c r="U949" s="841"/>
      <c r="V949" s="841"/>
      <c r="W949" s="100"/>
      <c r="X949" s="100"/>
      <c r="Y949" s="201"/>
      <c r="Z949" s="829" t="str">
        <f t="shared" si="2312"/>
        <v/>
      </c>
      <c r="AA949" s="829"/>
      <c r="AB949" s="830" t="str">
        <f>IF(G949=0,"",IF(AD949="free","re-planting",IF(AD949="me","not NVP, by",IF($AD$8="yes",(VLOOKUP(A949,'Discount Lookup'!J:K,2)*G949*(1-$AC$1786)*(1+$AC$1788)),IF(AD949="NVP",(VLOOKUP(A949,'Discount Lookup'!J:K,2)*G949*(1-$AC$1786)*(1+$AC$1788)),IF(AD949="free","re-planting",IF(G949=0,"",IF($AD$8="",IF(AD949="me","not NVP, by",IF(AD949="",IF(G949&gt;0,(VLOOKUP(A949,'Discount Lookup'!J:K,2)*G949*(1-$AC$1786)*(1+$AC$1788)),""),"")),"not NVP, by"))))))))</f>
        <v/>
      </c>
      <c r="AC949" s="830"/>
      <c r="AD949" s="375" t="str">
        <f t="shared" si="2410"/>
        <v/>
      </c>
      <c r="AE949" s="833" t="str">
        <f t="shared" si="2364"/>
        <v/>
      </c>
      <c r="AF949" s="833"/>
      <c r="AG949" s="833"/>
      <c r="AH949" s="91">
        <f>IF(AD949="free",0,IF(AD949="me",0,IF(G949&gt;0,(VLOOKUP(A949,'Discount Lookup'!J:K,2)*G949),0)))</f>
        <v>0</v>
      </c>
      <c r="AI949" s="92" t="str">
        <f t="shared" si="2404"/>
        <v/>
      </c>
      <c r="AJ949" s="828" t="str">
        <f t="shared" si="2313"/>
        <v/>
      </c>
      <c r="AK949" s="828"/>
      <c r="AL949" s="313" t="str">
        <f t="shared" si="2338"/>
        <v/>
      </c>
      <c r="AM949" s="312"/>
      <c r="AN949" s="101"/>
      <c r="AO949" s="101"/>
      <c r="AP949" s="101"/>
      <c r="AQ949" s="101"/>
      <c r="AR949" s="101"/>
      <c r="AS949" s="101"/>
      <c r="AT949" s="101"/>
    </row>
    <row r="950" spans="1:46" ht="12.95" customHeight="1">
      <c r="A950" s="896" t="s">
        <v>555</v>
      </c>
      <c r="B950" s="897"/>
      <c r="C950" s="897"/>
      <c r="D950" s="897"/>
      <c r="E950" s="897"/>
      <c r="F950" s="897"/>
      <c r="G950" s="897"/>
      <c r="H950" s="776" t="s">
        <v>547</v>
      </c>
      <c r="I950" s="88" t="s">
        <v>79</v>
      </c>
      <c r="J950" s="86"/>
      <c r="K950" s="603" t="s">
        <v>45</v>
      </c>
      <c r="L950" s="601" t="s">
        <v>46</v>
      </c>
      <c r="M950" s="86"/>
      <c r="N950" s="87" t="s">
        <v>69</v>
      </c>
      <c r="O950" s="87"/>
      <c r="P950" s="87"/>
      <c r="Q950" s="87"/>
      <c r="R950" s="86"/>
      <c r="S950" s="125"/>
      <c r="T950" s="543"/>
      <c r="U950" s="112"/>
      <c r="V950" s="100" t="b">
        <f>IF(G950&gt;0,IF(AD950="me","",G950))</f>
        <v>0</v>
      </c>
      <c r="W950" s="100"/>
      <c r="X950" s="100"/>
      <c r="Y950" s="201"/>
      <c r="Z950" s="829" t="str">
        <f t="shared" si="2312"/>
        <v/>
      </c>
      <c r="AA950" s="829"/>
      <c r="AB950" s="830" t="str">
        <f>IF(G950=0,"",IF(AD950="free","re-planting",IF(AD950="me","not NVP, by",IF($AD$8="yes",(VLOOKUP(A950,'Discount Lookup'!J:K,2)*G950*(1-$AC$1786)*(1+$AC$1788)),IF(AD950="NVP",(VLOOKUP(A950,'Discount Lookup'!J:K,2)*G950*(1-$AC$1786)*(1+$AC$1788)),IF(AD950="free","re-planting",IF(G950=0,"",IF($AD$8="",IF(AD950="me","not NVP, by",IF(AD950="",IF(G950&gt;0,(VLOOKUP(A950,'Discount Lookup'!J:K,2)*G950*(1-$AC$1786)*(1+$AC$1788)),""),"")),"not NVP, by"))))))))</f>
        <v/>
      </c>
      <c r="AC950" s="830"/>
      <c r="AD950" s="375" t="str">
        <f t="shared" si="2410"/>
        <v/>
      </c>
      <c r="AE950" s="833" t="str">
        <f t="shared" si="2364"/>
        <v/>
      </c>
      <c r="AF950" s="833"/>
      <c r="AG950" s="833"/>
      <c r="AH950" s="91">
        <f>IF(AD950="free",0,IF(AD950="me",0,IF(G950&gt;0,(VLOOKUP(A950,'Discount Lookup'!J:K,2)*G950),0)))</f>
        <v>0</v>
      </c>
      <c r="AI950" s="92" t="str">
        <f t="shared" si="2404"/>
        <v/>
      </c>
      <c r="AJ950" s="828" t="str">
        <f t="shared" si="2313"/>
        <v/>
      </c>
      <c r="AK950" s="828"/>
      <c r="AL950" s="313" t="str">
        <f t="shared" si="2338"/>
        <v/>
      </c>
      <c r="AM950" s="312"/>
      <c r="AN950" s="101"/>
      <c r="AO950" s="101"/>
      <c r="AP950" s="101"/>
      <c r="AQ950" s="101"/>
      <c r="AR950" s="101"/>
      <c r="AS950" s="101"/>
      <c r="AT950" s="101"/>
    </row>
    <row r="951" spans="1:46" ht="12.95" customHeight="1">
      <c r="A951" s="419">
        <v>3</v>
      </c>
      <c r="B951" s="87" t="s">
        <v>50</v>
      </c>
      <c r="C951" s="128" t="s">
        <v>552</v>
      </c>
      <c r="D951" s="129" t="s">
        <v>87</v>
      </c>
      <c r="E951" s="98">
        <v>30.95</v>
      </c>
      <c r="F951" s="705" t="s">
        <v>1306</v>
      </c>
      <c r="G951" s="357">
        <v>0</v>
      </c>
      <c r="H951" s="704" t="str">
        <f t="shared" ref="H951:H955" si="2429">IF(G951=0,"",IF(F951="Qty=",IF(G951=1,"plant","plants"),IF(F951&gt;0.0001,"warranty","Error")))</f>
        <v/>
      </c>
      <c r="I951" s="98">
        <f t="shared" ref="I951:I955" si="2430">IF(F951="Qty=",(E951*G951),((E951*(1-F951))*G951))</f>
        <v>0</v>
      </c>
      <c r="J951" s="98">
        <f>IF(H951="warranty",0,(I951*($J$1782)))</f>
        <v>0</v>
      </c>
      <c r="K951" s="831">
        <f t="shared" ref="K951:K955" si="2431">I951+J951</f>
        <v>0</v>
      </c>
      <c r="L951" s="831"/>
      <c r="M951" s="832" t="str">
        <f>IF($H$1784=0,"",IF(G951=0,"",IF(F951="Qty=",CONCATENATE("$",ROUND(K951*(1-$H$1784),2)," with ",($H$1784*100),"% discount"),CONCATENATE("$",ROUND(K951*(1-$H$1784),2)," with ",(($H$1784*100+F951*100)-($H$1784*100*F951)),IF(F951&gt;0,"% discounts",IF($H$1781&gt;0,"% discounts","% discount"))))))</f>
        <v/>
      </c>
      <c r="N951" s="832"/>
      <c r="O951" s="832"/>
      <c r="P951" s="832"/>
      <c r="Q951" s="832"/>
      <c r="R951" s="832"/>
      <c r="S951" s="303">
        <f t="shared" ref="S951:S953" si="2432">E951*G951</f>
        <v>0</v>
      </c>
      <c r="T951" s="541">
        <f>VLOOKUP(A951,'Discount Lookup'!D:E,2,FALSE)*G951</f>
        <v>0</v>
      </c>
      <c r="U951" s="83">
        <f>VLOOKUP(A951,'Discount Lookup'!G:H,2,FALSE)*G951</f>
        <v>0</v>
      </c>
      <c r="V951" s="100">
        <f>E951*($J$1782)*G951</f>
        <v>0</v>
      </c>
      <c r="W951" s="100">
        <f t="shared" ref="W951:W953" si="2433">I951</f>
        <v>0</v>
      </c>
      <c r="X951" s="100" t="b">
        <f>IF(G951&gt;0,IF(AD951="me","",G951))</f>
        <v>0</v>
      </c>
      <c r="Y951" s="201"/>
      <c r="Z951" s="829" t="str">
        <f t="shared" ref="Z951:Z1005" si="2434">IF(G951=0,"",IF(AD951="me","",IF($AD$8="me","",IF(AD951="free","warranty",IF($AD$8="yes","NVP planting:","to NVP install:")))))</f>
        <v/>
      </c>
      <c r="AA951" s="829"/>
      <c r="AB951" s="830" t="str">
        <f>IF(G951=0,"",IF(AD951="free","re-planting",IF(AD951="me","not NVP, by",IF($AD$8="yes",(VLOOKUP(A951,'Discount Lookup'!J:K,2)*G951*(1-$AC$1786)*(1+$AC$1788)),IF(AD951="NVP",(VLOOKUP(A951,'Discount Lookup'!J:K,2)*G951*(1-$AC$1786)*(1+$AC$1788)),IF(AD951="free","re-planting",IF(G951=0,"",IF($AD$8="",IF(AD951="me","not NVP, by",IF(AD951="",IF(G951&gt;0,(VLOOKUP(A951,'Discount Lookup'!J:K,2)*G951*(1-$AC$1786)*(1+$AC$1788)),""),"")),"not NVP, by"))))))))</f>
        <v/>
      </c>
      <c r="AC951" s="830"/>
      <c r="AD951" s="375" t="str">
        <f t="shared" si="2410"/>
        <v/>
      </c>
      <c r="AE951" s="833" t="str">
        <f t="shared" ref="AE951:AE953" si="2435">IF(G951&gt;0,(CONCATENATE((G951)," quantity, ",(A951)," ",B951)),"")</f>
        <v/>
      </c>
      <c r="AF951" s="833"/>
      <c r="AG951" s="833"/>
      <c r="AH951" s="91">
        <f>IF(AD951="free",0,IF(AD951="me",0,IF(G951&gt;0,(VLOOKUP(A951,'Discount Lookup'!J:K,2)*G951),0)))</f>
        <v>0</v>
      </c>
      <c r="AI951" s="92" t="str">
        <f t="shared" si="2404"/>
        <v/>
      </c>
      <c r="AJ951" s="828" t="str">
        <f t="shared" ref="AJ951:AJ1005" si="2436">IF(G951=0,"",IF(AD951="me","  delivery-only",IF($AD$8="me","  delivery-only",CONCATENATE(" $",ROUND(AI951/G951,2)," each"))))</f>
        <v/>
      </c>
      <c r="AK951" s="828"/>
      <c r="AL951" s="313" t="str">
        <f t="shared" si="2338"/>
        <v/>
      </c>
      <c r="AM951" s="312"/>
      <c r="AN951" s="101"/>
      <c r="AO951" s="101"/>
      <c r="AP951" s="101"/>
      <c r="AQ951" s="101"/>
      <c r="AR951" s="101"/>
      <c r="AS951" s="101"/>
      <c r="AT951" s="101"/>
    </row>
    <row r="952" spans="1:46" ht="12.95" customHeight="1">
      <c r="A952" s="419">
        <v>3</v>
      </c>
      <c r="B952" s="87" t="s">
        <v>50</v>
      </c>
      <c r="C952" s="128" t="s">
        <v>548</v>
      </c>
      <c r="D952" s="129" t="s">
        <v>62</v>
      </c>
      <c r="E952" s="98">
        <v>30.95</v>
      </c>
      <c r="F952" s="705" t="s">
        <v>1306</v>
      </c>
      <c r="G952" s="357">
        <v>0</v>
      </c>
      <c r="H952" s="704" t="str">
        <f t="shared" ref="H952" si="2437">IF(G952=0,"",IF(F952="Qty=",IF(G952=1,"plant","plants"),IF(F952&gt;0.0001,"warranty","Error")))</f>
        <v/>
      </c>
      <c r="I952" s="98">
        <f t="shared" ref="I952" si="2438">IF(F952="Qty=",(E952*G952),((E952*(1-F952))*G952))</f>
        <v>0</v>
      </c>
      <c r="J952" s="98">
        <f>IF(H952="warranty",0,(I952*($J$1782)))</f>
        <v>0</v>
      </c>
      <c r="K952" s="831">
        <f t="shared" ref="K952" si="2439">I952+J952</f>
        <v>0</v>
      </c>
      <c r="L952" s="831"/>
      <c r="M952" s="832" t="str">
        <f>IF($H$1784=0,"",IF(G952=0,"",IF(F952="Qty=",CONCATENATE("$",ROUND(K952*(1-$H$1784),2)," with ",($H$1784*100),"% discount"),CONCATENATE("$",ROUND(K952*(1-$H$1784),2)," with ",(($H$1784*100+F952*100)-($H$1784*100*F952)),IF(F952&gt;0,"% discounts",IF($H$1781&gt;0,"% discounts","% discount"))))))</f>
        <v/>
      </c>
      <c r="N952" s="832"/>
      <c r="O952" s="832"/>
      <c r="P952" s="832"/>
      <c r="Q952" s="832"/>
      <c r="R952" s="832"/>
      <c r="S952" s="303">
        <f t="shared" ref="S952" si="2440">E952*G952</f>
        <v>0</v>
      </c>
      <c r="T952" s="541">
        <f>VLOOKUP(A952,'Discount Lookup'!D:E,2,FALSE)*G952</f>
        <v>0</v>
      </c>
      <c r="U952" s="83">
        <f>VLOOKUP(A952,'Discount Lookup'!G:H,2,FALSE)*G952</f>
        <v>0</v>
      </c>
      <c r="V952" s="100">
        <f>E952*($J$1782)*G952</f>
        <v>0</v>
      </c>
      <c r="W952" s="100">
        <f t="shared" ref="W952" si="2441">I952</f>
        <v>0</v>
      </c>
      <c r="X952" s="100" t="b">
        <f>IF(G952&gt;0,IF(AD952="me","",G952))</f>
        <v>0</v>
      </c>
      <c r="Y952" s="201"/>
      <c r="Z952" s="829" t="str">
        <f t="shared" ref="Z952" si="2442">IF(G952=0,"",IF(AD952="me","",IF($AD$8="me","",IF(AD952="free","warranty",IF($AD$8="yes","NVP planting:","to NVP install:")))))</f>
        <v/>
      </c>
      <c r="AA952" s="829"/>
      <c r="AB952" s="830" t="str">
        <f>IF(G952=0,"",IF(AD952="free","re-planting",IF(AD952="me","not NVP, by",IF($AD$8="yes",(VLOOKUP(A952,'Discount Lookup'!J:K,2)*G952*(1-$AC$1786)*(1+$AC$1788)),IF(AD952="NVP",(VLOOKUP(A952,'Discount Lookup'!J:K,2)*G952*(1-$AC$1786)*(1+$AC$1788)),IF(AD952="free","re-planting",IF(G952=0,"",IF($AD$8="",IF(AD952="me","not NVP, by",IF(AD952="",IF(G952&gt;0,(VLOOKUP(A952,'Discount Lookup'!J:K,2)*G952*(1-$AC$1786)*(1+$AC$1788)),""),"")),"not NVP, by"))))))))</f>
        <v/>
      </c>
      <c r="AC952" s="830"/>
      <c r="AD952" s="375" t="str">
        <f t="shared" ref="AD952" si="2443">IF(G952=0,"",IF($AD$8="me","me",IF(H952="warranty","free",IF($AD$8="yes","NVP",""))))</f>
        <v/>
      </c>
      <c r="AE952" s="833" t="str">
        <f t="shared" ref="AE952" si="2444">IF(G952&gt;0,(CONCATENATE((G952)," quantity, ",(A952)," ",B952)),"")</f>
        <v/>
      </c>
      <c r="AF952" s="833"/>
      <c r="AG952" s="833"/>
      <c r="AH952" s="91">
        <f>IF(AD952="free",0,IF(AD952="me",0,IF(G952&gt;0,(VLOOKUP(A952,'Discount Lookup'!J:K,2)*G952),0)))</f>
        <v>0</v>
      </c>
      <c r="AI952" s="92" t="str">
        <f t="shared" si="2404"/>
        <v/>
      </c>
      <c r="AJ952" s="828" t="str">
        <f t="shared" ref="AJ952" si="2445">IF(G952=0,"",IF(AD952="me","  delivery-only",IF($AD$8="me","  delivery-only",CONCATENATE(" $",ROUND(AI952/G952,2)," each"))))</f>
        <v/>
      </c>
      <c r="AK952" s="828"/>
      <c r="AL952" s="313" t="str">
        <f t="shared" si="2338"/>
        <v/>
      </c>
      <c r="AM952" s="312"/>
      <c r="AN952" s="101"/>
      <c r="AO952" s="101"/>
      <c r="AP952" s="101"/>
      <c r="AQ952" s="101"/>
      <c r="AR952" s="101"/>
      <c r="AS952" s="101"/>
      <c r="AT952" s="101"/>
    </row>
    <row r="953" spans="1:46" ht="12.95" customHeight="1">
      <c r="A953" s="419">
        <v>3</v>
      </c>
      <c r="B953" s="87" t="s">
        <v>50</v>
      </c>
      <c r="C953" s="128" t="s">
        <v>1281</v>
      </c>
      <c r="D953" s="129" t="s">
        <v>54</v>
      </c>
      <c r="E953" s="98">
        <v>36.950000000000003</v>
      </c>
      <c r="F953" s="705" t="s">
        <v>1306</v>
      </c>
      <c r="G953" s="357">
        <v>0</v>
      </c>
      <c r="H953" s="704" t="str">
        <f t="shared" ref="H953" si="2446">IF(G953=0,"",IF(F953="Qty=",IF(G953=1,"plant","plants"),IF(F953&gt;0.0001,"warranty","Error")))</f>
        <v/>
      </c>
      <c r="I953" s="98">
        <f t="shared" ref="I953" si="2447">IF(F953="Qty=",(E953*G953),((E953*(1-F953))*G953))</f>
        <v>0</v>
      </c>
      <c r="J953" s="98">
        <f>IF(H953="warranty",0,(I953*($J$1782)))</f>
        <v>0</v>
      </c>
      <c r="K953" s="831">
        <f t="shared" si="2431"/>
        <v>0</v>
      </c>
      <c r="L953" s="831"/>
      <c r="M953" s="832" t="str">
        <f>IF($H$1784=0,"",IF(G953=0,"",IF(F953="Qty=",CONCATENATE("$",ROUND(K953*(1-$H$1784),2)," with ",($H$1784*100),"% discount"),CONCATENATE("$",ROUND(K953*(1-$H$1784),2)," with ",(($H$1784*100+F953*100)-($H$1784*100*F953)),IF(F953&gt;0,"% discounts",IF($H$1781&gt;0,"% discounts","% discount"))))))</f>
        <v/>
      </c>
      <c r="N953" s="832"/>
      <c r="O953" s="832"/>
      <c r="P953" s="832"/>
      <c r="Q953" s="832"/>
      <c r="R953" s="832"/>
      <c r="S953" s="303">
        <f t="shared" si="2432"/>
        <v>0</v>
      </c>
      <c r="T953" s="541">
        <f>VLOOKUP(A953,'Discount Lookup'!D:E,2,FALSE)*G953</f>
        <v>0</v>
      </c>
      <c r="U953" s="83">
        <f>VLOOKUP(A953,'Discount Lookup'!G:H,2,FALSE)*G953</f>
        <v>0</v>
      </c>
      <c r="V953" s="100">
        <f>E953*($J$1782)*G953</f>
        <v>0</v>
      </c>
      <c r="W953" s="100">
        <f t="shared" si="2433"/>
        <v>0</v>
      </c>
      <c r="X953" s="100" t="b">
        <f>IF(G953&gt;0,IF(AD953="me","",G953))</f>
        <v>0</v>
      </c>
      <c r="Y953" s="201"/>
      <c r="Z953" s="829" t="str">
        <f t="shared" ref="Z953" si="2448">IF(G953=0,"",IF(AD953="me","",IF($AD$8="me","",IF(AD953="free","warranty",IF($AD$8="yes","NVP planting:","to NVP install:")))))</f>
        <v/>
      </c>
      <c r="AA953" s="829"/>
      <c r="AB953" s="830" t="str">
        <f>IF(G953=0,"",IF(AD953="free","re-planting",IF(AD953="me","not NVP, by",IF($AD$8="yes",(VLOOKUP(A953,'Discount Lookup'!J:K,2)*G953*(1-$AC$1786)*(1+$AC$1788)),IF(AD953="NVP",(VLOOKUP(A953,'Discount Lookup'!J:K,2)*G953*(1-$AC$1786)*(1+$AC$1788)),IF(AD953="free","re-planting",IF(G953=0,"",IF($AD$8="",IF(AD953="me","not NVP, by",IF(AD953="",IF(G953&gt;0,(VLOOKUP(A953,'Discount Lookup'!J:K,2)*G953*(1-$AC$1786)*(1+$AC$1788)),""),"")),"not NVP, by"))))))))</f>
        <v/>
      </c>
      <c r="AC953" s="830"/>
      <c r="AD953" s="375" t="str">
        <f t="shared" si="2410"/>
        <v/>
      </c>
      <c r="AE953" s="833" t="str">
        <f t="shared" si="2435"/>
        <v/>
      </c>
      <c r="AF953" s="833"/>
      <c r="AG953" s="833"/>
      <c r="AH953" s="91">
        <f>IF(AD953="free",0,IF(AD953="me",0,IF(G953&gt;0,(VLOOKUP(A953,'Discount Lookup'!J:K,2)*G953),0)))</f>
        <v>0</v>
      </c>
      <c r="AI953" s="92" t="str">
        <f t="shared" si="2404"/>
        <v/>
      </c>
      <c r="AJ953" s="828" t="str">
        <f t="shared" ref="AJ953" si="2449">IF(G953=0,"",IF(AD953="me","  delivery-only",IF($AD$8="me","  delivery-only",CONCATENATE(" $",ROUND(AI953/G953,2)," each"))))</f>
        <v/>
      </c>
      <c r="AK953" s="828"/>
      <c r="AL953" s="313" t="str">
        <f t="shared" si="2338"/>
        <v/>
      </c>
      <c r="AM953" s="312"/>
      <c r="AN953" s="101"/>
      <c r="AO953" s="101"/>
      <c r="AP953" s="101"/>
      <c r="AQ953" s="101"/>
      <c r="AR953" s="101"/>
      <c r="AS953" s="101"/>
      <c r="AT953" s="101"/>
    </row>
    <row r="954" spans="1:46" ht="12.95" customHeight="1">
      <c r="A954" s="419">
        <v>3</v>
      </c>
      <c r="B954" s="87" t="s">
        <v>50</v>
      </c>
      <c r="C954" s="128" t="s">
        <v>135</v>
      </c>
      <c r="D954" s="129" t="s">
        <v>63</v>
      </c>
      <c r="E954" s="98">
        <v>36.950000000000003</v>
      </c>
      <c r="F954" s="705" t="s">
        <v>1306</v>
      </c>
      <c r="G954" s="357">
        <v>0</v>
      </c>
      <c r="H954" s="704" t="str">
        <f>IF(G954=0,"",IF(F954="Qty=",IF(G954=1,"plant","plants"),IF(F954&gt;0.0001,"warranty","Error")))</f>
        <v/>
      </c>
      <c r="I954" s="98">
        <f>IF(F954="Qty=",(E954*G954),((E954*(1-F954))*G954))</f>
        <v>0</v>
      </c>
      <c r="J954" s="98">
        <f>IF(H954="warranty",0,(I954*($J$1782)))</f>
        <v>0</v>
      </c>
      <c r="K954" s="831">
        <f t="shared" si="2431"/>
        <v>0</v>
      </c>
      <c r="L954" s="831"/>
      <c r="M954" s="832" t="str">
        <f>IF($H$1784=0,"",IF(G954=0,"",IF(F954="Qty=",CONCATENATE("$",ROUND(K954*(1-$H$1784),2)," with ",($H$1784*100),"% discount"),CONCATENATE("$",ROUND(K954*(1-$H$1784),2)," with ",(($H$1784*100+F954*100)-($H$1784*100*F954)),IF(F954&gt;0,"% discounts",IF($H$1781&gt;0,"% discounts","% discount"))))))</f>
        <v/>
      </c>
      <c r="N954" s="832"/>
      <c r="O954" s="832"/>
      <c r="P954" s="832"/>
      <c r="Q954" s="832"/>
      <c r="R954" s="832"/>
      <c r="S954" s="303">
        <f>E954*G954</f>
        <v>0</v>
      </c>
      <c r="T954" s="541">
        <f>VLOOKUP(A954,'Discount Lookup'!D:E,2,FALSE)*G954</f>
        <v>0</v>
      </c>
      <c r="U954" s="83">
        <f>VLOOKUP(A954,'Discount Lookup'!G:H,2,FALSE)*G954</f>
        <v>0</v>
      </c>
      <c r="V954" s="100">
        <f>E954*($J$1782)*G954</f>
        <v>0</v>
      </c>
      <c r="W954" s="100">
        <f>I954</f>
        <v>0</v>
      </c>
      <c r="X954" s="100" t="b">
        <f>IF(G954&gt;0,IF(AD954="me","",G954))</f>
        <v>0</v>
      </c>
      <c r="Y954" s="201"/>
      <c r="Z954" s="829" t="str">
        <f>IF(G954=0,"",IF(AD954="me","",IF($AD$8="me","",IF(AD954="free","warranty",IF($AD$8="yes","NVP planting:","to NVP install:")))))</f>
        <v/>
      </c>
      <c r="AA954" s="829"/>
      <c r="AB954" s="830" t="str">
        <f>IF(G954=0,"",IF(AD954="free","re-planting",IF(AD954="me","not NVP, by",IF($AD$8="yes",(VLOOKUP(A954,'Discount Lookup'!J:K,2)*G954*(1-$AC$1786)*(1+$AC$1788)),IF(AD954="NVP",(VLOOKUP(A954,'Discount Lookup'!J:K,2)*G954*(1-$AC$1786)*(1+$AC$1788)),IF(AD954="free","re-planting",IF(G954=0,"",IF($AD$8="",IF(AD954="me","not NVP, by",IF(AD954="",IF(G954&gt;0,(VLOOKUP(A954,'Discount Lookup'!J:K,2)*G954*(1-$AC$1786)*(1+$AC$1788)),""),"")),"not NVP, by"))))))))</f>
        <v/>
      </c>
      <c r="AC954" s="830"/>
      <c r="AD954" s="375" t="str">
        <f t="shared" si="2410"/>
        <v/>
      </c>
      <c r="AE954" s="833" t="str">
        <f>IF(G954&gt;0,(CONCATENATE((G954)," quantity, ",(A954)," ",B954)),"")</f>
        <v/>
      </c>
      <c r="AF954" s="833"/>
      <c r="AG954" s="833"/>
      <c r="AH954" s="91">
        <f>IF(AD954="free",0,IF(AD954="me",0,IF(G954&gt;0,(VLOOKUP(A954,'Discount Lookup'!J:K,2)*G954),0)))</f>
        <v>0</v>
      </c>
      <c r="AI954" s="92" t="str">
        <f t="shared" si="2404"/>
        <v/>
      </c>
      <c r="AJ954" s="828" t="str">
        <f>IF(G954=0,"",IF(AD954="me","  delivery-only",IF($AD$8="me","  delivery-only",CONCATENATE(" $",ROUND(AI954/G954,2)," each"))))</f>
        <v/>
      </c>
      <c r="AK954" s="828"/>
      <c r="AL954" s="313" t="str">
        <f t="shared" si="2338"/>
        <v/>
      </c>
      <c r="AM954" s="312"/>
      <c r="AN954" s="101"/>
      <c r="AO954" s="101"/>
      <c r="AP954" s="101"/>
      <c r="AQ954" s="101"/>
      <c r="AR954" s="101"/>
      <c r="AS954" s="101"/>
      <c r="AT954" s="101"/>
    </row>
    <row r="955" spans="1:46" ht="12.95" customHeight="1">
      <c r="A955" s="419">
        <v>7</v>
      </c>
      <c r="B955" s="87" t="s">
        <v>50</v>
      </c>
      <c r="C955" s="128" t="s">
        <v>1313</v>
      </c>
      <c r="D955" s="129" t="s">
        <v>54</v>
      </c>
      <c r="E955" s="98">
        <v>86.95</v>
      </c>
      <c r="F955" s="705" t="s">
        <v>1306</v>
      </c>
      <c r="G955" s="357">
        <v>0</v>
      </c>
      <c r="H955" s="704" t="str">
        <f t="shared" si="2429"/>
        <v/>
      </c>
      <c r="I955" s="98">
        <f t="shared" si="2430"/>
        <v>0</v>
      </c>
      <c r="J955" s="98">
        <f>IF(H955="warranty",0,(I955*($J$1782)))</f>
        <v>0</v>
      </c>
      <c r="K955" s="831">
        <f t="shared" si="2431"/>
        <v>0</v>
      </c>
      <c r="L955" s="831"/>
      <c r="M955" s="832" t="str">
        <f>IF($H$1784=0,"",IF(G955=0,"",IF(F955="Qty=",CONCATENATE("$",ROUND(K955*(1-$H$1784),2)," with ",($H$1784*100),"% discount"),CONCATENATE("$",ROUND(K955*(1-$H$1784),2)," with ",(($H$1784*100+F955*100)-($H$1784*100*F955)),IF(F955&gt;0,"% discounts",IF($H$1781&gt;0,"% discounts","% discount"))))))</f>
        <v/>
      </c>
      <c r="N955" s="832"/>
      <c r="O955" s="832"/>
      <c r="P955" s="832"/>
      <c r="Q955" s="832"/>
      <c r="R955" s="832"/>
      <c r="S955" s="303">
        <f t="shared" ref="S955" si="2450">E955*G955</f>
        <v>0</v>
      </c>
      <c r="T955" s="541">
        <f>VLOOKUP(A955,'Discount Lookup'!D:E,2,FALSE)*G955</f>
        <v>0</v>
      </c>
      <c r="U955" s="83">
        <f>VLOOKUP(A955,'Discount Lookup'!G:H,2,FALSE)*G955</f>
        <v>0</v>
      </c>
      <c r="V955" s="100">
        <f>E955*($J$1782)*G955</f>
        <v>0</v>
      </c>
      <c r="W955" s="100">
        <f t="shared" ref="W955" si="2451">I955</f>
        <v>0</v>
      </c>
      <c r="X955" s="100" t="b">
        <f>IF(G955&gt;0,IF(AD955="me","",G955))</f>
        <v>0</v>
      </c>
      <c r="Y955" s="201"/>
      <c r="Z955" s="829" t="str">
        <f t="shared" si="2434"/>
        <v/>
      </c>
      <c r="AA955" s="829"/>
      <c r="AB955" s="830" t="str">
        <f>IF(G955=0,"",IF(AD955="free","re-planting",IF(AD955="me","not NVP, by",IF($AD$8="yes",(VLOOKUP(A955,'Discount Lookup'!J:K,2)*G955*(1-$AC$1786)*(1+$AC$1788)),IF(AD955="NVP",(VLOOKUP(A955,'Discount Lookup'!J:K,2)*G955*(1-$AC$1786)*(1+$AC$1788)),IF(AD955="free","re-planting",IF(G955=0,"",IF($AD$8="",IF(AD955="me","not NVP, by",IF(AD955="",IF(G955&gt;0,(VLOOKUP(A955,'Discount Lookup'!J:K,2)*G955*(1-$AC$1786)*(1+$AC$1788)),""),"")),"not NVP, by"))))))))</f>
        <v/>
      </c>
      <c r="AC955" s="830"/>
      <c r="AD955" s="375" t="str">
        <f t="shared" si="2410"/>
        <v/>
      </c>
      <c r="AE955" s="833" t="str">
        <f t="shared" si="2364"/>
        <v/>
      </c>
      <c r="AF955" s="833"/>
      <c r="AG955" s="833"/>
      <c r="AH955" s="91">
        <f>IF(AD955="free",0,IF(AD955="me",0,IF(G955&gt;0,(VLOOKUP(A955,'Discount Lookup'!J:K,2)*G955),0)))</f>
        <v>0</v>
      </c>
      <c r="AI955" s="92" t="str">
        <f t="shared" si="2404"/>
        <v/>
      </c>
      <c r="AJ955" s="828" t="str">
        <f t="shared" si="2436"/>
        <v/>
      </c>
      <c r="AK955" s="828"/>
      <c r="AL955" s="313" t="str">
        <f t="shared" si="2338"/>
        <v/>
      </c>
      <c r="AM955" s="312"/>
      <c r="AN955" s="101"/>
      <c r="AO955" s="101"/>
      <c r="AP955" s="101"/>
      <c r="AQ955" s="101"/>
      <c r="AR955" s="101"/>
      <c r="AS955" s="101"/>
      <c r="AT955" s="101"/>
    </row>
    <row r="956" spans="1:46" ht="12.95" customHeight="1">
      <c r="A956" s="468"/>
      <c r="B956" s="149" t="s">
        <v>557</v>
      </c>
      <c r="C956" s="117"/>
      <c r="D956" s="118"/>
      <c r="E956" s="119"/>
      <c r="F956" s="711"/>
      <c r="G956" s="356"/>
      <c r="H956" s="745"/>
      <c r="I956" s="119"/>
      <c r="J956" s="119"/>
      <c r="K956" s="609"/>
      <c r="L956" s="609"/>
      <c r="M956" s="121"/>
      <c r="N956" s="122" t="s">
        <v>460</v>
      </c>
      <c r="O956" s="123"/>
      <c r="P956" s="124"/>
      <c r="Q956" s="124"/>
      <c r="R956" s="83"/>
      <c r="S956" s="82">
        <f>E956*G956</f>
        <v>0</v>
      </c>
      <c r="T956" s="540"/>
      <c r="U956" s="83"/>
      <c r="V956" s="100" t="b">
        <f>IF(G956&gt;0,IF(AD956="me","",G956))</f>
        <v>0</v>
      </c>
      <c r="W956" s="100"/>
      <c r="X956" s="100"/>
      <c r="Y956" s="201"/>
      <c r="Z956" s="829" t="str">
        <f t="shared" si="2434"/>
        <v/>
      </c>
      <c r="AA956" s="829"/>
      <c r="AB956" s="830" t="str">
        <f>IF(G956=0,"",IF(AD956="free","re-planting",IF(AD956="me","not NVP, by",IF($AD$8="yes",(VLOOKUP(A956,'Discount Lookup'!J:K,2)*G956*(1-$AC$1786)*(1+$AC$1788)),IF(AD956="NVP",(VLOOKUP(A956,'Discount Lookup'!J:K,2)*G956*(1-$AC$1786)*(1+$AC$1788)),IF(AD956="free","re-planting",IF(G956=0,"",IF($AD$8="",IF(AD956="me","not NVP, by",IF(AD956="",IF(G956&gt;0,(VLOOKUP(A956,'Discount Lookup'!J:K,2)*G956*(1-$AC$1786)*(1+$AC$1788)),""),"")),"not NVP, by"))))))))</f>
        <v/>
      </c>
      <c r="AC956" s="830"/>
      <c r="AD956" s="375" t="str">
        <f t="shared" si="2410"/>
        <v/>
      </c>
      <c r="AE956" s="833" t="str">
        <f t="shared" si="2364"/>
        <v/>
      </c>
      <c r="AF956" s="833"/>
      <c r="AG956" s="833"/>
      <c r="AH956" s="91">
        <f>IF(AD956="free",0,IF(AD956="me",0,IF(G956&gt;0,(VLOOKUP(A956,'Discount Lookup'!J:K,2)*G956),0)))</f>
        <v>0</v>
      </c>
      <c r="AI956" s="92" t="str">
        <f t="shared" si="2404"/>
        <v/>
      </c>
      <c r="AJ956" s="828" t="str">
        <f t="shared" si="2436"/>
        <v/>
      </c>
      <c r="AK956" s="828"/>
      <c r="AL956" s="313" t="str">
        <f t="shared" si="2338"/>
        <v/>
      </c>
      <c r="AM956" s="312"/>
      <c r="AN956" s="101"/>
      <c r="AO956" s="101"/>
      <c r="AP956" s="101"/>
      <c r="AQ956" s="101"/>
      <c r="AR956" s="101"/>
      <c r="AS956" s="101"/>
      <c r="AT956" s="101"/>
    </row>
    <row r="957" spans="1:46" ht="12.95" customHeight="1">
      <c r="A957" s="896" t="s">
        <v>1558</v>
      </c>
      <c r="B957" s="897"/>
      <c r="C957" s="897"/>
      <c r="D957" s="897"/>
      <c r="E957" s="897"/>
      <c r="F957" s="897"/>
      <c r="G957" s="897"/>
      <c r="H957" s="776" t="s">
        <v>560</v>
      </c>
      <c r="I957" s="88" t="s">
        <v>79</v>
      </c>
      <c r="J957" s="86"/>
      <c r="K957" s="603" t="s">
        <v>45</v>
      </c>
      <c r="L957" s="601" t="s">
        <v>46</v>
      </c>
      <c r="M957" s="86"/>
      <c r="N957" s="87" t="s">
        <v>128</v>
      </c>
      <c r="O957" s="87"/>
      <c r="P957" s="88"/>
      <c r="Q957" s="88"/>
      <c r="R957" s="86"/>
      <c r="S957" s="125"/>
      <c r="T957" s="543"/>
      <c r="U957" s="89" t="s">
        <v>48</v>
      </c>
      <c r="V957" s="100" t="b">
        <f>IF(G957&gt;0,IF(AD957="me","",G957))</f>
        <v>0</v>
      </c>
      <c r="W957" s="100"/>
      <c r="X957" s="100"/>
      <c r="Y957" s="201"/>
      <c r="Z957" s="829" t="str">
        <f t="shared" si="2434"/>
        <v/>
      </c>
      <c r="AA957" s="829"/>
      <c r="AB957" s="830" t="str">
        <f>IF(G957=0,"",IF(AD957="free","re-planting",IF(AD957="me","not NVP, by",IF($AD$8="yes",(VLOOKUP(A957,'Discount Lookup'!J:K,2)*G957*(1-$AC$1786)*(1+$AC$1788)),IF(AD957="NVP",(VLOOKUP(A957,'Discount Lookup'!J:K,2)*G957*(1-$AC$1786)*(1+$AC$1788)),IF(AD957="free","re-planting",IF(G957=0,"",IF($AD$8="",IF(AD957="me","not NVP, by",IF(AD957="",IF(G957&gt;0,(VLOOKUP(A957,'Discount Lookup'!J:K,2)*G957*(1-$AC$1786)*(1+$AC$1788)),""),"")),"not NVP, by"))))))))</f>
        <v/>
      </c>
      <c r="AC957" s="830"/>
      <c r="AD957" s="375" t="str">
        <f t="shared" si="2410"/>
        <v/>
      </c>
      <c r="AE957" s="833" t="str">
        <f t="shared" si="2364"/>
        <v/>
      </c>
      <c r="AF957" s="833"/>
      <c r="AG957" s="833"/>
      <c r="AH957" s="91">
        <f>IF(AD957="free",0,IF(AD957="me",0,IF(G957&gt;0,(VLOOKUP(A957,'Discount Lookup'!J:K,2)*G957),0)))</f>
        <v>0</v>
      </c>
      <c r="AI957" s="92" t="str">
        <f t="shared" si="2404"/>
        <v/>
      </c>
      <c r="AJ957" s="828" t="str">
        <f t="shared" si="2436"/>
        <v/>
      </c>
      <c r="AK957" s="828"/>
      <c r="AL957" s="313" t="str">
        <f t="shared" si="2338"/>
        <v/>
      </c>
      <c r="AM957" s="312"/>
      <c r="AN957" s="101"/>
      <c r="AO957" s="101"/>
      <c r="AP957" s="101"/>
      <c r="AQ957" s="101"/>
      <c r="AR957" s="101"/>
      <c r="AS957" s="101"/>
      <c r="AT957" s="101"/>
    </row>
    <row r="958" spans="1:46" ht="12.95" customHeight="1">
      <c r="A958" s="419">
        <v>3</v>
      </c>
      <c r="B958" s="87" t="s">
        <v>50</v>
      </c>
      <c r="C958" s="128" t="s">
        <v>135</v>
      </c>
      <c r="D958" s="129" t="s">
        <v>87</v>
      </c>
      <c r="E958" s="98">
        <v>33.950000000000003</v>
      </c>
      <c r="F958" s="705" t="s">
        <v>1306</v>
      </c>
      <c r="G958" s="357">
        <v>0</v>
      </c>
      <c r="H958" s="704" t="str">
        <f t="shared" ref="H958" si="2452">IF(G958=0,"",IF(F958="Qty=",IF(G958=1,"plant","plants"),IF(F958&gt;0.0001,"warranty","Error")))</f>
        <v/>
      </c>
      <c r="I958" s="98">
        <f t="shared" ref="I958" si="2453">IF(F958="Qty=",(E958*G958),((E958*(1-F958))*G958))</f>
        <v>0</v>
      </c>
      <c r="J958" s="98">
        <f>IF(H958="warranty",0,(I958*($J$1782)))</f>
        <v>0</v>
      </c>
      <c r="K958" s="831">
        <f t="shared" ref="K958:K962" si="2454">I958+J958</f>
        <v>0</v>
      </c>
      <c r="L958" s="831"/>
      <c r="M958" s="832" t="str">
        <f>IF($H$1784=0,"",IF(G958=0,"",IF(F958="Qty=",CONCATENATE("$",ROUND(K958*(1-$H$1784),2)," with ",($H$1784*100),"% discount"),CONCATENATE("$",ROUND(K958*(1-$H$1784),2)," with ",(($H$1784*100+F958*100)-($H$1784*100*F958)),IF(F958&gt;0,"% discounts",IF($H$1781&gt;0,"% discounts","% discount"))))))</f>
        <v/>
      </c>
      <c r="N958" s="832"/>
      <c r="O958" s="832"/>
      <c r="P958" s="832"/>
      <c r="Q958" s="832"/>
      <c r="R958" s="832"/>
      <c r="S958" s="303">
        <f t="shared" ref="S958" si="2455">E958*G958</f>
        <v>0</v>
      </c>
      <c r="T958" s="541">
        <f>VLOOKUP(A958,'Discount Lookup'!D:E,2,FALSE)*G958</f>
        <v>0</v>
      </c>
      <c r="U958" s="83">
        <f>VLOOKUP(A958,'Discount Lookup'!G:H,2,FALSE)*G958</f>
        <v>0</v>
      </c>
      <c r="V958" s="100">
        <f>E958*($J$1782)*G958</f>
        <v>0</v>
      </c>
      <c r="W958" s="100">
        <f t="shared" ref="W958" si="2456">I958</f>
        <v>0</v>
      </c>
      <c r="X958" s="100" t="b">
        <f>IF(G958&gt;0,IF(AD958="me","",G958))</f>
        <v>0</v>
      </c>
      <c r="Y958" s="201"/>
      <c r="Z958" s="829" t="str">
        <f t="shared" si="2434"/>
        <v/>
      </c>
      <c r="AA958" s="829"/>
      <c r="AB958" s="830" t="str">
        <f>IF(G958=0,"",IF(AD958="free","re-planting",IF(AD958="me","not NVP, by",IF($AD$8="yes",(VLOOKUP(A958,'Discount Lookup'!J:K,2)*G958*(1-$AC$1786)*(1+$AC$1788)),IF(AD958="NVP",(VLOOKUP(A958,'Discount Lookup'!J:K,2)*G958*(1-$AC$1786)*(1+$AC$1788)),IF(AD958="free","re-planting",IF(G958=0,"",IF($AD$8="",IF(AD958="me","not NVP, by",IF(AD958="",IF(G958&gt;0,(VLOOKUP(A958,'Discount Lookup'!J:K,2)*G958*(1-$AC$1786)*(1+$AC$1788)),""),"")),"not NVP, by"))))))))</f>
        <v/>
      </c>
      <c r="AC958" s="830"/>
      <c r="AD958" s="375" t="str">
        <f t="shared" ref="AD958" si="2457">IF(G958=0,"",IF($AD$8="me","me",IF(H958="warranty","free",IF($AD$8="yes","NVP",""))))</f>
        <v/>
      </c>
      <c r="AE958" s="833" t="str">
        <f t="shared" ref="AE958" si="2458">IF(G958&gt;0,(CONCATENATE((G958)," quantity, ",(A958)," ",B958)),"")</f>
        <v/>
      </c>
      <c r="AF958" s="833"/>
      <c r="AG958" s="833"/>
      <c r="AH958" s="91">
        <f>IF(AD958="free",0,IF(AD958="me",0,IF(G958&gt;0,(VLOOKUP(A958,'Discount Lookup'!J:K,2)*G958),0)))</f>
        <v>0</v>
      </c>
      <c r="AI958" s="92" t="str">
        <f t="shared" si="2404"/>
        <v/>
      </c>
      <c r="AJ958" s="828" t="str">
        <f t="shared" si="2436"/>
        <v/>
      </c>
      <c r="AK958" s="828"/>
      <c r="AL958" s="313" t="str">
        <f t="shared" si="2338"/>
        <v/>
      </c>
      <c r="AM958" s="312"/>
      <c r="AN958" s="101"/>
      <c r="AO958" s="101"/>
      <c r="AP958" s="101"/>
      <c r="AQ958" s="101"/>
      <c r="AR958" s="101"/>
      <c r="AS958" s="101"/>
      <c r="AT958" s="101"/>
    </row>
    <row r="959" spans="1:46" ht="12.95" customHeight="1">
      <c r="A959" s="419">
        <v>3</v>
      </c>
      <c r="B959" s="87" t="s">
        <v>50</v>
      </c>
      <c r="C959" s="128" t="s">
        <v>135</v>
      </c>
      <c r="D959" s="129" t="s">
        <v>54</v>
      </c>
      <c r="E959" s="98">
        <v>39.950000000000003</v>
      </c>
      <c r="F959" s="705" t="s">
        <v>1306</v>
      </c>
      <c r="G959" s="357">
        <v>0</v>
      </c>
      <c r="H959" s="704" t="str">
        <f t="shared" ref="H959:H960" si="2459">IF(G959=0,"",IF(F959="Qty=",IF(G959=1,"plant","plants"),IF(F959&gt;0.0001,"warranty","Error")))</f>
        <v/>
      </c>
      <c r="I959" s="98">
        <f t="shared" ref="I959:I960" si="2460">IF(F959="Qty=",(E959*G959),((E959*(1-F959))*G959))</f>
        <v>0</v>
      </c>
      <c r="J959" s="98">
        <f>IF(H959="warranty",0,(I959*($J$1782)))</f>
        <v>0</v>
      </c>
      <c r="K959" s="831">
        <f t="shared" si="2454"/>
        <v>0</v>
      </c>
      <c r="L959" s="831"/>
      <c r="M959" s="832" t="str">
        <f>IF($H$1784=0,"",IF(G959=0,"",IF(F959="Qty=",CONCATENATE("$",ROUND(K959*(1-$H$1784),2)," with ",($H$1784*100),"% discount"),CONCATENATE("$",ROUND(K959*(1-$H$1784),2)," with ",(($H$1784*100+F959*100)-($H$1784*100*F959)),IF(F959&gt;0,"% discounts",IF($H$1781&gt;0,"% discounts","% discount"))))))</f>
        <v/>
      </c>
      <c r="N959" s="832"/>
      <c r="O959" s="832"/>
      <c r="P959" s="832"/>
      <c r="Q959" s="832"/>
      <c r="R959" s="832"/>
      <c r="S959" s="303">
        <f t="shared" ref="S959:S961" si="2461">E959*G959</f>
        <v>0</v>
      </c>
      <c r="T959" s="541">
        <f>VLOOKUP(A959,'Discount Lookup'!D:E,2,FALSE)*G959</f>
        <v>0</v>
      </c>
      <c r="U959" s="83">
        <f>VLOOKUP(A959,'Discount Lookup'!G:H,2,FALSE)*G959</f>
        <v>0</v>
      </c>
      <c r="V959" s="100">
        <f>E959*($J$1782)*G959</f>
        <v>0</v>
      </c>
      <c r="W959" s="100">
        <f t="shared" ref="W959:W961" si="2462">I959</f>
        <v>0</v>
      </c>
      <c r="X959" s="100" t="b">
        <f>IF(G959&gt;0,IF(AD959="me","",G959))</f>
        <v>0</v>
      </c>
      <c r="Y959" s="201"/>
      <c r="Z959" s="829" t="str">
        <f t="shared" ref="Z959:Z960" si="2463">IF(G959=0,"",IF(AD959="me","",IF($AD$8="me","",IF(AD959="free","warranty",IF($AD$8="yes","NVP planting:","to NVP install:")))))</f>
        <v/>
      </c>
      <c r="AA959" s="829"/>
      <c r="AB959" s="830" t="str">
        <f>IF(G959=0,"",IF(AD959="free","re-planting",IF(AD959="me","not NVP, by",IF($AD$8="yes",(VLOOKUP(A959,'Discount Lookup'!J:K,2)*G959*(1-$AC$1786)*(1+$AC$1788)),IF(AD959="NVP",(VLOOKUP(A959,'Discount Lookup'!J:K,2)*G959*(1-$AC$1786)*(1+$AC$1788)),IF(AD959="free","re-planting",IF(G959=0,"",IF($AD$8="",IF(AD959="me","not NVP, by",IF(AD959="",IF(G959&gt;0,(VLOOKUP(A959,'Discount Lookup'!J:K,2)*G959*(1-$AC$1786)*(1+$AC$1788)),""),"")),"not NVP, by"))))))))</f>
        <v/>
      </c>
      <c r="AC959" s="830"/>
      <c r="AD959" s="375" t="str">
        <f t="shared" si="2410"/>
        <v/>
      </c>
      <c r="AE959" s="833" t="str">
        <f t="shared" si="2364"/>
        <v/>
      </c>
      <c r="AF959" s="833"/>
      <c r="AG959" s="833"/>
      <c r="AH959" s="91">
        <f>IF(AD959="free",0,IF(AD959="me",0,IF(G959&gt;0,(VLOOKUP(A959,'Discount Lookup'!J:K,2)*G959),0)))</f>
        <v>0</v>
      </c>
      <c r="AI959" s="92" t="str">
        <f t="shared" si="2404"/>
        <v/>
      </c>
      <c r="AJ959" s="828" t="str">
        <f t="shared" ref="AJ959:AJ960" si="2464">IF(G959=0,"",IF(AD959="me","  delivery-only",IF($AD$8="me","  delivery-only",CONCATENATE(" $",ROUND(AI959/G959,2)," each"))))</f>
        <v/>
      </c>
      <c r="AK959" s="828"/>
      <c r="AL959" s="313" t="str">
        <f t="shared" si="2338"/>
        <v/>
      </c>
      <c r="AM959" s="312"/>
      <c r="AN959" s="101"/>
      <c r="AO959" s="101"/>
      <c r="AP959" s="101"/>
      <c r="AQ959" s="101"/>
      <c r="AR959" s="101"/>
      <c r="AS959" s="101"/>
      <c r="AT959" s="101"/>
    </row>
    <row r="960" spans="1:46" ht="12.95" customHeight="1">
      <c r="A960" s="419">
        <v>7</v>
      </c>
      <c r="B960" s="87" t="s">
        <v>50</v>
      </c>
      <c r="C960" s="128" t="s">
        <v>1218</v>
      </c>
      <c r="D960" s="129" t="s">
        <v>54</v>
      </c>
      <c r="E960" s="98">
        <v>91.95</v>
      </c>
      <c r="F960" s="705" t="s">
        <v>1306</v>
      </c>
      <c r="G960" s="357">
        <v>0</v>
      </c>
      <c r="H960" s="704" t="str">
        <f t="shared" si="2459"/>
        <v/>
      </c>
      <c r="I960" s="98">
        <f t="shared" si="2460"/>
        <v>0</v>
      </c>
      <c r="J960" s="98">
        <f>IF(H960="warranty",0,(I960*($J$1782)))</f>
        <v>0</v>
      </c>
      <c r="K960" s="831">
        <f t="shared" si="2454"/>
        <v>0</v>
      </c>
      <c r="L960" s="831"/>
      <c r="M960" s="832" t="str">
        <f>IF($H$1784=0,"",IF(G960=0,"",IF(F960="Qty=",CONCATENATE("$",ROUND(K960*(1-$H$1784),2)," with ",($H$1784*100),"% discount"),CONCATENATE("$",ROUND(K960*(1-$H$1784),2)," with ",(($H$1784*100+F960*100)-($H$1784*100*F960)),IF(F960&gt;0,"% discounts",IF($H$1781&gt;0,"% discounts","% discount"))))))</f>
        <v/>
      </c>
      <c r="N960" s="832"/>
      <c r="O960" s="832"/>
      <c r="P960" s="832"/>
      <c r="Q960" s="832"/>
      <c r="R960" s="832"/>
      <c r="S960" s="303">
        <f t="shared" si="2461"/>
        <v>0</v>
      </c>
      <c r="T960" s="541">
        <f>VLOOKUP(A960,'Discount Lookup'!D:E,2,FALSE)*G960</f>
        <v>0</v>
      </c>
      <c r="U960" s="83">
        <f>VLOOKUP(A960,'Discount Lookup'!G:H,2,FALSE)*G960</f>
        <v>0</v>
      </c>
      <c r="V960" s="100">
        <f>E960*($J$1782)*G960</f>
        <v>0</v>
      </c>
      <c r="W960" s="100">
        <f t="shared" si="2462"/>
        <v>0</v>
      </c>
      <c r="X960" s="100" t="b">
        <f>IF(G960&gt;0,IF(AD960="me","",G960))</f>
        <v>0</v>
      </c>
      <c r="Y960" s="201"/>
      <c r="Z960" s="829" t="str">
        <f t="shared" si="2463"/>
        <v/>
      </c>
      <c r="AA960" s="829"/>
      <c r="AB960" s="830" t="str">
        <f>IF(G960=0,"",IF(AD960="free","re-planting",IF(AD960="me","not NVP, by",IF($AD$8="yes",(VLOOKUP(A960,'Discount Lookup'!J:K,2)*G960*(1-$AC$1786)*(1+$AC$1788)),IF(AD960="NVP",(VLOOKUP(A960,'Discount Lookup'!J:K,2)*G960*(1-$AC$1786)*(1+$AC$1788)),IF(AD960="free","re-planting",IF(G960=0,"",IF($AD$8="",IF(AD960="me","not NVP, by",IF(AD960="",IF(G960&gt;0,(VLOOKUP(A960,'Discount Lookup'!J:K,2)*G960*(1-$AC$1786)*(1+$AC$1788)),""),"")),"not NVP, by"))))))))</f>
        <v/>
      </c>
      <c r="AC960" s="830"/>
      <c r="AD960" s="375" t="str">
        <f t="shared" si="2410"/>
        <v/>
      </c>
      <c r="AE960" s="833" t="str">
        <f t="shared" si="2364"/>
        <v/>
      </c>
      <c r="AF960" s="833"/>
      <c r="AG960" s="833"/>
      <c r="AH960" s="91">
        <f>IF(AD960="free",0,IF(AD960="me",0,IF(G960&gt;0,(VLOOKUP(A960,'Discount Lookup'!J:K,2)*G960),0)))</f>
        <v>0</v>
      </c>
      <c r="AI960" s="92" t="str">
        <f t="shared" si="2404"/>
        <v/>
      </c>
      <c r="AJ960" s="828" t="str">
        <f t="shared" si="2464"/>
        <v/>
      </c>
      <c r="AK960" s="828"/>
      <c r="AL960" s="313" t="str">
        <f t="shared" si="2338"/>
        <v/>
      </c>
      <c r="AM960" s="312"/>
      <c r="AN960" s="101"/>
      <c r="AO960" s="101"/>
      <c r="AP960" s="101"/>
      <c r="AQ960" s="101"/>
      <c r="AR960" s="101"/>
      <c r="AS960" s="101"/>
      <c r="AT960" s="101"/>
    </row>
    <row r="961" spans="1:46" ht="12.95" customHeight="1">
      <c r="A961" s="419">
        <v>7</v>
      </c>
      <c r="B961" s="87" t="s">
        <v>50</v>
      </c>
      <c r="C961" s="128" t="s">
        <v>1523</v>
      </c>
      <c r="D961" s="129" t="s">
        <v>90</v>
      </c>
      <c r="E961" s="98">
        <v>100.95</v>
      </c>
      <c r="F961" s="705" t="s">
        <v>1306</v>
      </c>
      <c r="G961" s="357">
        <v>0</v>
      </c>
      <c r="H961" s="704" t="str">
        <f t="shared" ref="H961" si="2465">IF(G961=0,"",IF(F961="Qty=",IF(G961=1,"plant","plants"),IF(F961&gt;0.0001,"warranty","Error")))</f>
        <v/>
      </c>
      <c r="I961" s="98">
        <f t="shared" ref="I961" si="2466">IF(F961="Qty=",(E961*G961),((E961*(1-F961))*G961))</f>
        <v>0</v>
      </c>
      <c r="J961" s="98">
        <f>IF(H961="warranty",0,(I961*($J$1782)))</f>
        <v>0</v>
      </c>
      <c r="K961" s="831">
        <f t="shared" si="2454"/>
        <v>0</v>
      </c>
      <c r="L961" s="831"/>
      <c r="M961" s="832" t="str">
        <f>IF($H$1784=0,"",IF(G961=0,"",IF(F961="Qty=",CONCATENATE("$",ROUND(K961*(1-$H$1784),2)," with ",($H$1784*100),"% discount"),CONCATENATE("$",ROUND(K961*(1-$H$1784),2)," with ",(($H$1784*100+F961*100)-($H$1784*100*F961)),IF(F961&gt;0,"% discounts",IF($H$1781&gt;0,"% discounts","% discount"))))))</f>
        <v/>
      </c>
      <c r="N961" s="832"/>
      <c r="O961" s="832"/>
      <c r="P961" s="832"/>
      <c r="Q961" s="832"/>
      <c r="R961" s="832"/>
      <c r="S961" s="303">
        <f t="shared" si="2461"/>
        <v>0</v>
      </c>
      <c r="T961" s="541">
        <f>VLOOKUP(A961,'Discount Lookup'!D:E,2,FALSE)*G961</f>
        <v>0</v>
      </c>
      <c r="U961" s="83">
        <f>VLOOKUP(A961,'Discount Lookup'!G:H,2,FALSE)*G961</f>
        <v>0</v>
      </c>
      <c r="V961" s="100">
        <f>E961*($J$1782)*G961</f>
        <v>0</v>
      </c>
      <c r="W961" s="100">
        <f t="shared" si="2462"/>
        <v>0</v>
      </c>
      <c r="X961" s="100" t="b">
        <f>IF(G961&gt;0,IF(AD961="me","",G961))</f>
        <v>0</v>
      </c>
      <c r="Y961" s="201"/>
      <c r="Z961" s="829" t="str">
        <f t="shared" ref="Z961" si="2467">IF(G961=0,"",IF(AD961="me","",IF($AD$8="me","",IF(AD961="free","warranty",IF($AD$8="yes","NVP planting:","to NVP install:")))))</f>
        <v/>
      </c>
      <c r="AA961" s="829"/>
      <c r="AB961" s="830" t="str">
        <f>IF(G961=0,"",IF(AD961="free","re-planting",IF(AD961="me","not NVP, by",IF($AD$8="yes",(VLOOKUP(A961,'Discount Lookup'!J:K,2)*G961*(1-$AC$1786)*(1+$AC$1788)),IF(AD961="NVP",(VLOOKUP(A961,'Discount Lookup'!J:K,2)*G961*(1-$AC$1786)*(1+$AC$1788)),IF(AD961="free","re-planting",IF(G961=0,"",IF($AD$8="",IF(AD961="me","not NVP, by",IF(AD961="",IF(G961&gt;0,(VLOOKUP(A961,'Discount Lookup'!J:K,2)*G961*(1-$AC$1786)*(1+$AC$1788)),""),"")),"not NVP, by"))))))))</f>
        <v/>
      </c>
      <c r="AC961" s="830"/>
      <c r="AD961" s="375" t="str">
        <f t="shared" si="2410"/>
        <v/>
      </c>
      <c r="AE961" s="833" t="str">
        <f t="shared" si="2364"/>
        <v/>
      </c>
      <c r="AF961" s="833"/>
      <c r="AG961" s="833"/>
      <c r="AH961" s="91">
        <f>IF(AD961="free",0,IF(AD961="me",0,IF(G961&gt;0,(VLOOKUP(A961,'Discount Lookup'!J:K,2)*G961),0)))</f>
        <v>0</v>
      </c>
      <c r="AI961" s="92" t="str">
        <f t="shared" si="2404"/>
        <v/>
      </c>
      <c r="AJ961" s="828" t="str">
        <f t="shared" ref="AJ961" si="2468">IF(G961=0,"",IF(AD961="me","  delivery-only",IF($AD$8="me","  delivery-only",CONCATENATE(" $",ROUND(AI961/G961,2)," each"))))</f>
        <v/>
      </c>
      <c r="AK961" s="828"/>
      <c r="AL961" s="313" t="str">
        <f t="shared" si="2338"/>
        <v/>
      </c>
      <c r="AM961" s="312"/>
      <c r="AN961" s="101"/>
      <c r="AO961" s="101"/>
      <c r="AP961" s="101"/>
      <c r="AQ961" s="101"/>
      <c r="AR961" s="101"/>
      <c r="AS961" s="101"/>
      <c r="AT961" s="101"/>
    </row>
    <row r="962" spans="1:46" ht="12.95" customHeight="1">
      <c r="A962" s="419">
        <v>15</v>
      </c>
      <c r="B962" s="87" t="s">
        <v>50</v>
      </c>
      <c r="C962" s="128" t="s">
        <v>102</v>
      </c>
      <c r="D962" s="129" t="s">
        <v>54</v>
      </c>
      <c r="E962" s="98">
        <v>148.94999999999999</v>
      </c>
      <c r="F962" s="705" t="s">
        <v>1306</v>
      </c>
      <c r="G962" s="357">
        <v>0</v>
      </c>
      <c r="H962" s="704" t="str">
        <f t="shared" ref="H962" si="2469">IF(G962=0,"",IF(F962="Qty=",IF(G962=1,"plant","plants"),IF(F962&gt;0.0001,"warranty","Error")))</f>
        <v/>
      </c>
      <c r="I962" s="98">
        <f t="shared" ref="I962" si="2470">IF(F962="Qty=",(E962*G962),((E962*(1-F962))*G962))</f>
        <v>0</v>
      </c>
      <c r="J962" s="98">
        <f>IF(H962="warranty",0,(I962*($J$1782)))</f>
        <v>0</v>
      </c>
      <c r="K962" s="831">
        <f t="shared" si="2454"/>
        <v>0</v>
      </c>
      <c r="L962" s="831"/>
      <c r="M962" s="832" t="str">
        <f>IF($H$1784=0,"",IF(G962=0,"",IF(F962="Qty=",CONCATENATE("$",ROUND(K962*(1-$H$1784),2)," with ",($H$1784*100),"% discount"),CONCATENATE("$",ROUND(K962*(1-$H$1784),2)," with ",(($H$1784*100+F962*100)-($H$1784*100*F962)),IF(F962&gt;0,"% discounts",IF($H$1781&gt;0,"% discounts","% discount"))))))</f>
        <v/>
      </c>
      <c r="N962" s="832"/>
      <c r="O962" s="832"/>
      <c r="P962" s="832"/>
      <c r="Q962" s="832"/>
      <c r="R962" s="832"/>
      <c r="S962" s="303">
        <f t="shared" ref="S962" si="2471">E962*G962</f>
        <v>0</v>
      </c>
      <c r="T962" s="541">
        <f>VLOOKUP(A962,'Discount Lookup'!D:E,2,FALSE)*G962</f>
        <v>0</v>
      </c>
      <c r="U962" s="83">
        <f>VLOOKUP(A962,'Discount Lookup'!G:H,2,FALSE)*G962</f>
        <v>0</v>
      </c>
      <c r="V962" s="100">
        <f>E962*($J$1782)*G962</f>
        <v>0</v>
      </c>
      <c r="W962" s="100">
        <f t="shared" ref="W962" si="2472">I962</f>
        <v>0</v>
      </c>
      <c r="X962" s="100" t="b">
        <f>IF(G962&gt;0,IF(AD962="me","",G962))</f>
        <v>0</v>
      </c>
      <c r="Y962" s="201"/>
      <c r="Z962" s="829" t="str">
        <f t="shared" si="2434"/>
        <v/>
      </c>
      <c r="AA962" s="829"/>
      <c r="AB962" s="830" t="str">
        <f>IF(G962=0,"",IF(AD962="free","re-planting",IF(AD962="me","not NVP, by",IF($AD$8="yes",(VLOOKUP(A962,'Discount Lookup'!J:K,2)*G962*(1-$AC$1786)*(1+$AC$1788)),IF(AD962="NVP",(VLOOKUP(A962,'Discount Lookup'!J:K,2)*G962*(1-$AC$1786)*(1+$AC$1788)),IF(AD962="free","re-planting",IF(G962=0,"",IF($AD$8="",IF(AD962="me","not NVP, by",IF(AD962="",IF(G962&gt;0,(VLOOKUP(A962,'Discount Lookup'!J:K,2)*G962*(1-$AC$1786)*(1+$AC$1788)),""),"")),"not NVP, by"))))))))</f>
        <v/>
      </c>
      <c r="AC962" s="830"/>
      <c r="AD962" s="375" t="str">
        <f t="shared" si="2410"/>
        <v/>
      </c>
      <c r="AE962" s="833" t="str">
        <f t="shared" ref="AE962" si="2473">IF(G962&gt;0,(CONCATENATE((G962)," quantity, ",(A962)," ",B962)),"")</f>
        <v/>
      </c>
      <c r="AF962" s="833"/>
      <c r="AG962" s="833"/>
      <c r="AH962" s="91">
        <f>IF(AD962="free",0,IF(AD962="me",0,IF(G962&gt;0,(VLOOKUP(A962,'Discount Lookup'!J:K,2)*G962),0)))</f>
        <v>0</v>
      </c>
      <c r="AI962" s="92" t="str">
        <f t="shared" si="2404"/>
        <v/>
      </c>
      <c r="AJ962" s="828" t="str">
        <f t="shared" si="2436"/>
        <v/>
      </c>
      <c r="AK962" s="828"/>
      <c r="AL962" s="313" t="str">
        <f t="shared" si="2338"/>
        <v/>
      </c>
      <c r="AM962" s="312"/>
      <c r="AN962" s="101"/>
      <c r="AO962" s="101"/>
      <c r="AP962" s="101"/>
      <c r="AQ962" s="101"/>
      <c r="AR962" s="101"/>
      <c r="AS962" s="101"/>
      <c r="AT962" s="101"/>
    </row>
    <row r="963" spans="1:46" ht="12.95" customHeight="1">
      <c r="A963" s="468"/>
      <c r="B963" s="149" t="s">
        <v>561</v>
      </c>
      <c r="C963" s="118"/>
      <c r="D963" s="118"/>
      <c r="E963" s="119"/>
      <c r="F963" s="711"/>
      <c r="G963" s="358"/>
      <c r="H963" s="745"/>
      <c r="I963" s="119"/>
      <c r="J963" s="119"/>
      <c r="K963" s="609"/>
      <c r="L963" s="609"/>
      <c r="M963" s="121"/>
      <c r="N963" s="145"/>
      <c r="O963" s="123"/>
      <c r="P963" s="124"/>
      <c r="Q963" s="124"/>
      <c r="R963" s="83"/>
      <c r="S963" s="82">
        <f>E963*G963</f>
        <v>0</v>
      </c>
      <c r="T963" s="540"/>
      <c r="U963" s="83"/>
      <c r="V963" s="100" t="b">
        <f>IF(G963&gt;0,IF(AD963="me","",G963))</f>
        <v>0</v>
      </c>
      <c r="W963" s="100"/>
      <c r="X963" s="100"/>
      <c r="Y963" s="201"/>
      <c r="Z963" s="829" t="str">
        <f t="shared" si="2434"/>
        <v/>
      </c>
      <c r="AA963" s="829"/>
      <c r="AB963" s="830" t="str">
        <f>IF(G963=0,"",IF(AD963="free","re-planting",IF(AD963="me","not NVP, by",IF($AD$8="yes",(VLOOKUP(A963,'Discount Lookup'!J:K,2)*G963*(1-$AC$1786)*(1+$AC$1788)),IF(AD963="NVP",(VLOOKUP(A963,'Discount Lookup'!J:K,2)*G963*(1-$AC$1786)*(1+$AC$1788)),IF(AD963="free","re-planting",IF(G963=0,"",IF($AD$8="",IF(AD963="me","not NVP, by",IF(AD963="",IF(G963&gt;0,(VLOOKUP(A963,'Discount Lookup'!J:K,2)*G963*(1-$AC$1786)*(1+$AC$1788)),""),"")),"not NVP, by"))))))))</f>
        <v/>
      </c>
      <c r="AC963" s="830"/>
      <c r="AD963" s="375" t="str">
        <f t="shared" si="2410"/>
        <v/>
      </c>
      <c r="AE963" s="833" t="str">
        <f t="shared" si="2364"/>
        <v/>
      </c>
      <c r="AF963" s="833"/>
      <c r="AG963" s="833"/>
      <c r="AH963" s="91">
        <f>IF(AD963="free",0,IF(AD963="me",0,IF(G963&gt;0,(VLOOKUP(A963,'Discount Lookup'!J:K,2)*G963),0)))</f>
        <v>0</v>
      </c>
      <c r="AI963" s="92" t="str">
        <f t="shared" si="2404"/>
        <v/>
      </c>
      <c r="AJ963" s="828" t="str">
        <f t="shared" si="2436"/>
        <v/>
      </c>
      <c r="AK963" s="828"/>
      <c r="AL963" s="313" t="str">
        <f t="shared" si="2338"/>
        <v/>
      </c>
      <c r="AM963" s="312"/>
      <c r="AN963" s="101"/>
      <c r="AO963" s="101"/>
      <c r="AP963" s="101"/>
      <c r="AQ963" s="101"/>
      <c r="AR963" s="101"/>
      <c r="AS963" s="101"/>
      <c r="AT963" s="101"/>
    </row>
    <row r="964" spans="1:46" ht="12.95" customHeight="1">
      <c r="A964" s="896" t="s">
        <v>564</v>
      </c>
      <c r="B964" s="897"/>
      <c r="C964" s="897"/>
      <c r="D964" s="897"/>
      <c r="E964" s="897"/>
      <c r="F964" s="897"/>
      <c r="G964" s="897"/>
      <c r="H964" s="776" t="s">
        <v>560</v>
      </c>
      <c r="I964" s="88" t="s">
        <v>79</v>
      </c>
      <c r="J964" s="86"/>
      <c r="K964" s="603" t="s">
        <v>45</v>
      </c>
      <c r="L964" s="601" t="s">
        <v>46</v>
      </c>
      <c r="M964" s="86"/>
      <c r="N964" s="87" t="s">
        <v>157</v>
      </c>
      <c r="O964" s="87"/>
      <c r="P964" s="88"/>
      <c r="Q964" s="88"/>
      <c r="R964" s="835" t="s">
        <v>49</v>
      </c>
      <c r="S964" s="835"/>
      <c r="T964" s="835"/>
      <c r="U964" s="835"/>
      <c r="V964" s="100" t="b">
        <f>IF(G964&gt;0,IF(AD964="me","",G964))</f>
        <v>0</v>
      </c>
      <c r="W964" s="100"/>
      <c r="X964" s="100"/>
      <c r="Y964" s="201"/>
      <c r="Z964" s="829" t="str">
        <f t="shared" si="2434"/>
        <v/>
      </c>
      <c r="AA964" s="829"/>
      <c r="AB964" s="830" t="str">
        <f>IF(G964=0,"",IF(AD964="free","re-planting",IF(AD964="me","not NVP, by",IF($AD$8="yes",(VLOOKUP(A964,'Discount Lookup'!J:K,2)*G964*(1-$AC$1786)*(1+$AC$1788)),IF(AD964="NVP",(VLOOKUP(A964,'Discount Lookup'!J:K,2)*G964*(1-$AC$1786)*(1+$AC$1788)),IF(AD964="free","re-planting",IF(G964=0,"",IF($AD$8="",IF(AD964="me","not NVP, by",IF(AD964="",IF(G964&gt;0,(VLOOKUP(A964,'Discount Lookup'!J:K,2)*G964*(1-$AC$1786)*(1+$AC$1788)),""),"")),"not NVP, by"))))))))</f>
        <v/>
      </c>
      <c r="AC964" s="830"/>
      <c r="AD964" s="375" t="str">
        <f t="shared" si="2410"/>
        <v/>
      </c>
      <c r="AE964" s="833" t="str">
        <f t="shared" si="2364"/>
        <v/>
      </c>
      <c r="AF964" s="833"/>
      <c r="AG964" s="833"/>
      <c r="AH964" s="91">
        <f>IF(AD964="free",0,IF(AD964="me",0,IF(G964&gt;0,(VLOOKUP(A964,'Discount Lookup'!J:K,2)*G964),0)))</f>
        <v>0</v>
      </c>
      <c r="AI964" s="92" t="str">
        <f t="shared" si="2404"/>
        <v/>
      </c>
      <c r="AJ964" s="828" t="str">
        <f t="shared" si="2436"/>
        <v/>
      </c>
      <c r="AK964" s="828"/>
      <c r="AL964" s="313" t="str">
        <f t="shared" si="2338"/>
        <v/>
      </c>
      <c r="AM964" s="312"/>
      <c r="AN964" s="101"/>
      <c r="AO964" s="101"/>
      <c r="AP964" s="101"/>
      <c r="AQ964" s="101"/>
      <c r="AR964" s="101"/>
      <c r="AS964" s="101"/>
      <c r="AT964" s="101"/>
    </row>
    <row r="965" spans="1:46" ht="12.95" customHeight="1">
      <c r="A965" s="419">
        <v>3</v>
      </c>
      <c r="B965" s="87" t="s">
        <v>50</v>
      </c>
      <c r="C965" s="128" t="s">
        <v>552</v>
      </c>
      <c r="D965" s="129" t="s">
        <v>86</v>
      </c>
      <c r="E965" s="98">
        <v>25.95</v>
      </c>
      <c r="F965" s="705" t="s">
        <v>1306</v>
      </c>
      <c r="G965" s="357">
        <v>0</v>
      </c>
      <c r="H965" s="704" t="str">
        <f t="shared" ref="H965:H967" si="2474">IF(G965=0,"",IF(F965="Qty=",IF(G965=1,"plant","plants"),IF(F965&gt;0.0001,"warranty","Error")))</f>
        <v/>
      </c>
      <c r="I965" s="98">
        <f t="shared" ref="I965:I967" si="2475">IF(F965="Qty=",(E965*G965),((E965*(1-F965))*G965))</f>
        <v>0</v>
      </c>
      <c r="J965" s="98">
        <f>IF(H965="warranty",0,(I965*($J$1782)))</f>
        <v>0</v>
      </c>
      <c r="K965" s="831">
        <f t="shared" ref="K965:K967" si="2476">I965+J965</f>
        <v>0</v>
      </c>
      <c r="L965" s="831"/>
      <c r="M965" s="832" t="str">
        <f>IF($H$1784=0,"",IF(G965=0,"",IF(F965="Qty=",CONCATENATE("$",ROUND(K965*(1-$H$1784),2)," with ",($H$1784*100),"% discount"),CONCATENATE("$",ROUND(K965*(1-$H$1784),2)," with ",(($H$1784*100+F965*100)-($H$1784*100*F965)),IF(F965&gt;0,"% discounts",IF($H$1781&gt;0,"% discounts","% discount"))))))</f>
        <v/>
      </c>
      <c r="N965" s="832"/>
      <c r="O965" s="832"/>
      <c r="P965" s="832"/>
      <c r="Q965" s="832"/>
      <c r="R965" s="832"/>
      <c r="S965" s="303">
        <f t="shared" ref="S965:S967" si="2477">E965*G965</f>
        <v>0</v>
      </c>
      <c r="T965" s="541">
        <f>VLOOKUP(A965,'Discount Lookup'!D:E,2,FALSE)*G965</f>
        <v>0</v>
      </c>
      <c r="U965" s="83">
        <f>VLOOKUP(A965,'Discount Lookup'!G:H,2,FALSE)*G965</f>
        <v>0</v>
      </c>
      <c r="V965" s="100">
        <f>E965*($J$1782)*G965</f>
        <v>0</v>
      </c>
      <c r="W965" s="100">
        <f t="shared" ref="W965:W967" si="2478">I965</f>
        <v>0</v>
      </c>
      <c r="X965" s="100" t="b">
        <f>IF(G965&gt;0,IF(AD965="me","",G965))</f>
        <v>0</v>
      </c>
      <c r="Y965" s="201"/>
      <c r="Z965" s="829" t="str">
        <f t="shared" si="2434"/>
        <v/>
      </c>
      <c r="AA965" s="829"/>
      <c r="AB965" s="830" t="str">
        <f>IF(G965=0,"",IF(AD965="free","re-planting",IF(AD965="me","not NVP, by",IF($AD$8="yes",(VLOOKUP(A965,'Discount Lookup'!J:K,2)*G965*(1-$AC$1786)*(1+$AC$1788)),IF(AD965="NVP",(VLOOKUP(A965,'Discount Lookup'!J:K,2)*G965*(1-$AC$1786)*(1+$AC$1788)),IF(AD965="free","re-planting",IF(G965=0,"",IF($AD$8="",IF(AD965="me","not NVP, by",IF(AD965="",IF(G965&gt;0,(VLOOKUP(A965,'Discount Lookup'!J:K,2)*G965*(1-$AC$1786)*(1+$AC$1788)),""),"")),"not NVP, by"))))))))</f>
        <v/>
      </c>
      <c r="AC965" s="830"/>
      <c r="AD965" s="375" t="str">
        <f t="shared" si="2410"/>
        <v/>
      </c>
      <c r="AE965" s="833" t="str">
        <f t="shared" si="2364"/>
        <v/>
      </c>
      <c r="AF965" s="833"/>
      <c r="AG965" s="833"/>
      <c r="AH965" s="91">
        <f>IF(AD965="free",0,IF(AD965="me",0,IF(G965&gt;0,(VLOOKUP(A965,'Discount Lookup'!J:K,2)*G965),0)))</f>
        <v>0</v>
      </c>
      <c r="AI965" s="92" t="str">
        <f t="shared" si="2404"/>
        <v/>
      </c>
      <c r="AJ965" s="828" t="str">
        <f t="shared" si="2436"/>
        <v/>
      </c>
      <c r="AK965" s="828"/>
      <c r="AL965" s="313" t="str">
        <f t="shared" si="2338"/>
        <v/>
      </c>
      <c r="AM965" s="312"/>
      <c r="AN965" s="101"/>
      <c r="AO965" s="101"/>
      <c r="AP965" s="101"/>
      <c r="AQ965" s="101"/>
      <c r="AR965" s="101"/>
      <c r="AS965" s="101"/>
      <c r="AT965" s="101"/>
    </row>
    <row r="966" spans="1:46" ht="12.95" customHeight="1">
      <c r="A966" s="419">
        <v>3</v>
      </c>
      <c r="B966" s="87" t="s">
        <v>50</v>
      </c>
      <c r="C966" s="128" t="s">
        <v>1494</v>
      </c>
      <c r="D966" s="129" t="s">
        <v>62</v>
      </c>
      <c r="E966" s="98">
        <v>23.95</v>
      </c>
      <c r="F966" s="705" t="s">
        <v>1306</v>
      </c>
      <c r="G966" s="357">
        <v>0</v>
      </c>
      <c r="H966" s="704" t="str">
        <f t="shared" si="2474"/>
        <v/>
      </c>
      <c r="I966" s="98">
        <f t="shared" si="2475"/>
        <v>0</v>
      </c>
      <c r="J966" s="98">
        <f>IF(H966="warranty",0,(I966*($J$1782)))</f>
        <v>0</v>
      </c>
      <c r="K966" s="831">
        <f t="shared" si="2476"/>
        <v>0</v>
      </c>
      <c r="L966" s="831"/>
      <c r="M966" s="832" t="str">
        <f>IF($H$1784=0,"",IF(G966=0,"",IF(F966="Qty=",CONCATENATE("$",ROUND(K966*(1-$H$1784),2)," with ",($H$1784*100),"% discount"),CONCATENATE("$",ROUND(K966*(1-$H$1784),2)," with ",(($H$1784*100+F966*100)-($H$1784*100*F966)),IF(F966&gt;0,"% discounts",IF($H$1781&gt;0,"% discounts","% discount"))))))</f>
        <v/>
      </c>
      <c r="N966" s="832"/>
      <c r="O966" s="832"/>
      <c r="P966" s="832"/>
      <c r="Q966" s="832"/>
      <c r="R966" s="832"/>
      <c r="S966" s="303">
        <f t="shared" si="2477"/>
        <v>0</v>
      </c>
      <c r="T966" s="541">
        <f>VLOOKUP(A966,'Discount Lookup'!D:E,2,FALSE)*G966</f>
        <v>0</v>
      </c>
      <c r="U966" s="83">
        <f>VLOOKUP(A966,'Discount Lookup'!G:H,2,FALSE)*G966</f>
        <v>0</v>
      </c>
      <c r="V966" s="100">
        <f>E966*($J$1782)*G966</f>
        <v>0</v>
      </c>
      <c r="W966" s="100">
        <f t="shared" si="2478"/>
        <v>0</v>
      </c>
      <c r="X966" s="100" t="b">
        <f>IF(G966&gt;0,IF(AD966="me","",G966))</f>
        <v>0</v>
      </c>
      <c r="Y966" s="201"/>
      <c r="Z966" s="829" t="str">
        <f t="shared" si="2434"/>
        <v/>
      </c>
      <c r="AA966" s="829"/>
      <c r="AB966" s="830" t="str">
        <f>IF(G966=0,"",IF(AD966="free","re-planting",IF(AD966="me","not NVP, by",IF($AD$8="yes",(VLOOKUP(A966,'Discount Lookup'!J:K,2)*G966*(1-$AC$1786)*(1+$AC$1788)),IF(AD966="NVP",(VLOOKUP(A966,'Discount Lookup'!J:K,2)*G966*(1-$AC$1786)*(1+$AC$1788)),IF(AD966="free","re-planting",IF(G966=0,"",IF($AD$8="",IF(AD966="me","not NVP, by",IF(AD966="",IF(G966&gt;0,(VLOOKUP(A966,'Discount Lookup'!J:K,2)*G966*(1-$AC$1786)*(1+$AC$1788)),""),"")),"not NVP, by"))))))))</f>
        <v/>
      </c>
      <c r="AC966" s="830"/>
      <c r="AD966" s="375" t="str">
        <f t="shared" si="2410"/>
        <v/>
      </c>
      <c r="AE966" s="833" t="str">
        <f t="shared" ref="AE966:AE1038" si="2479">IF(G966&gt;0,(CONCATENATE((G966)," quantity, ",(A966)," ",B966)),"")</f>
        <v/>
      </c>
      <c r="AF966" s="833"/>
      <c r="AG966" s="833"/>
      <c r="AH966" s="91">
        <f>IF(AD966="free",0,IF(AD966="me",0,IF(G966&gt;0,(VLOOKUP(A966,'Discount Lookup'!J:K,2)*G966),0)))</f>
        <v>0</v>
      </c>
      <c r="AI966" s="92" t="str">
        <f t="shared" si="2404"/>
        <v/>
      </c>
      <c r="AJ966" s="828" t="str">
        <f t="shared" si="2436"/>
        <v/>
      </c>
      <c r="AK966" s="828"/>
      <c r="AL966" s="313" t="str">
        <f t="shared" si="2338"/>
        <v/>
      </c>
      <c r="AM966" s="312"/>
      <c r="AN966" s="101"/>
      <c r="AO966" s="101"/>
      <c r="AP966" s="101"/>
      <c r="AQ966" s="101"/>
      <c r="AR966" s="101"/>
      <c r="AS966" s="101"/>
      <c r="AT966" s="101"/>
    </row>
    <row r="967" spans="1:46" ht="12.95" customHeight="1">
      <c r="A967" s="419">
        <v>5</v>
      </c>
      <c r="B967" s="87" t="s">
        <v>50</v>
      </c>
      <c r="C967" s="128" t="s">
        <v>1174</v>
      </c>
      <c r="D967" s="129" t="s">
        <v>62</v>
      </c>
      <c r="E967" s="98">
        <v>40.950000000000003</v>
      </c>
      <c r="F967" s="705" t="s">
        <v>1306</v>
      </c>
      <c r="G967" s="357">
        <v>0</v>
      </c>
      <c r="H967" s="704" t="str">
        <f t="shared" si="2474"/>
        <v/>
      </c>
      <c r="I967" s="98">
        <f t="shared" si="2475"/>
        <v>0</v>
      </c>
      <c r="J967" s="98">
        <f>IF(H967="warranty",0,(I967*($J$1782)))</f>
        <v>0</v>
      </c>
      <c r="K967" s="831">
        <f t="shared" si="2476"/>
        <v>0</v>
      </c>
      <c r="L967" s="831"/>
      <c r="M967" s="832" t="str">
        <f>IF($H$1784=0,"",IF(G967=0,"",IF(F967="Qty=",CONCATENATE("$",ROUND(K967*(1-$H$1784),2)," with ",($H$1784*100),"% discount"),CONCATENATE("$",ROUND(K967*(1-$H$1784),2)," with ",(($H$1784*100+F967*100)-($H$1784*100*F967)),IF(F967&gt;0,"% discounts",IF($H$1781&gt;0,"% discounts","% discount"))))))</f>
        <v/>
      </c>
      <c r="N967" s="832"/>
      <c r="O967" s="832"/>
      <c r="P967" s="832"/>
      <c r="Q967" s="832"/>
      <c r="R967" s="832"/>
      <c r="S967" s="303">
        <f t="shared" si="2477"/>
        <v>0</v>
      </c>
      <c r="T967" s="541">
        <f>VLOOKUP(A967,'Discount Lookup'!D:E,2,FALSE)*G967</f>
        <v>0</v>
      </c>
      <c r="U967" s="83">
        <f>VLOOKUP(A967,'Discount Lookup'!G:H,2,FALSE)*G967</f>
        <v>0</v>
      </c>
      <c r="V967" s="100">
        <f>E967*($J$1782)*G967</f>
        <v>0</v>
      </c>
      <c r="W967" s="100">
        <f t="shared" si="2478"/>
        <v>0</v>
      </c>
      <c r="X967" s="100" t="b">
        <f>IF(G967&gt;0,IF(AD967="me","",G967))</f>
        <v>0</v>
      </c>
      <c r="Y967" s="201"/>
      <c r="Z967" s="829" t="str">
        <f t="shared" si="2434"/>
        <v/>
      </c>
      <c r="AA967" s="829"/>
      <c r="AB967" s="830" t="str">
        <f>IF(G967=0,"",IF(AD967="free","re-planting",IF(AD967="me","not NVP, by",IF($AD$8="yes",(VLOOKUP(A967,'Discount Lookup'!J:K,2)*G967*(1-$AC$1786)*(1+$AC$1788)),IF(AD967="NVP",(VLOOKUP(A967,'Discount Lookup'!J:K,2)*G967*(1-$AC$1786)*(1+$AC$1788)),IF(AD967="free","re-planting",IF(G967=0,"",IF($AD$8="",IF(AD967="me","not NVP, by",IF(AD967="",IF(G967&gt;0,(VLOOKUP(A967,'Discount Lookup'!J:K,2)*G967*(1-$AC$1786)*(1+$AC$1788)),""),"")),"not NVP, by"))))))))</f>
        <v/>
      </c>
      <c r="AC967" s="830"/>
      <c r="AD967" s="375" t="str">
        <f t="shared" si="2410"/>
        <v/>
      </c>
      <c r="AE967" s="833" t="str">
        <f t="shared" si="2479"/>
        <v/>
      </c>
      <c r="AF967" s="833"/>
      <c r="AG967" s="833"/>
      <c r="AH967" s="91">
        <f>IF(AD967="free",0,IF(AD967="me",0,IF(G967&gt;0,(VLOOKUP(A967,'Discount Lookup'!J:K,2)*G967),0)))</f>
        <v>0</v>
      </c>
      <c r="AI967" s="92" t="str">
        <f t="shared" si="2404"/>
        <v/>
      </c>
      <c r="AJ967" s="828" t="str">
        <f t="shared" si="2436"/>
        <v/>
      </c>
      <c r="AK967" s="828"/>
      <c r="AL967" s="313" t="str">
        <f t="shared" si="2338"/>
        <v/>
      </c>
      <c r="AM967" s="312"/>
      <c r="AN967" s="101"/>
      <c r="AO967" s="101"/>
      <c r="AP967" s="101"/>
      <c r="AQ967" s="101"/>
      <c r="AR967" s="101"/>
      <c r="AS967" s="101"/>
      <c r="AT967" s="101"/>
    </row>
    <row r="968" spans="1:46" ht="12.95" customHeight="1">
      <c r="A968" s="469"/>
      <c r="B968" s="149" t="s">
        <v>565</v>
      </c>
      <c r="G968" s="361"/>
      <c r="H968" s="746"/>
      <c r="M968" s="48"/>
      <c r="N968" s="48"/>
      <c r="O968" s="48"/>
      <c r="P968" s="111"/>
      <c r="Q968" s="111"/>
      <c r="R968" s="48"/>
      <c r="S968" s="82">
        <f>E968*G968</f>
        <v>0</v>
      </c>
      <c r="T968" s="540"/>
      <c r="U968" s="83"/>
      <c r="V968" s="100" t="b">
        <f>IF(G968&gt;0,IF(AD968="me","",G968))</f>
        <v>0</v>
      </c>
      <c r="W968" s="100"/>
      <c r="X968" s="100"/>
      <c r="Y968" s="201"/>
      <c r="Z968" s="829" t="str">
        <f t="shared" si="2434"/>
        <v/>
      </c>
      <c r="AA968" s="829"/>
      <c r="AB968" s="830" t="str">
        <f>IF(G968=0,"",IF(AD968="free","re-planting",IF(AD968="me","not NVP, by",IF($AD$8="yes",(VLOOKUP(A968,'Discount Lookup'!J:K,2)*G968*(1-$AC$1786)*(1+$AC$1788)),IF(AD968="NVP",(VLOOKUP(A968,'Discount Lookup'!J:K,2)*G968*(1-$AC$1786)*(1+$AC$1788)),IF(AD968="free","re-planting",IF(G968=0,"",IF($AD$8="",IF(AD968="me","not NVP, by",IF(AD968="",IF(G968&gt;0,(VLOOKUP(A968,'Discount Lookup'!J:K,2)*G968*(1-$AC$1786)*(1+$AC$1788)),""),"")),"not NVP, by"))))))))</f>
        <v/>
      </c>
      <c r="AC968" s="830"/>
      <c r="AD968" s="375" t="str">
        <f t="shared" si="2410"/>
        <v/>
      </c>
      <c r="AE968" s="833" t="str">
        <f t="shared" si="2479"/>
        <v/>
      </c>
      <c r="AF968" s="833"/>
      <c r="AG968" s="833"/>
      <c r="AH968" s="91">
        <f>IF(AD968="free",0,IF(AD968="me",0,IF(G968&gt;0,(VLOOKUP(A968,'Discount Lookup'!J:K,2)*G968),0)))</f>
        <v>0</v>
      </c>
      <c r="AI968" s="92" t="str">
        <f t="shared" si="2404"/>
        <v/>
      </c>
      <c r="AJ968" s="828" t="str">
        <f t="shared" si="2436"/>
        <v/>
      </c>
      <c r="AK968" s="828"/>
      <c r="AL968" s="313" t="str">
        <f t="shared" si="2338"/>
        <v/>
      </c>
      <c r="AM968" s="312"/>
      <c r="AN968" s="101"/>
      <c r="AO968" s="101"/>
      <c r="AP968" s="101"/>
      <c r="AQ968" s="101"/>
      <c r="AR968" s="101"/>
      <c r="AS968" s="101"/>
      <c r="AT968" s="101"/>
    </row>
    <row r="969" spans="1:46" ht="12.75" customHeight="1">
      <c r="A969" s="896" t="s">
        <v>566</v>
      </c>
      <c r="B969" s="897"/>
      <c r="C969" s="897"/>
      <c r="D969" s="897"/>
      <c r="E969" s="897"/>
      <c r="F969" s="897"/>
      <c r="G969" s="897"/>
      <c r="H969" s="776" t="s">
        <v>560</v>
      </c>
      <c r="I969" s="88" t="s">
        <v>79</v>
      </c>
      <c r="J969" s="86"/>
      <c r="K969" s="603" t="s">
        <v>45</v>
      </c>
      <c r="L969" s="601" t="s">
        <v>46</v>
      </c>
      <c r="M969" s="86"/>
      <c r="N969" s="87" t="s">
        <v>69</v>
      </c>
      <c r="O969" s="87"/>
      <c r="P969" s="88"/>
      <c r="Q969" s="88"/>
      <c r="R969" s="86"/>
      <c r="S969" s="125"/>
      <c r="T969" s="543"/>
      <c r="U969" s="112"/>
      <c r="V969" s="100" t="b">
        <f>IF(G969&gt;0,IF(AD969="me","",G969))</f>
        <v>0</v>
      </c>
      <c r="W969" s="100"/>
      <c r="X969" s="100"/>
      <c r="Y969" s="201"/>
      <c r="Z969" s="829" t="str">
        <f t="shared" si="2434"/>
        <v/>
      </c>
      <c r="AA969" s="829"/>
      <c r="AB969" s="830" t="str">
        <f>IF(G969=0,"",IF(AD969="free","re-planting",IF(AD969="me","not NVP, by",IF($AD$8="yes",(VLOOKUP(A969,'Discount Lookup'!J:K,2)*G969*(1-$AC$1786)*(1+$AC$1788)),IF(AD969="NVP",(VLOOKUP(A969,'Discount Lookup'!J:K,2)*G969*(1-$AC$1786)*(1+$AC$1788)),IF(AD969="free","re-planting",IF(G969=0,"",IF($AD$8="",IF(AD969="me","not NVP, by",IF(AD969="",IF(G969&gt;0,(VLOOKUP(A969,'Discount Lookup'!J:K,2)*G969*(1-$AC$1786)*(1+$AC$1788)),""),"")),"not NVP, by"))))))))</f>
        <v/>
      </c>
      <c r="AC969" s="830"/>
      <c r="AD969" s="375" t="str">
        <f t="shared" si="2410"/>
        <v/>
      </c>
      <c r="AE969" s="833" t="str">
        <f t="shared" ref="AE969:AE977" si="2480">IF(G969&gt;0,(CONCATENATE((G969)," quantity, ",(A969)," ",B969)),"")</f>
        <v/>
      </c>
      <c r="AF969" s="833"/>
      <c r="AG969" s="833"/>
      <c r="AH969" s="91">
        <f>IF(AD969="free",0,IF(AD969="me",0,IF(G969&gt;0,(VLOOKUP(A969,'Discount Lookup'!J:K,2)*G969),0)))</f>
        <v>0</v>
      </c>
      <c r="AI969" s="92" t="str">
        <f t="shared" si="2404"/>
        <v/>
      </c>
      <c r="AJ969" s="828" t="str">
        <f t="shared" si="2436"/>
        <v/>
      </c>
      <c r="AK969" s="828"/>
      <c r="AL969" s="313" t="str">
        <f t="shared" si="2338"/>
        <v/>
      </c>
      <c r="AM969" s="312"/>
      <c r="AN969" s="101"/>
      <c r="AO969" s="101"/>
      <c r="AP969" s="101"/>
      <c r="AQ969" s="101"/>
      <c r="AR969" s="101"/>
      <c r="AS969" s="101"/>
      <c r="AT969" s="101"/>
    </row>
    <row r="970" spans="1:46" ht="12.95" customHeight="1">
      <c r="A970" s="419">
        <v>3</v>
      </c>
      <c r="B970" s="87" t="s">
        <v>50</v>
      </c>
      <c r="C970" s="128" t="s">
        <v>1601</v>
      </c>
      <c r="D970" s="129" t="s">
        <v>87</v>
      </c>
      <c r="E970" s="98">
        <v>39.950000000000003</v>
      </c>
      <c r="F970" s="705" t="s">
        <v>1306</v>
      </c>
      <c r="G970" s="357">
        <v>0</v>
      </c>
      <c r="H970" s="704" t="str">
        <f t="shared" ref="H970" si="2481">IF(G970=0,"",IF(F970="Qty=",IF(G970=1,"plant","plants"),IF(F970&gt;0.0001,"warranty","Error")))</f>
        <v/>
      </c>
      <c r="I970" s="98">
        <f t="shared" ref="I970" si="2482">IF(F970="Qty=",(E970*G970),((E970*(1-F970))*G970))</f>
        <v>0</v>
      </c>
      <c r="J970" s="98">
        <f>IF(H970="warranty",0,(I970*($J$1782)))</f>
        <v>0</v>
      </c>
      <c r="K970" s="831">
        <f t="shared" ref="K970" si="2483">I970+J970</f>
        <v>0</v>
      </c>
      <c r="L970" s="831"/>
      <c r="M970" s="832" t="str">
        <f>IF($H$1784=0,"",IF(G970=0,"",IF(F970="Qty=",CONCATENATE("$",ROUND(K970*(1-$H$1784),2)," with ",($H$1784*100),"% discount"),CONCATENATE("$",ROUND(K970*(1-$H$1784),2)," with ",(($H$1784*100+F970*100)-($H$1784*100*F970)),IF(F970&gt;0,"% discounts",IF($H$1781&gt;0,"% discounts","% discount"))))))</f>
        <v/>
      </c>
      <c r="N970" s="832"/>
      <c r="O970" s="832"/>
      <c r="P970" s="832"/>
      <c r="Q970" s="832"/>
      <c r="R970" s="832"/>
      <c r="S970" s="303">
        <f t="shared" ref="S970" si="2484">E970*G970</f>
        <v>0</v>
      </c>
      <c r="T970" s="541">
        <f>VLOOKUP(A970,'Discount Lookup'!D:E,2,FALSE)*G970</f>
        <v>0</v>
      </c>
      <c r="U970" s="83">
        <f>VLOOKUP(A970,'Discount Lookup'!G:H,2,FALSE)*G970</f>
        <v>0</v>
      </c>
      <c r="V970" s="100">
        <f>E970*($J$1782)*G970</f>
        <v>0</v>
      </c>
      <c r="W970" s="100">
        <f t="shared" ref="W970" si="2485">I970</f>
        <v>0</v>
      </c>
      <c r="X970" s="100" t="b">
        <f>IF(G970&gt;0,IF(AD970="me","",G970))</f>
        <v>0</v>
      </c>
      <c r="Y970" s="201"/>
      <c r="Z970" s="829" t="str">
        <f t="shared" ref="Z970" si="2486">IF(G970=0,"",IF(AD970="me","",IF($AD$8="me","",IF(AD970="free","warranty",IF($AD$8="yes","NVP planting:","to NVP install:")))))</f>
        <v/>
      </c>
      <c r="AA970" s="829"/>
      <c r="AB970" s="830" t="str">
        <f>IF(G970=0,"",IF(AD970="free","re-planting",IF(AD970="me","not NVP, by",IF($AD$8="yes",(VLOOKUP(A970,'Discount Lookup'!J:K,2)*G970*(1-$AC$1786)*(1+$AC$1788)),IF(AD970="NVP",(VLOOKUP(A970,'Discount Lookup'!J:K,2)*G970*(1-$AC$1786)*(1+$AC$1788)),IF(AD970="free","re-planting",IF(G970=0,"",IF($AD$8="",IF(AD970="me","not NVP, by",IF(AD970="",IF(G970&gt;0,(VLOOKUP(A970,'Discount Lookup'!J:K,2)*G970*(1-$AC$1786)*(1+$AC$1788)),""),"")),"not NVP, by"))))))))</f>
        <v/>
      </c>
      <c r="AC970" s="830"/>
      <c r="AD970" s="375" t="str">
        <f t="shared" si="2410"/>
        <v/>
      </c>
      <c r="AE970" s="833" t="str">
        <f t="shared" si="2480"/>
        <v/>
      </c>
      <c r="AF970" s="833"/>
      <c r="AG970" s="833"/>
      <c r="AH970" s="91">
        <f>IF(AD970="free",0,IF(AD970="me",0,IF(G970&gt;0,(VLOOKUP(A970,'Discount Lookup'!J:K,2)*G970),0)))</f>
        <v>0</v>
      </c>
      <c r="AI970" s="92" t="str">
        <f t="shared" si="2404"/>
        <v/>
      </c>
      <c r="AJ970" s="828" t="str">
        <f t="shared" ref="AJ970" si="2487">IF(G970=0,"",IF(AD970="me","  delivery-only",IF($AD$8="me","  delivery-only",CONCATENATE(" $",ROUND(AI970/G970,2)," each"))))</f>
        <v/>
      </c>
      <c r="AK970" s="828"/>
      <c r="AL970" s="313" t="str">
        <f t="shared" si="2338"/>
        <v/>
      </c>
      <c r="AM970" s="312"/>
      <c r="AN970" s="101"/>
      <c r="AO970" s="101"/>
      <c r="AP970" s="101"/>
      <c r="AQ970" s="101"/>
      <c r="AR970" s="101"/>
      <c r="AS970" s="101"/>
      <c r="AT970" s="101"/>
    </row>
    <row r="971" spans="1:46" ht="12.95" customHeight="1">
      <c r="A971" s="468"/>
      <c r="B971" s="149" t="s">
        <v>568</v>
      </c>
      <c r="C971" s="117"/>
      <c r="D971" s="118"/>
      <c r="E971" s="119"/>
      <c r="F971" s="711"/>
      <c r="G971" s="356"/>
      <c r="H971" s="745"/>
      <c r="I971" s="119"/>
      <c r="J971" s="119"/>
      <c r="K971" s="609"/>
      <c r="L971" s="609"/>
      <c r="M971" s="121"/>
      <c r="N971" s="108"/>
      <c r="O971" s="123">
        <f>VLOOKUP(A971,'Discount Lookup'!D:E,2,FALSE)*G971</f>
        <v>0</v>
      </c>
      <c r="P971" s="124">
        <f>VLOOKUP(A971,'Discount Lookup'!G:H,2,FALSE)*G971</f>
        <v>0</v>
      </c>
      <c r="Q971" s="124"/>
      <c r="R971" s="83">
        <f>IF(F971=0,E971*($J$1782)*G971,0)</f>
        <v>0</v>
      </c>
      <c r="S971" s="82">
        <f>E971*G971</f>
        <v>0</v>
      </c>
      <c r="T971" s="540"/>
      <c r="U971" s="83"/>
      <c r="V971" s="100" t="b">
        <f>IF(G971&gt;0,IF(AD971="me","",G971))</f>
        <v>0</v>
      </c>
      <c r="W971" s="100"/>
      <c r="X971" s="100"/>
      <c r="Y971" s="201"/>
      <c r="Z971" s="829" t="str">
        <f t="shared" si="2434"/>
        <v/>
      </c>
      <c r="AA971" s="829"/>
      <c r="AB971" s="830" t="str">
        <f>IF(G971=0,"",IF(AD971="free","re-planting",IF(AD971="me","not NVP, by",IF($AD$8="yes",(VLOOKUP(A971,'Discount Lookup'!J:K,2)*G971*(1-$AC$1786)*(1+$AC$1788)),IF(AD971="NVP",(VLOOKUP(A971,'Discount Lookup'!J:K,2)*G971*(1-$AC$1786)*(1+$AC$1788)),IF(AD971="free","re-planting",IF(G971=0,"",IF($AD$8="",IF(AD971="me","not NVP, by",IF(AD971="",IF(G971&gt;0,(VLOOKUP(A971,'Discount Lookup'!J:K,2)*G971*(1-$AC$1786)*(1+$AC$1788)),""),"")),"not NVP, by"))))))))</f>
        <v/>
      </c>
      <c r="AC971" s="830"/>
      <c r="AD971" s="375" t="str">
        <f t="shared" si="2410"/>
        <v/>
      </c>
      <c r="AE971" s="833" t="str">
        <f t="shared" si="2480"/>
        <v/>
      </c>
      <c r="AF971" s="833"/>
      <c r="AG971" s="833"/>
      <c r="AH971" s="91">
        <f>IF(AD971="free",0,IF(AD971="me",0,IF(G971&gt;0,(VLOOKUP(A971,'Discount Lookup'!J:K,2)*G971),0)))</f>
        <v>0</v>
      </c>
      <c r="AI971" s="92" t="str">
        <f t="shared" si="2404"/>
        <v/>
      </c>
      <c r="AJ971" s="828" t="str">
        <f t="shared" si="2436"/>
        <v/>
      </c>
      <c r="AK971" s="828"/>
      <c r="AL971" s="313" t="str">
        <f t="shared" ref="AL971:AL1034" si="2488">IF(AD971="free","      ~ discounts included, no tax or planting fee applies ~",IF(G971=0,"",IF($AD$8="me",CONCATENATE(" $",ROUND(AI971/G971,2)," per plant, with tax &amp; discount"),IF(AD971="me",CONCATENATE(" $",ROUND(AI971/G971,2)," per plant, with tax &amp; discount"),CONCATENATE("= $",ROUND((K971*(1-$H$1784))/G971,2)," per plant + $",AB971/G971,(" per planting      ~ includes tax &amp; discounts ~"))))))</f>
        <v/>
      </c>
      <c r="AM971" s="312"/>
      <c r="AN971" s="101"/>
      <c r="AO971" s="101"/>
      <c r="AP971" s="101"/>
      <c r="AQ971" s="101"/>
      <c r="AR971" s="101"/>
      <c r="AS971" s="101"/>
      <c r="AT971" s="101"/>
    </row>
    <row r="972" spans="1:46" ht="12.95" customHeight="1">
      <c r="A972" s="896" t="s">
        <v>1018</v>
      </c>
      <c r="B972" s="897"/>
      <c r="C972" s="897"/>
      <c r="D972" s="897"/>
      <c r="E972" s="897"/>
      <c r="F972" s="897"/>
      <c r="G972" s="897"/>
      <c r="H972" s="776" t="s">
        <v>560</v>
      </c>
      <c r="I972" s="88" t="s">
        <v>79</v>
      </c>
      <c r="J972" s="86"/>
      <c r="K972" s="603" t="s">
        <v>45</v>
      </c>
      <c r="L972" s="601" t="s">
        <v>46</v>
      </c>
      <c r="M972" s="86"/>
      <c r="N972" s="87" t="s">
        <v>69</v>
      </c>
      <c r="O972" s="87"/>
      <c r="P972" s="88"/>
      <c r="Q972" s="88"/>
      <c r="R972" s="86"/>
      <c r="S972" s="125"/>
      <c r="T972" s="543"/>
      <c r="U972" s="112"/>
      <c r="V972" s="100" t="b">
        <f>IF(G972&gt;0,IF(AD972="me","",G972))</f>
        <v>0</v>
      </c>
      <c r="W972" s="100"/>
      <c r="X972" s="100"/>
      <c r="Y972" s="201"/>
      <c r="Z972" s="829" t="str">
        <f t="shared" si="2434"/>
        <v/>
      </c>
      <c r="AA972" s="829"/>
      <c r="AB972" s="830" t="str">
        <f>IF(G972=0,"",IF(AD972="free","re-planting",IF(AD972="me","not NVP, by",IF($AD$8="yes",(VLOOKUP(A972,'Discount Lookup'!J:K,2)*G972*(1-$AC$1786)*(1+$AC$1788)),IF(AD972="NVP",(VLOOKUP(A972,'Discount Lookup'!J:K,2)*G972*(1-$AC$1786)*(1+$AC$1788)),IF(AD972="free","re-planting",IF(G972=0,"",IF($AD$8="",IF(AD972="me","not NVP, by",IF(AD972="",IF(G972&gt;0,(VLOOKUP(A972,'Discount Lookup'!J:K,2)*G972*(1-$AC$1786)*(1+$AC$1788)),""),"")),"not NVP, by"))))))))</f>
        <v/>
      </c>
      <c r="AC972" s="830"/>
      <c r="AD972" s="375" t="str">
        <f t="shared" si="2410"/>
        <v/>
      </c>
      <c r="AE972" s="833" t="str">
        <f t="shared" si="2480"/>
        <v/>
      </c>
      <c r="AF972" s="833"/>
      <c r="AG972" s="833"/>
      <c r="AH972" s="91">
        <f>IF(AD972="free",0,IF(AD972="me",0,IF(G972&gt;0,(VLOOKUP(A972,'Discount Lookup'!J:K,2)*G972),0)))</f>
        <v>0</v>
      </c>
      <c r="AI972" s="92" t="str">
        <f t="shared" si="2404"/>
        <v/>
      </c>
      <c r="AJ972" s="828" t="str">
        <f t="shared" si="2436"/>
        <v/>
      </c>
      <c r="AK972" s="828"/>
      <c r="AL972" s="313" t="str">
        <f t="shared" si="2488"/>
        <v/>
      </c>
      <c r="AM972" s="312"/>
      <c r="AN972" s="101"/>
      <c r="AO972" s="101"/>
      <c r="AP972" s="101"/>
      <c r="AQ972" s="101"/>
      <c r="AR972" s="101"/>
      <c r="AS972" s="101"/>
      <c r="AT972" s="101"/>
    </row>
    <row r="973" spans="1:46" ht="12.95" customHeight="1">
      <c r="A973" s="419">
        <v>2</v>
      </c>
      <c r="B973" s="87" t="s">
        <v>50</v>
      </c>
      <c r="C973" s="399" t="s">
        <v>136</v>
      </c>
      <c r="D973" s="129" t="s">
        <v>87</v>
      </c>
      <c r="E973" s="98">
        <v>39.950000000000003</v>
      </c>
      <c r="F973" s="705" t="s">
        <v>1306</v>
      </c>
      <c r="G973" s="357">
        <v>0</v>
      </c>
      <c r="H973" s="704" t="str">
        <f t="shared" ref="H973" si="2489">IF(G973=0,"",IF(F973="Qty=",IF(G973=1,"plant","plants"),IF(F973&gt;0.0001,"warranty","Error")))</f>
        <v/>
      </c>
      <c r="I973" s="98">
        <f t="shared" ref="I973" si="2490">IF(F973="Qty=",(E973*G973),((E973*(1-F973))*G973))</f>
        <v>0</v>
      </c>
      <c r="J973" s="98">
        <f>IF(H973="warranty",0,(I973*($J$1782)))</f>
        <v>0</v>
      </c>
      <c r="K973" s="831">
        <f t="shared" ref="K973" si="2491">I973+J973</f>
        <v>0</v>
      </c>
      <c r="L973" s="831"/>
      <c r="M973" s="832" t="str">
        <f>IF($H$1784=0,"",IF(G973=0,"",IF(F973="Qty=",CONCATENATE("$",ROUND(K973*(1-$H$1784),2)," with ",($H$1784*100),"% discount"),CONCATENATE("$",ROUND(K973*(1-$H$1784),2)," with ",(($H$1784*100+F973*100)-($H$1784*100*F973)),IF(F973&gt;0,"% discounts",IF($H$1781&gt;0,"% discounts","% discount"))))))</f>
        <v/>
      </c>
      <c r="N973" s="832"/>
      <c r="O973" s="832"/>
      <c r="P973" s="832"/>
      <c r="Q973" s="832"/>
      <c r="R973" s="832"/>
      <c r="S973" s="303">
        <f t="shared" ref="S973" si="2492">E973*G973</f>
        <v>0</v>
      </c>
      <c r="T973" s="541">
        <f>VLOOKUP(A973,'Discount Lookup'!D:E,2,FALSE)*G973</f>
        <v>0</v>
      </c>
      <c r="U973" s="83">
        <f>VLOOKUP(A973,'Discount Lookup'!G:H,2,FALSE)*G973</f>
        <v>0</v>
      </c>
      <c r="V973" s="100">
        <f>E973*($J$1782)*G973</f>
        <v>0</v>
      </c>
      <c r="W973" s="100">
        <f t="shared" ref="W973" si="2493">I973</f>
        <v>0</v>
      </c>
      <c r="X973" s="100" t="b">
        <f>IF(G973&gt;0,IF(AD973="me","",G973))</f>
        <v>0</v>
      </c>
      <c r="Y973" s="201"/>
      <c r="Z973" s="829" t="str">
        <f t="shared" ref="Z973" si="2494">IF(G973=0,"",IF(AD973="me","",IF($AD$8="me","",IF(AD973="free","warranty",IF($AD$8="yes","NVP planting:","to NVP install:")))))</f>
        <v/>
      </c>
      <c r="AA973" s="829"/>
      <c r="AB973" s="830" t="str">
        <f>IF(G973=0,"",IF(AD973="free","re-planting",IF(AD973="me","not NVP, by",IF($AD$8="yes",(VLOOKUP(A973,'Discount Lookup'!J:K,2)*G973*(1-$AC$1786)*(1+$AC$1788)),IF(AD973="NVP",(VLOOKUP(A973,'Discount Lookup'!J:K,2)*G973*(1-$AC$1786)*(1+$AC$1788)),IF(AD973="free","re-planting",IF(G973=0,"",IF($AD$8="",IF(AD973="me","not NVP, by",IF(AD973="",IF(G973&gt;0,(VLOOKUP(A973,'Discount Lookup'!J:K,2)*G973*(1-$AC$1786)*(1+$AC$1788)),""),"")),"not NVP, by"))))))))</f>
        <v/>
      </c>
      <c r="AC973" s="830"/>
      <c r="AD973" s="375" t="str">
        <f t="shared" si="2410"/>
        <v/>
      </c>
      <c r="AE973" s="833" t="str">
        <f t="shared" si="2480"/>
        <v/>
      </c>
      <c r="AF973" s="833"/>
      <c r="AG973" s="833"/>
      <c r="AH973" s="91">
        <f>IF(AD973="free",0,IF(AD973="me",0,IF(G973&gt;0,(VLOOKUP(A973,'Discount Lookup'!J:K,2)*G973),0)))</f>
        <v>0</v>
      </c>
      <c r="AI973" s="92" t="str">
        <f>IF(AD973="free",(K973*(1-$H$1784)),IF(G973=0,"",IF($AD$8="",IF(G973=0,"",IF(AD973="me",(K973*(1-$H$1784)),(K973*(1-$H$1784))+AB973)),IF(K973="Images","",IF(K973=0,"",(K973*(1-$H$1784)))))))</f>
        <v/>
      </c>
      <c r="AJ973" s="828" t="str">
        <f t="shared" ref="AJ973" si="2495">IF(G973=0,"",IF(AD973="me","  delivery-only",IF($AD$8="me","  delivery-only",CONCATENATE(" $",ROUND(AI973/G973,2)," each"))))</f>
        <v/>
      </c>
      <c r="AK973" s="828"/>
      <c r="AL973" s="313" t="str">
        <f t="shared" si="2488"/>
        <v/>
      </c>
      <c r="AM973" s="537"/>
      <c r="AN973" s="537"/>
      <c r="AO973" s="537"/>
      <c r="AP973" s="537"/>
      <c r="AQ973" s="537"/>
      <c r="AR973" s="537"/>
      <c r="AS973" s="537"/>
      <c r="AT973" s="537"/>
    </row>
    <row r="974" spans="1:46" ht="12.95" customHeight="1">
      <c r="A974" s="470"/>
      <c r="B974" s="149" t="s">
        <v>1019</v>
      </c>
      <c r="C974" s="104"/>
      <c r="D974" s="104"/>
      <c r="E974" s="131"/>
      <c r="F974" s="710"/>
      <c r="G974" s="358"/>
      <c r="H974" s="744"/>
      <c r="I974" s="131"/>
      <c r="J974" s="131"/>
      <c r="K974" s="608"/>
      <c r="L974" s="608"/>
      <c r="M974" s="121"/>
      <c r="N974" s="145"/>
      <c r="O974" s="123"/>
      <c r="P974" s="124"/>
      <c r="Q974" s="124"/>
      <c r="R974" s="83"/>
      <c r="S974" s="82">
        <f>E974*G974</f>
        <v>0</v>
      </c>
      <c r="T974" s="540"/>
      <c r="U974" s="83"/>
      <c r="V974" s="100" t="b">
        <f>IF(G974&gt;0,IF(AD974="me","",G974))</f>
        <v>0</v>
      </c>
      <c r="W974" s="100"/>
      <c r="X974" s="100"/>
      <c r="Y974" s="201"/>
      <c r="Z974" s="829" t="str">
        <f t="shared" si="2434"/>
        <v/>
      </c>
      <c r="AA974" s="829"/>
      <c r="AB974" s="830" t="str">
        <f>IF(G974=0,"",IF(AD974="free","re-planting",IF(AD974="me","not NVP, by",IF($AD$8="yes",(VLOOKUP(A974,'Discount Lookup'!J:K,2)*G974*(1-$AC$1786)*(1+$AC$1788)),IF(AD974="NVP",(VLOOKUP(A974,'Discount Lookup'!J:K,2)*G974*(1-$AC$1786)*(1+$AC$1788)),IF(AD974="free","re-planting",IF(G974=0,"",IF($AD$8="",IF(AD974="me","not NVP, by",IF(AD974="",IF(G974&gt;0,(VLOOKUP(A974,'Discount Lookup'!J:K,2)*G974*(1-$AC$1786)*(1+$AC$1788)),""),"")),"not NVP, by"))))))))</f>
        <v/>
      </c>
      <c r="AC974" s="830"/>
      <c r="AD974" s="375" t="str">
        <f t="shared" si="2410"/>
        <v/>
      </c>
      <c r="AE974" s="833" t="str">
        <f t="shared" si="2480"/>
        <v/>
      </c>
      <c r="AF974" s="833"/>
      <c r="AG974" s="833"/>
      <c r="AH974" s="91">
        <f>IF(AD974="free",0,IF(AD974="me",0,IF(G974&gt;0,(VLOOKUP(A974,'Discount Lookup'!J:K,2)*G974),0)))</f>
        <v>0</v>
      </c>
      <c r="AI974" s="92" t="str">
        <f>IF(G974=0,"",IF(AD974="free",(K974*(1-$H$1784)),IF($AD$8="me",(K974*(1-$H$1784)),IF(AD974="me",(K974*(1-$H$1784)),(K974*(1-$H$1784))+AB974))))</f>
        <v/>
      </c>
      <c r="AJ974" s="828" t="str">
        <f t="shared" si="2436"/>
        <v/>
      </c>
      <c r="AK974" s="828"/>
      <c r="AL974" s="313" t="str">
        <f t="shared" si="2488"/>
        <v/>
      </c>
      <c r="AM974" s="312"/>
      <c r="AN974" s="101"/>
      <c r="AO974" s="101"/>
      <c r="AP974" s="101"/>
      <c r="AQ974" s="101"/>
      <c r="AR974" s="101"/>
      <c r="AS974" s="101"/>
      <c r="AT974" s="101"/>
    </row>
    <row r="975" spans="1:46" ht="12.95" customHeight="1">
      <c r="A975" s="1031" t="s">
        <v>1041</v>
      </c>
      <c r="B975" s="1032"/>
      <c r="C975" s="1032"/>
      <c r="D975" s="1032"/>
      <c r="E975" s="1032"/>
      <c r="F975" s="1032"/>
      <c r="G975" s="1032"/>
      <c r="H975" s="776" t="s">
        <v>560</v>
      </c>
      <c r="I975" s="88" t="s">
        <v>79</v>
      </c>
      <c r="J975" s="86"/>
      <c r="K975" s="603" t="s">
        <v>45</v>
      </c>
      <c r="L975" s="601" t="s">
        <v>46</v>
      </c>
      <c r="M975" s="86"/>
      <c r="N975" s="87" t="s">
        <v>47</v>
      </c>
      <c r="O975" s="87"/>
      <c r="P975" s="88"/>
      <c r="Q975" s="89" t="s">
        <v>48</v>
      </c>
      <c r="R975" s="835" t="s">
        <v>49</v>
      </c>
      <c r="S975" s="835"/>
      <c r="T975" s="835"/>
      <c r="U975" s="835"/>
      <c r="V975" s="100" t="b">
        <f>IF(G975&gt;0,IF(AD975="me","",G975))</f>
        <v>0</v>
      </c>
      <c r="W975" s="100"/>
      <c r="X975" s="100"/>
      <c r="Y975" s="201"/>
      <c r="Z975" s="829" t="str">
        <f t="shared" si="2434"/>
        <v/>
      </c>
      <c r="AA975" s="829"/>
      <c r="AB975" s="830" t="str">
        <f>IF(G975=0,"",IF(AD975="free","re-planting",IF(AD975="me","not NVP, by",IF($AD$8="yes",(VLOOKUP(A975,'Discount Lookup'!J:K,2)*G975*(1-$AC$1786)*(1+$AC$1788)),IF(AD975="NVP",(VLOOKUP(A975,'Discount Lookup'!J:K,2)*G975*(1-$AC$1786)*(1+$AC$1788)),IF(AD975="free","re-planting",IF(G975=0,"",IF($AD$8="",IF(AD975="me","not NVP, by",IF(AD975="",IF(G975&gt;0,(VLOOKUP(A975,'Discount Lookup'!J:K,2)*G975*(1-$AC$1786)*(1+$AC$1788)),""),"")),"not NVP, by"))))))))</f>
        <v/>
      </c>
      <c r="AC975" s="830"/>
      <c r="AD975" s="375" t="str">
        <f t="shared" si="2410"/>
        <v/>
      </c>
      <c r="AE975" s="833" t="str">
        <f t="shared" si="2480"/>
        <v/>
      </c>
      <c r="AF975" s="833"/>
      <c r="AG975" s="833"/>
      <c r="AH975" s="91">
        <f>IF(AD975="free",0,IF(AD975="me",0,IF(G975&gt;0,(VLOOKUP(A975,'Discount Lookup'!J:K,2)*G975),0)))</f>
        <v>0</v>
      </c>
      <c r="AI975" s="92" t="str">
        <f>IF(G975=0,"",IF(AD975="free",(K975*(1-$H$1784)),IF($AD$8="me",(K975*(1-$H$1784)),IF(AD975="me",(K975*(1-$H$1784)),(K975*(1-$H$1784))+AB975))))</f>
        <v/>
      </c>
      <c r="AJ975" s="828" t="str">
        <f t="shared" si="2436"/>
        <v/>
      </c>
      <c r="AK975" s="828"/>
      <c r="AL975" s="313" t="str">
        <f t="shared" si="2488"/>
        <v/>
      </c>
      <c r="AM975" s="312"/>
      <c r="AN975" s="101"/>
      <c r="AO975" s="101"/>
      <c r="AP975" s="101"/>
      <c r="AQ975" s="101"/>
      <c r="AR975" s="101"/>
      <c r="AS975" s="101"/>
      <c r="AT975" s="101"/>
    </row>
    <row r="976" spans="1:46" ht="12.95" customHeight="1">
      <c r="A976" s="419">
        <v>3</v>
      </c>
      <c r="B976" s="87" t="s">
        <v>50</v>
      </c>
      <c r="C976" s="399" t="s">
        <v>51</v>
      </c>
      <c r="D976" s="129" t="s">
        <v>90</v>
      </c>
      <c r="E976" s="98">
        <v>35.950000000000003</v>
      </c>
      <c r="F976" s="705" t="s">
        <v>1306</v>
      </c>
      <c r="G976" s="357">
        <v>0</v>
      </c>
      <c r="H976" s="704" t="str">
        <f t="shared" ref="H976" si="2496">IF(G976=0,"",IF(F976="Qty=",IF(G976=1,"plant","plants"),IF(F976&gt;0.0001,"warranty","Error")))</f>
        <v/>
      </c>
      <c r="I976" s="98">
        <f t="shared" ref="I976" si="2497">IF(F976="Qty=",(E976*G976),((E976*(1-F976))*G976))</f>
        <v>0</v>
      </c>
      <c r="J976" s="98">
        <f>IF(H976="warranty",0,(I976*($J$1782)))</f>
        <v>0</v>
      </c>
      <c r="K976" s="831">
        <f t="shared" ref="K976" si="2498">I976+J976</f>
        <v>0</v>
      </c>
      <c r="L976" s="831"/>
      <c r="M976" s="832" t="str">
        <f>IF($H$1784=0,"",IF(G976=0,"",IF(F976="Qty=",CONCATENATE("$",ROUND(K976*(1-$H$1784),2)," with ",($H$1784*100),"% discount"),CONCATENATE("$",ROUND(K976*(1-$H$1784),2)," with ",(($H$1784*100+F976*100)-($H$1784*100*F976)),IF(F976&gt;0,"% discounts",IF($H$1781&gt;0,"% discounts","% discount"))))))</f>
        <v/>
      </c>
      <c r="N976" s="832"/>
      <c r="O976" s="832"/>
      <c r="P976" s="832"/>
      <c r="Q976" s="832"/>
      <c r="R976" s="832"/>
      <c r="S976" s="303">
        <f t="shared" ref="S976" si="2499">E976*G976</f>
        <v>0</v>
      </c>
      <c r="T976" s="541">
        <f>VLOOKUP(A976,'Discount Lookup'!D:E,2,FALSE)*G976</f>
        <v>0</v>
      </c>
      <c r="U976" s="83">
        <f>VLOOKUP(A976,'Discount Lookup'!G:H,2,FALSE)*G976</f>
        <v>0</v>
      </c>
      <c r="V976" s="100">
        <f>E976*($J$1782)*G976</f>
        <v>0</v>
      </c>
      <c r="W976" s="100">
        <f t="shared" ref="W976" si="2500">I976</f>
        <v>0</v>
      </c>
      <c r="X976" s="100" t="b">
        <f>IF(G976&gt;0,IF(AD976="me","",G976))</f>
        <v>0</v>
      </c>
      <c r="Y976" s="201"/>
      <c r="Z976" s="829" t="str">
        <f t="shared" si="2434"/>
        <v/>
      </c>
      <c r="AA976" s="829"/>
      <c r="AB976" s="830" t="str">
        <f>IF(G976=0,"",IF(AD976="free","re-planting",IF(AD976="me","not NVP, by",IF($AD$8="yes",(VLOOKUP(A976,'Discount Lookup'!J:K,2)*G976*(1-$AC$1786)*(1+$AC$1788)),IF(AD976="NVP",(VLOOKUP(A976,'Discount Lookup'!J:K,2)*G976*(1-$AC$1786)*(1+$AC$1788)),IF(AD976="free","re-planting",IF(G976=0,"",IF($AD$8="",IF(AD976="me","not NVP, by",IF(AD976="",IF(G976&gt;0,(VLOOKUP(A976,'Discount Lookup'!J:K,2)*G976*(1-$AC$1786)*(1+$AC$1788)),""),"")),"not NVP, by"))))))))</f>
        <v/>
      </c>
      <c r="AC976" s="830"/>
      <c r="AD976" s="375" t="str">
        <f t="shared" si="2410"/>
        <v/>
      </c>
      <c r="AE976" s="833" t="str">
        <f t="shared" si="2480"/>
        <v/>
      </c>
      <c r="AF976" s="833"/>
      <c r="AG976" s="833"/>
      <c r="AH976" s="91">
        <f>IF(AD976="free",0,IF(AD976="me",0,IF(G976&gt;0,(VLOOKUP(A976,'Discount Lookup'!J:K,2)*G976),0)))</f>
        <v>0</v>
      </c>
      <c r="AI976" s="92" t="str">
        <f>IF(G976=0,"",IF(AD976="free",(K976*(1-$H$1784)),IF($AD$8="me",(K976*(1-$H$1784)),IF(AD976="me",(K976*(1-$H$1784)),(K976*(1-$H$1784))+AB976))))</f>
        <v/>
      </c>
      <c r="AJ976" s="828" t="str">
        <f t="shared" si="2436"/>
        <v/>
      </c>
      <c r="AK976" s="828"/>
      <c r="AL976" s="313" t="str">
        <f t="shared" si="2488"/>
        <v/>
      </c>
      <c r="AM976" s="312"/>
      <c r="AN976" s="101"/>
      <c r="AO976" s="101"/>
      <c r="AP976" s="101"/>
      <c r="AQ976" s="101"/>
      <c r="AR976" s="101"/>
      <c r="AS976" s="101"/>
      <c r="AT976" s="101"/>
    </row>
    <row r="977" spans="1:46" ht="12.95" customHeight="1">
      <c r="A977" s="469"/>
      <c r="B977" s="149" t="s">
        <v>1042</v>
      </c>
      <c r="G977" s="361"/>
      <c r="H977" s="746"/>
      <c r="M977" s="48"/>
      <c r="N977" s="48"/>
      <c r="O977" s="48"/>
      <c r="P977" s="48"/>
      <c r="Q977" s="48"/>
      <c r="R977" s="48"/>
      <c r="S977" s="82">
        <f>E977*G977</f>
        <v>0</v>
      </c>
      <c r="T977" s="540"/>
      <c r="U977" s="83"/>
      <c r="V977" s="100" t="b">
        <f>IF(G977&gt;0,IF(AD977="me","",G977))</f>
        <v>0</v>
      </c>
      <c r="W977" s="100"/>
      <c r="X977" s="100"/>
      <c r="Y977" s="201"/>
      <c r="Z977" s="829" t="str">
        <f t="shared" si="2434"/>
        <v/>
      </c>
      <c r="AA977" s="829"/>
      <c r="AB977" s="830" t="str">
        <f>IF(G977=0,"",IF(AD977="free","re-planting",IF(AD977="me","not NVP, by",IF($AD$8="yes",(VLOOKUP(A977,'Discount Lookup'!J:K,2)*G977*(1-$AC$1786)*(1+$AC$1788)),IF(AD977="NVP",(VLOOKUP(A977,'Discount Lookup'!J:K,2)*G977*(1-$AC$1786)*(1+$AC$1788)),IF(AD977="free","re-planting",IF(G977=0,"",IF($AD$8="",IF(AD977="me","not NVP, by",IF(AD977="",IF(G977&gt;0,(VLOOKUP(A977,'Discount Lookup'!J:K,2)*G977*(1-$AC$1786)*(1+$AC$1788)),""),"")),"not NVP, by"))))))))</f>
        <v/>
      </c>
      <c r="AC977" s="830"/>
      <c r="AD977" s="375" t="str">
        <f t="shared" si="2410"/>
        <v/>
      </c>
      <c r="AE977" s="833" t="str">
        <f t="shared" si="2480"/>
        <v/>
      </c>
      <c r="AF977" s="833"/>
      <c r="AG977" s="833"/>
      <c r="AH977" s="91">
        <f>IF(AD977="free",0,IF(AD977="me",0,IF(G977&gt;0,(VLOOKUP(A977,'Discount Lookup'!J:K,2)*G977),0)))</f>
        <v>0</v>
      </c>
      <c r="AI977" s="92" t="str">
        <f>IF(G977=0,"",IF(AD977="free",(K977*(1-$H$1784)),IF($AD$8="me",(K977*(1-$H$1784)),IF(AD977="me",(K977*(1-$H$1784)),(K977*(1-$H$1784))+AB977))))</f>
        <v/>
      </c>
      <c r="AJ977" s="828" t="str">
        <f t="shared" si="2436"/>
        <v/>
      </c>
      <c r="AK977" s="828"/>
      <c r="AL977" s="313" t="str">
        <f t="shared" si="2488"/>
        <v/>
      </c>
      <c r="AM977" s="312"/>
      <c r="AN977" s="101"/>
      <c r="AO977" s="101"/>
      <c r="AP977" s="101"/>
      <c r="AQ977" s="101"/>
      <c r="AR977" s="101"/>
      <c r="AS977" s="101"/>
      <c r="AT977" s="101"/>
    </row>
    <row r="978" spans="1:46" ht="12.95" customHeight="1">
      <c r="A978" s="896" t="s">
        <v>1020</v>
      </c>
      <c r="B978" s="897"/>
      <c r="C978" s="897"/>
      <c r="D978" s="897"/>
      <c r="E978" s="897"/>
      <c r="F978" s="897"/>
      <c r="G978" s="897"/>
      <c r="H978" s="776" t="s">
        <v>560</v>
      </c>
      <c r="I978" s="88" t="s">
        <v>235</v>
      </c>
      <c r="J978" s="126"/>
      <c r="K978" s="603" t="s">
        <v>45</v>
      </c>
      <c r="L978" s="601" t="s">
        <v>46</v>
      </c>
      <c r="M978" s="86"/>
      <c r="N978" s="87" t="s">
        <v>128</v>
      </c>
      <c r="O978" s="87"/>
      <c r="P978" s="88"/>
      <c r="Q978" s="88"/>
      <c r="R978" s="86"/>
      <c r="S978" s="125"/>
      <c r="T978" s="543"/>
      <c r="U978" s="112"/>
      <c r="V978" s="100" t="b">
        <f>IF(G978&gt;0,IF(AD978="me","",G978))</f>
        <v>0</v>
      </c>
      <c r="W978" s="100"/>
      <c r="X978" s="100"/>
      <c r="Y978" s="201"/>
      <c r="Z978" s="829" t="str">
        <f t="shared" si="2434"/>
        <v/>
      </c>
      <c r="AA978" s="829"/>
      <c r="AB978" s="830" t="str">
        <f>IF(G978=0,"",IF(AD978="free","re-planting",IF(AD978="me","not NVP, by",IF($AD$8="yes",(VLOOKUP(A978,'Discount Lookup'!J:K,2)*G978*(1-$AC$1786)*(1+$AC$1788)),IF(AD978="NVP",(VLOOKUP(A978,'Discount Lookup'!J:K,2)*G978*(1-$AC$1786)*(1+$AC$1788)),IF(AD978="free","re-planting",IF(G978=0,"",IF($AD$8="",IF(AD978="me","not NVP, by",IF(AD978="",IF(G978&gt;0,(VLOOKUP(A978,'Discount Lookup'!J:K,2)*G978*(1-$AC$1786)*(1+$AC$1788)),""),"")),"not NVP, by"))))))))</f>
        <v/>
      </c>
      <c r="AC978" s="830"/>
      <c r="AD978" s="375" t="str">
        <f t="shared" si="2410"/>
        <v/>
      </c>
      <c r="AE978" s="833" t="str">
        <f t="shared" si="2479"/>
        <v/>
      </c>
      <c r="AF978" s="833"/>
      <c r="AG978" s="833"/>
      <c r="AH978" s="91">
        <f>IF(AD978="free",0,IF(AD978="me",0,IF(G978&gt;0,(VLOOKUP(A978,'Discount Lookup'!J:K,2)*G978),0)))</f>
        <v>0</v>
      </c>
      <c r="AI978" s="92" t="str">
        <f>IF(AD978="free",(K978*(1-H1784)),IF(G978=0,"",IF($AD$8="",IF(G978=0,"",IF(AD978="me",(K978*(1-H1784)),(K978*(1-H1784))+AB978)),IF(K978="Images","",IF(K978=0,"",(K978*(1-H1784)))))))</f>
        <v/>
      </c>
      <c r="AJ978" s="828" t="str">
        <f t="shared" si="2436"/>
        <v/>
      </c>
      <c r="AK978" s="828"/>
      <c r="AL978" s="313" t="str">
        <f t="shared" si="2488"/>
        <v/>
      </c>
      <c r="AM978" s="537"/>
      <c r="AN978" s="537"/>
      <c r="AO978" s="537"/>
      <c r="AP978" s="537"/>
      <c r="AQ978" s="537"/>
      <c r="AR978" s="537"/>
      <c r="AS978" s="537"/>
      <c r="AT978" s="537"/>
    </row>
    <row r="979" spans="1:46" ht="12.95" customHeight="1">
      <c r="A979" s="419">
        <v>2</v>
      </c>
      <c r="B979" s="87" t="s">
        <v>50</v>
      </c>
      <c r="C979" s="399" t="s">
        <v>136</v>
      </c>
      <c r="D979" s="129" t="s">
        <v>87</v>
      </c>
      <c r="E979" s="98">
        <v>28.95</v>
      </c>
      <c r="F979" s="705" t="s">
        <v>1306</v>
      </c>
      <c r="G979" s="357">
        <v>0</v>
      </c>
      <c r="H979" s="704" t="str">
        <f t="shared" ref="H979:H981" si="2501">IF(G979=0,"",IF(F979="Qty=",IF(G979=1,"plant","plants"),IF(F979&gt;0.0001,"warranty","Error")))</f>
        <v/>
      </c>
      <c r="I979" s="98">
        <f t="shared" ref="I979:I981" si="2502">IF(F979="Qty=",(E979*G979),((E979*(1-F979))*G979))</f>
        <v>0</v>
      </c>
      <c r="J979" s="98">
        <f>IF(H979="warranty",0,(I979*($J$1782)))</f>
        <v>0</v>
      </c>
      <c r="K979" s="831">
        <f t="shared" ref="K979:K982" si="2503">I979+J979</f>
        <v>0</v>
      </c>
      <c r="L979" s="831"/>
      <c r="M979" s="832" t="str">
        <f>IF($H$1784=0,"",IF(G979=0,"",IF(F979="Qty=",CONCATENATE("$",ROUND(K979*(1-$H$1784),2)," with ",($H$1784*100),"% discount"),CONCATENATE("$",ROUND(K979*(1-$H$1784),2)," with ",(($H$1784*100+F979*100)-($H$1784*100*F979)),IF(F979&gt;0,"% discounts",IF($H$1781&gt;0,"% discounts","% discount"))))))</f>
        <v/>
      </c>
      <c r="N979" s="832"/>
      <c r="O979" s="832"/>
      <c r="P979" s="832"/>
      <c r="Q979" s="832"/>
      <c r="R979" s="832"/>
      <c r="S979" s="303">
        <f t="shared" ref="S979:S981" si="2504">E979*G979</f>
        <v>0</v>
      </c>
      <c r="T979" s="541">
        <f>VLOOKUP(A979,'Discount Lookup'!D:E,2,FALSE)*G979</f>
        <v>0</v>
      </c>
      <c r="U979" s="83">
        <f>VLOOKUP(A979,'Discount Lookup'!G:H,2,FALSE)*G979</f>
        <v>0</v>
      </c>
      <c r="V979" s="100">
        <f>E979*($J$1782)*G979</f>
        <v>0</v>
      </c>
      <c r="W979" s="100">
        <f t="shared" ref="W979:W981" si="2505">I979</f>
        <v>0</v>
      </c>
      <c r="X979" s="100" t="b">
        <f>IF(G979&gt;0,IF(AD979="me","",G979))</f>
        <v>0</v>
      </c>
      <c r="Y979" s="201"/>
      <c r="Z979" s="829" t="str">
        <f t="shared" si="2434"/>
        <v/>
      </c>
      <c r="AA979" s="829"/>
      <c r="AB979" s="830" t="str">
        <f>IF(G979=0,"",IF(AD979="free","re-planting",IF(AD979="me","not NVP, by",IF($AD$8="yes",(VLOOKUP(A979,'Discount Lookup'!J:K,2)*G979*(1-$AC$1786)*(1+$AC$1788)),IF(AD979="NVP",(VLOOKUP(A979,'Discount Lookup'!J:K,2)*G979*(1-$AC$1786)*(1+$AC$1788)),IF(AD979="free","re-planting",IF(G979=0,"",IF($AD$8="",IF(AD979="me","not NVP, by",IF(AD979="",IF(G979&gt;0,(VLOOKUP(A979,'Discount Lookup'!J:K,2)*G979*(1-$AC$1786)*(1+$AC$1788)),""),"")),"not NVP, by"))))))))</f>
        <v/>
      </c>
      <c r="AC979" s="830"/>
      <c r="AD979" s="375" t="str">
        <f t="shared" si="2410"/>
        <v/>
      </c>
      <c r="AE979" s="833" t="str">
        <f t="shared" ref="AE979:AE981" si="2506">IF(G979&gt;0,(CONCATENATE((G979)," quantity, ",(A979)," ",B979)),"")</f>
        <v/>
      </c>
      <c r="AF979" s="833"/>
      <c r="AG979" s="833"/>
      <c r="AH979" s="91">
        <f>IF(AD979="free",0,IF(AD979="me",0,IF(G979&gt;0,(VLOOKUP(A979,'Discount Lookup'!J:K,2)*G979),0)))</f>
        <v>0</v>
      </c>
      <c r="AI979" s="92" t="str">
        <f>IF(AD979="free",(K979*(1-$H$1784)),IF(G979=0,"",IF($AD$8="",IF(G979=0,"",IF(AD979="me",(K979*(1-$H$1784)),(K979*(1-$H$1784))+AB979)),IF(K979="Images","",IF(K979=0,"",(K979*(1-$H$1784)))))))</f>
        <v/>
      </c>
      <c r="AJ979" s="828" t="str">
        <f t="shared" si="2436"/>
        <v/>
      </c>
      <c r="AK979" s="828"/>
      <c r="AL979" s="313" t="str">
        <f t="shared" si="2488"/>
        <v/>
      </c>
      <c r="AM979" s="537"/>
      <c r="AN979" s="537"/>
      <c r="AO979" s="537"/>
      <c r="AP979" s="537"/>
      <c r="AQ979" s="537"/>
      <c r="AR979" s="537"/>
      <c r="AS979" s="537"/>
      <c r="AT979" s="537"/>
    </row>
    <row r="980" spans="1:46" ht="12.95" customHeight="1">
      <c r="A980" s="419">
        <v>3</v>
      </c>
      <c r="B980" s="87" t="s">
        <v>50</v>
      </c>
      <c r="C980" s="399" t="s">
        <v>1225</v>
      </c>
      <c r="D980" s="129" t="s">
        <v>94</v>
      </c>
      <c r="E980" s="98">
        <v>31.95</v>
      </c>
      <c r="F980" s="705" t="s">
        <v>1306</v>
      </c>
      <c r="G980" s="357">
        <v>0</v>
      </c>
      <c r="H980" s="704" t="str">
        <f t="shared" si="2501"/>
        <v/>
      </c>
      <c r="I980" s="98">
        <f t="shared" si="2502"/>
        <v>0</v>
      </c>
      <c r="J980" s="98">
        <f>IF(H980="warranty",0,(I980*($J$1782)))</f>
        <v>0</v>
      </c>
      <c r="K980" s="831">
        <f t="shared" si="2503"/>
        <v>0</v>
      </c>
      <c r="L980" s="831"/>
      <c r="M980" s="832" t="str">
        <f>IF($H$1784=0,"",IF(G980=0,"",IF(F980="Qty=",CONCATENATE("$",ROUND(K980*(1-$H$1784),2)," with ",($H$1784*100),"% discount"),CONCATENATE("$",ROUND(K980*(1-$H$1784),2)," with ",(($H$1784*100+F980*100)-($H$1784*100*F980)),IF(F980&gt;0,"% discounts",IF($H$1781&gt;0,"% discounts","% discount"))))))</f>
        <v/>
      </c>
      <c r="N980" s="832"/>
      <c r="O980" s="832"/>
      <c r="P980" s="832"/>
      <c r="Q980" s="832"/>
      <c r="R980" s="832"/>
      <c r="S980" s="303">
        <f t="shared" si="2504"/>
        <v>0</v>
      </c>
      <c r="T980" s="541">
        <f>VLOOKUP(A980,'Discount Lookup'!D:E,2,FALSE)*G980</f>
        <v>0</v>
      </c>
      <c r="U980" s="83">
        <f>VLOOKUP(A980,'Discount Lookup'!G:H,2,FALSE)*G980</f>
        <v>0</v>
      </c>
      <c r="V980" s="100">
        <f>E980*($J$1782)*G980</f>
        <v>0</v>
      </c>
      <c r="W980" s="100">
        <f t="shared" si="2505"/>
        <v>0</v>
      </c>
      <c r="X980" s="100" t="b">
        <f>IF(G980&gt;0,IF(AD980="me","",G980))</f>
        <v>0</v>
      </c>
      <c r="Y980" s="201"/>
      <c r="Z980" s="829" t="str">
        <f t="shared" si="2434"/>
        <v/>
      </c>
      <c r="AA980" s="829"/>
      <c r="AB980" s="830" t="str">
        <f>IF(G980=0,"",IF(AD980="free","re-planting",IF(AD980="me","not NVP, by",IF($AD$8="yes",(VLOOKUP(A980,'Discount Lookup'!J:K,2)*G980*(1-$AC$1786)*(1+$AC$1788)),IF(AD980="NVP",(VLOOKUP(A980,'Discount Lookup'!J:K,2)*G980*(1-$AC$1786)*(1+$AC$1788)),IF(AD980="free","re-planting",IF(G980=0,"",IF($AD$8="",IF(AD980="me","not NVP, by",IF(AD980="",IF(G980&gt;0,(VLOOKUP(A980,'Discount Lookup'!J:K,2)*G980*(1-$AC$1786)*(1+$AC$1788)),""),"")),"not NVP, by"))))))))</f>
        <v/>
      </c>
      <c r="AC980" s="830"/>
      <c r="AD980" s="375" t="str">
        <f t="shared" si="2410"/>
        <v/>
      </c>
      <c r="AE980" s="833" t="str">
        <f t="shared" si="2506"/>
        <v/>
      </c>
      <c r="AF980" s="833"/>
      <c r="AG980" s="833"/>
      <c r="AH980" s="91">
        <f>IF(AD980="free",0,IF(AD980="me",0,IF(G980&gt;0,(VLOOKUP(A980,'Discount Lookup'!J:K,2)*G980),0)))</f>
        <v>0</v>
      </c>
      <c r="AI980" s="92" t="str">
        <f>IF(AD980="free",(K980*(1-$H$1784)),IF(G980=0,"",IF($AD$8="",IF(G980=0,"",IF(AD980="me",(K980*(1-$H$1784)),(K980*(1-$H$1784))+AB980)),IF(K980="Images","",IF(K980=0,"",(K980*(1-$H$1784)))))))</f>
        <v/>
      </c>
      <c r="AJ980" s="828" t="str">
        <f t="shared" si="2436"/>
        <v/>
      </c>
      <c r="AK980" s="828"/>
      <c r="AL980" s="313" t="str">
        <f t="shared" si="2488"/>
        <v/>
      </c>
      <c r="AM980" s="537"/>
      <c r="AN980" s="537"/>
      <c r="AO980" s="537"/>
      <c r="AP980" s="537"/>
      <c r="AQ980" s="537"/>
      <c r="AR980" s="537"/>
      <c r="AS980" s="537"/>
      <c r="AT980" s="537"/>
    </row>
    <row r="981" spans="1:46" ht="12.95" customHeight="1">
      <c r="A981" s="419">
        <v>3</v>
      </c>
      <c r="B981" s="87" t="s">
        <v>50</v>
      </c>
      <c r="C981" s="399" t="s">
        <v>135</v>
      </c>
      <c r="D981" s="129" t="s">
        <v>54</v>
      </c>
      <c r="E981" s="98">
        <v>39.950000000000003</v>
      </c>
      <c r="F981" s="705" t="s">
        <v>1306</v>
      </c>
      <c r="G981" s="357">
        <v>0</v>
      </c>
      <c r="H981" s="704" t="str">
        <f t="shared" si="2501"/>
        <v/>
      </c>
      <c r="I981" s="98">
        <f t="shared" si="2502"/>
        <v>0</v>
      </c>
      <c r="J981" s="98">
        <f>IF(H981="warranty",0,(I981*($J$1782)))</f>
        <v>0</v>
      </c>
      <c r="K981" s="831">
        <f t="shared" si="2503"/>
        <v>0</v>
      </c>
      <c r="L981" s="831"/>
      <c r="M981" s="832" t="str">
        <f>IF($H$1784=0,"",IF(G981=0,"",IF(F981="Qty=",CONCATENATE("$",ROUND(K981*(1-$H$1784),2)," with ",($H$1784*100),"% discount"),CONCATENATE("$",ROUND(K981*(1-$H$1784),2)," with ",(($H$1784*100+F981*100)-($H$1784*100*F981)),IF(F981&gt;0,"% discounts",IF($H$1781&gt;0,"% discounts","% discount"))))))</f>
        <v/>
      </c>
      <c r="N981" s="832"/>
      <c r="O981" s="832"/>
      <c r="P981" s="832"/>
      <c r="Q981" s="832"/>
      <c r="R981" s="832"/>
      <c r="S981" s="303">
        <f t="shared" si="2504"/>
        <v>0</v>
      </c>
      <c r="T981" s="541">
        <f>VLOOKUP(A981,'Discount Lookup'!D:E,2,FALSE)*G981</f>
        <v>0</v>
      </c>
      <c r="U981" s="83">
        <f>VLOOKUP(A981,'Discount Lookup'!G:H,2,FALSE)*G981</f>
        <v>0</v>
      </c>
      <c r="V981" s="100">
        <f>E981*($J$1782)*G981</f>
        <v>0</v>
      </c>
      <c r="W981" s="100">
        <f t="shared" si="2505"/>
        <v>0</v>
      </c>
      <c r="X981" s="100" t="b">
        <f>IF(G981&gt;0,IF(AD981="me","",G981))</f>
        <v>0</v>
      </c>
      <c r="Y981" s="201"/>
      <c r="Z981" s="829" t="str">
        <f t="shared" si="2434"/>
        <v/>
      </c>
      <c r="AA981" s="829"/>
      <c r="AB981" s="830" t="str">
        <f>IF(G981=0,"",IF(AD981="free","re-planting",IF(AD981="me","not NVP, by",IF($AD$8="yes",(VLOOKUP(A981,'Discount Lookup'!J:K,2)*G981*(1-$AC$1786)*(1+$AC$1788)),IF(AD981="NVP",(VLOOKUP(A981,'Discount Lookup'!J:K,2)*G981*(1-$AC$1786)*(1+$AC$1788)),IF(AD981="free","re-planting",IF(G981=0,"",IF($AD$8="",IF(AD981="me","not NVP, by",IF(AD981="",IF(G981&gt;0,(VLOOKUP(A981,'Discount Lookup'!J:K,2)*G981*(1-$AC$1786)*(1+$AC$1788)),""),"")),"not NVP, by"))))))))</f>
        <v/>
      </c>
      <c r="AC981" s="830"/>
      <c r="AD981" s="375" t="str">
        <f t="shared" si="2410"/>
        <v/>
      </c>
      <c r="AE981" s="833" t="str">
        <f t="shared" si="2506"/>
        <v/>
      </c>
      <c r="AF981" s="833"/>
      <c r="AG981" s="833"/>
      <c r="AH981" s="91">
        <f>IF(AD981="free",0,IF(AD981="me",0,IF(G981&gt;0,(VLOOKUP(A981,'Discount Lookup'!J:K,2)*G981),0)))</f>
        <v>0</v>
      </c>
      <c r="AI981" s="92" t="str">
        <f>IF(AD981="free",(K981*(1-$H$1784)),IF(G981=0,"",IF($AD$8="",IF(G981=0,"",IF(AD981="me",(K981*(1-$H$1784)),(K981*(1-$H$1784))+AB981)),IF(K981="Images","",IF(K981=0,"",(K981*(1-$H$1784)))))))</f>
        <v/>
      </c>
      <c r="AJ981" s="828" t="str">
        <f t="shared" si="2436"/>
        <v/>
      </c>
      <c r="AK981" s="828"/>
      <c r="AL981" s="313" t="str">
        <f t="shared" si="2488"/>
        <v/>
      </c>
      <c r="AM981" s="537"/>
      <c r="AN981" s="537"/>
      <c r="AO981" s="537"/>
      <c r="AP981" s="537"/>
      <c r="AQ981" s="537"/>
      <c r="AR981" s="537"/>
      <c r="AS981" s="537"/>
      <c r="AT981" s="537"/>
    </row>
    <row r="982" spans="1:46" ht="12.95" customHeight="1">
      <c r="A982" s="419">
        <v>3</v>
      </c>
      <c r="B982" s="87" t="s">
        <v>50</v>
      </c>
      <c r="C982" s="399" t="s">
        <v>99</v>
      </c>
      <c r="D982" s="129" t="s">
        <v>87</v>
      </c>
      <c r="E982" s="98">
        <v>43.95</v>
      </c>
      <c r="F982" s="705" t="s">
        <v>1306</v>
      </c>
      <c r="G982" s="357">
        <v>0</v>
      </c>
      <c r="H982" s="704" t="str">
        <f t="shared" ref="H982" si="2507">IF(G982=0,"",IF(F982="Qty=",IF(G982=1,"plant","plants"),IF(F982&gt;0.0001,"warranty","Error")))</f>
        <v/>
      </c>
      <c r="I982" s="98">
        <f t="shared" ref="I982" si="2508">IF(F982="Qty=",(E982*G982),((E982*(1-F982))*G982))</f>
        <v>0</v>
      </c>
      <c r="J982" s="98">
        <f>IF(H982="warranty",0,(I982*($J$1782)))</f>
        <v>0</v>
      </c>
      <c r="K982" s="831">
        <f t="shared" si="2503"/>
        <v>0</v>
      </c>
      <c r="L982" s="831"/>
      <c r="M982" s="832" t="str">
        <f>IF($H$1784=0,"",IF(G982=0,"",IF(F982="Qty=",CONCATENATE("$",ROUND(K982*(1-$H$1784),2)," with ",($H$1784*100),"% discount"),CONCATENATE("$",ROUND(K982*(1-$H$1784),2)," with ",(($H$1784*100+F982*100)-($H$1784*100*F982)),IF(F982&gt;0,"% discounts",IF($H$1781&gt;0,"% discounts","% discount"))))))</f>
        <v/>
      </c>
      <c r="N982" s="832"/>
      <c r="O982" s="832"/>
      <c r="P982" s="832"/>
      <c r="Q982" s="832"/>
      <c r="R982" s="832"/>
      <c r="S982" s="303">
        <f t="shared" ref="S982" si="2509">E982*G982</f>
        <v>0</v>
      </c>
      <c r="T982" s="541">
        <f>VLOOKUP(A982,'Discount Lookup'!D:E,2,FALSE)*G982</f>
        <v>0</v>
      </c>
      <c r="U982" s="83">
        <f>VLOOKUP(A982,'Discount Lookup'!G:H,2,FALSE)*G982</f>
        <v>0</v>
      </c>
      <c r="V982" s="100">
        <f>E982*($J$1782)*G982</f>
        <v>0</v>
      </c>
      <c r="W982" s="100">
        <f t="shared" ref="W982" si="2510">I982</f>
        <v>0</v>
      </c>
      <c r="X982" s="100" t="b">
        <f>IF(G982&gt;0,IF(AD982="me","",G982))</f>
        <v>0</v>
      </c>
      <c r="Y982" s="201"/>
      <c r="Z982" s="829" t="str">
        <f t="shared" ref="Z982" si="2511">IF(G982=0,"",IF(AD982="me","",IF($AD$8="me","",IF(AD982="free","warranty",IF($AD$8="yes","NVP planting:","to NVP install:")))))</f>
        <v/>
      </c>
      <c r="AA982" s="829"/>
      <c r="AB982" s="830" t="str">
        <f>IF(G982=0,"",IF(AD982="free","re-planting",IF(AD982="me","not NVP, by",IF($AD$8="yes",(VLOOKUP(A982,'Discount Lookup'!J:K,2)*G982*(1-$AC$1786)*(1+$AC$1788)),IF(AD982="NVP",(VLOOKUP(A982,'Discount Lookup'!J:K,2)*G982*(1-$AC$1786)*(1+$AC$1788)),IF(AD982="free","re-planting",IF(G982=0,"",IF($AD$8="",IF(AD982="me","not NVP, by",IF(AD982="",IF(G982&gt;0,(VLOOKUP(A982,'Discount Lookup'!J:K,2)*G982*(1-$AC$1786)*(1+$AC$1788)),""),"")),"not NVP, by"))))))))</f>
        <v/>
      </c>
      <c r="AC982" s="830"/>
      <c r="AD982" s="375" t="str">
        <f t="shared" ref="AD982" si="2512">IF(G982=0,"",IF($AD$8="me","me",IF(H982="warranty","free",IF($AD$8="yes","NVP",""))))</f>
        <v/>
      </c>
      <c r="AE982" s="833" t="str">
        <f t="shared" ref="AE982" si="2513">IF(G982&gt;0,(CONCATENATE((G982)," quantity, ",(A982)," ",B982)),"")</f>
        <v/>
      </c>
      <c r="AF982" s="833"/>
      <c r="AG982" s="833"/>
      <c r="AH982" s="91">
        <f>IF(AD982="free",0,IF(AD982="me",0,IF(G982&gt;0,(VLOOKUP(A982,'Discount Lookup'!J:K,2)*G982),0)))</f>
        <v>0</v>
      </c>
      <c r="AI982" s="92" t="str">
        <f>IF(AD982="free",(K982*(1-$H$1784)),IF(G982=0,"",IF($AD$8="",IF(G982=0,"",IF(AD982="me",(K982*(1-$H$1784)),(K982*(1-$H$1784))+AB982)),IF(K982="Images","",IF(K982=0,"",(K982*(1-$H$1784)))))))</f>
        <v/>
      </c>
      <c r="AJ982" s="828" t="str">
        <f t="shared" ref="AJ982" si="2514">IF(G982=0,"",IF(AD982="me","  delivery-only",IF($AD$8="me","  delivery-only",CONCATENATE(" $",ROUND(AI982/G982,2)," each"))))</f>
        <v/>
      </c>
      <c r="AK982" s="828"/>
      <c r="AL982" s="313" t="str">
        <f t="shared" si="2488"/>
        <v/>
      </c>
      <c r="AM982" s="537"/>
      <c r="AN982" s="537"/>
      <c r="AO982" s="537"/>
      <c r="AP982" s="537"/>
      <c r="AQ982" s="537"/>
      <c r="AR982" s="537"/>
      <c r="AS982" s="537"/>
      <c r="AT982" s="537"/>
    </row>
    <row r="983" spans="1:46" ht="12.95" customHeight="1">
      <c r="A983" s="482"/>
      <c r="B983" s="149" t="s">
        <v>1021</v>
      </c>
      <c r="G983" s="361"/>
      <c r="H983" s="746"/>
      <c r="M983" s="108"/>
      <c r="N983" s="108"/>
      <c r="O983" s="123">
        <f>VLOOKUP(A983,'Discount Lookup'!D:E,2,FALSE)*G983</f>
        <v>0</v>
      </c>
      <c r="P983" s="124">
        <f>VLOOKUP(A983,'Discount Lookup'!G:H,2,FALSE)*G983</f>
        <v>0</v>
      </c>
      <c r="Q983" s="124"/>
      <c r="R983" s="83">
        <f>IF(F983=0,E983*($J$1782)*G983,0)</f>
        <v>0</v>
      </c>
      <c r="S983" s="82">
        <f>E983*G983</f>
        <v>0</v>
      </c>
      <c r="T983" s="540"/>
      <c r="U983" s="83"/>
      <c r="V983" s="100"/>
      <c r="W983" s="100"/>
      <c r="X983" s="100"/>
      <c r="Y983" s="201"/>
      <c r="Z983" s="829" t="str">
        <f t="shared" si="2434"/>
        <v/>
      </c>
      <c r="AA983" s="829"/>
      <c r="AB983" s="830" t="str">
        <f>IF(G983=0,"",IF(AD983="free","re-planting",IF(AD983="me","not NVP, by",IF($AD$8="yes",(VLOOKUP(A983,'Discount Lookup'!J:K,2)*G983*(1-$AC$1786)*(1+$AC$1788)),IF(AD983="NVP",(VLOOKUP(A983,'Discount Lookup'!J:K,2)*G983*(1-$AC$1786)*(1+$AC$1788)),IF(AD983="free","re-planting",IF(G983=0,"",IF($AD$8="",IF(AD983="me","not NVP, by",IF(AD983="",IF(G983&gt;0,(VLOOKUP(A983,'Discount Lookup'!J:K,2)*G983*(1-$AC$1786)*(1+$AC$1788)),""),"")),"not NVP, by"))))))))</f>
        <v/>
      </c>
      <c r="AC983" s="830"/>
      <c r="AD983" s="375" t="str">
        <f t="shared" si="2410"/>
        <v/>
      </c>
      <c r="AE983" s="833" t="str">
        <f t="shared" si="2479"/>
        <v/>
      </c>
      <c r="AF983" s="833"/>
      <c r="AG983" s="833"/>
      <c r="AH983" s="91">
        <f>IF(AD983="free",0,IF(AD983="me",0,IF(G983&gt;0,(VLOOKUP(A983,'Discount Lookup'!J:K,2)*G983),0)))</f>
        <v>0</v>
      </c>
      <c r="AI983" s="92" t="str">
        <f>IF(AD983="free",(K983*(1-H1784)),IF(G983=0,"",IF($AD$8="",IF(G983=0,"",IF(AD983="me",(K983*(1-H1784)),(K983*(1-H1784))+AB983)),IF(K983="Images","",IF(K983=0,"",(K983*(1-H1784)))))))</f>
        <v/>
      </c>
      <c r="AJ983" s="828" t="str">
        <f t="shared" si="2436"/>
        <v/>
      </c>
      <c r="AK983" s="828"/>
      <c r="AL983" s="313" t="str">
        <f t="shared" si="2488"/>
        <v/>
      </c>
      <c r="AM983" s="537"/>
      <c r="AN983" s="537"/>
      <c r="AO983" s="537"/>
      <c r="AP983" s="537"/>
      <c r="AQ983" s="537"/>
      <c r="AR983" s="537"/>
      <c r="AS983" s="537"/>
      <c r="AT983" s="537"/>
    </row>
    <row r="984" spans="1:46" ht="12.95" customHeight="1">
      <c r="A984" s="896" t="s">
        <v>569</v>
      </c>
      <c r="B984" s="897"/>
      <c r="C984" s="897"/>
      <c r="D984" s="897"/>
      <c r="E984" s="897"/>
      <c r="F984" s="897"/>
      <c r="G984" s="897"/>
      <c r="H984" s="776" t="s">
        <v>560</v>
      </c>
      <c r="I984" s="88" t="s">
        <v>79</v>
      </c>
      <c r="J984" s="86"/>
      <c r="K984" s="603" t="s">
        <v>45</v>
      </c>
      <c r="L984" s="601" t="s">
        <v>46</v>
      </c>
      <c r="M984" s="86"/>
      <c r="N984" s="87" t="s">
        <v>69</v>
      </c>
      <c r="O984" s="87"/>
      <c r="P984" s="88"/>
      <c r="Q984" s="88"/>
      <c r="R984" s="86"/>
      <c r="S984" s="125"/>
      <c r="T984" s="543"/>
      <c r="U984" s="112"/>
      <c r="V984" s="100" t="b">
        <f>IF(G984&gt;0,IF(AD984="me","",G984))</f>
        <v>0</v>
      </c>
      <c r="W984" s="100"/>
      <c r="X984" s="100"/>
      <c r="Y984" s="201"/>
      <c r="Z984" s="829" t="str">
        <f t="shared" si="2434"/>
        <v/>
      </c>
      <c r="AA984" s="829"/>
      <c r="AB984" s="830" t="str">
        <f>IF(G984=0,"",IF(AD984="free","re-planting",IF(AD984="me","not NVP, by",IF($AD$8="yes",(VLOOKUP(A984,'Discount Lookup'!J:K,2)*G984*(1-$AC$1786)*(1+$AC$1788)),IF(AD984="NVP",(VLOOKUP(A984,'Discount Lookup'!J:K,2)*G984*(1-$AC$1786)*(1+$AC$1788)),IF(AD984="free","re-planting",IF(G984=0,"",IF($AD$8="",IF(AD984="me","not NVP, by",IF(AD984="",IF(G984&gt;0,(VLOOKUP(A984,'Discount Lookup'!J:K,2)*G984*(1-$AC$1786)*(1+$AC$1788)),""),"")),"not NVP, by"))))))))</f>
        <v/>
      </c>
      <c r="AC984" s="830"/>
      <c r="AD984" s="375" t="str">
        <f t="shared" si="2410"/>
        <v/>
      </c>
      <c r="AE984" s="833" t="str">
        <f t="shared" si="2479"/>
        <v/>
      </c>
      <c r="AF984" s="833"/>
      <c r="AG984" s="833"/>
      <c r="AH984" s="91">
        <f>IF(AD984="free",0,IF(AD984="me",0,IF(G984&gt;0,(VLOOKUP(A984,'Discount Lookup'!J:K,2)*G984),0)))</f>
        <v>0</v>
      </c>
      <c r="AI984" s="92" t="str">
        <f t="shared" ref="AI984:AI1015" si="2515">IF(G984=0,"",IF(AD984="free",(K984*(1-$H$1784)),IF($AD$8="me",(K984*(1-$H$1784)),IF(AD984="me",(K984*(1-$H$1784)),(K984*(1-$H$1784))+AB984))))</f>
        <v/>
      </c>
      <c r="AJ984" s="828" t="str">
        <f t="shared" si="2436"/>
        <v/>
      </c>
      <c r="AK984" s="828"/>
      <c r="AL984" s="313" t="str">
        <f t="shared" si="2488"/>
        <v/>
      </c>
      <c r="AM984" s="312"/>
      <c r="AN984" s="101"/>
      <c r="AO984" s="101"/>
      <c r="AP984" s="101"/>
      <c r="AQ984" s="101"/>
      <c r="AR984" s="101"/>
      <c r="AS984" s="101"/>
      <c r="AT984" s="101"/>
    </row>
    <row r="985" spans="1:46" ht="12.95" customHeight="1">
      <c r="A985" s="419">
        <v>3</v>
      </c>
      <c r="B985" s="87" t="s">
        <v>50</v>
      </c>
      <c r="C985" s="128" t="s">
        <v>51</v>
      </c>
      <c r="D985" s="129" t="s">
        <v>86</v>
      </c>
      <c r="E985" s="98">
        <v>26.95</v>
      </c>
      <c r="F985" s="705" t="s">
        <v>1306</v>
      </c>
      <c r="G985" s="357">
        <v>0</v>
      </c>
      <c r="H985" s="704" t="str">
        <f t="shared" ref="H985" si="2516">IF(G985=0,"",IF(F985="Qty=",IF(G985=1,"plant","plants"),IF(F985&gt;0.0001,"warranty","Error")))</f>
        <v/>
      </c>
      <c r="I985" s="98">
        <f t="shared" ref="I985" si="2517">IF(F985="Qty=",(E985*G985),((E985*(1-F985))*G985))</f>
        <v>0</v>
      </c>
      <c r="J985" s="98">
        <f>IF(H985="warranty",0,(I985*($J$1782)))</f>
        <v>0</v>
      </c>
      <c r="K985" s="831">
        <f t="shared" ref="K985" si="2518">I985+J985</f>
        <v>0</v>
      </c>
      <c r="L985" s="831"/>
      <c r="M985" s="832" t="str">
        <f>IF($H$1784=0,"",IF(G985=0,"",IF(F985="Qty=",CONCATENATE("$",ROUND(K985*(1-$H$1784),2)," with ",($H$1784*100),"% discount"),CONCATENATE("$",ROUND(K985*(1-$H$1784),2)," with ",(($H$1784*100+F985*100)-($H$1784*100*F985)),IF(F985&gt;0,"% discounts",IF($H$1781&gt;0,"% discounts","% discount"))))))</f>
        <v/>
      </c>
      <c r="N985" s="832"/>
      <c r="O985" s="832"/>
      <c r="P985" s="832"/>
      <c r="Q985" s="832"/>
      <c r="R985" s="832"/>
      <c r="S985" s="303">
        <f t="shared" ref="S985" si="2519">E985*G985</f>
        <v>0</v>
      </c>
      <c r="T985" s="541">
        <f>VLOOKUP(A985,'Discount Lookup'!D:E,2,FALSE)*G985</f>
        <v>0</v>
      </c>
      <c r="U985" s="83">
        <f>VLOOKUP(A985,'Discount Lookup'!G:H,2,FALSE)*G985</f>
        <v>0</v>
      </c>
      <c r="V985" s="100">
        <f>E985*($J$1782)*G985</f>
        <v>0</v>
      </c>
      <c r="W985" s="100">
        <f t="shared" ref="W985" si="2520">I985</f>
        <v>0</v>
      </c>
      <c r="X985" s="100" t="b">
        <f>IF(G985&gt;0,IF(AD985="me","",G985))</f>
        <v>0</v>
      </c>
      <c r="Y985" s="201"/>
      <c r="Z985" s="829" t="str">
        <f t="shared" si="2434"/>
        <v/>
      </c>
      <c r="AA985" s="829"/>
      <c r="AB985" s="830" t="str">
        <f>IF(G985=0,"",IF(AD985="free","re-planting",IF(AD985="me","not NVP, by",IF($AD$8="yes",(VLOOKUP(A985,'Discount Lookup'!J:K,2)*G985*(1-$AC$1786)*(1+$AC$1788)),IF(AD985="NVP",(VLOOKUP(A985,'Discount Lookup'!J:K,2)*G985*(1-$AC$1786)*(1+$AC$1788)),IF(AD985="free","re-planting",IF(G985=0,"",IF($AD$8="",IF(AD985="me","not NVP, by",IF(AD985="",IF(G985&gt;0,(VLOOKUP(A985,'Discount Lookup'!J:K,2)*G985*(1-$AC$1786)*(1+$AC$1788)),""),"")),"not NVP, by"))))))))</f>
        <v/>
      </c>
      <c r="AC985" s="830"/>
      <c r="AD985" s="375" t="str">
        <f t="shared" si="2410"/>
        <v/>
      </c>
      <c r="AE985" s="833" t="str">
        <f t="shared" si="2479"/>
        <v/>
      </c>
      <c r="AF985" s="833"/>
      <c r="AG985" s="833"/>
      <c r="AH985" s="91">
        <f>IF(AD985="free",0,IF(AD985="me",0,IF(G985&gt;0,(VLOOKUP(A985,'Discount Lookup'!J:K,2)*G985),0)))</f>
        <v>0</v>
      </c>
      <c r="AI985" s="92" t="str">
        <f t="shared" si="2515"/>
        <v/>
      </c>
      <c r="AJ985" s="828" t="str">
        <f t="shared" si="2436"/>
        <v/>
      </c>
      <c r="AK985" s="828"/>
      <c r="AL985" s="313" t="str">
        <f t="shared" si="2488"/>
        <v/>
      </c>
      <c r="AM985" s="312"/>
      <c r="AN985" s="101"/>
      <c r="AO985" s="101"/>
      <c r="AP985" s="101"/>
      <c r="AQ985" s="101"/>
      <c r="AR985" s="101"/>
      <c r="AS985" s="101"/>
      <c r="AT985" s="101"/>
    </row>
    <row r="986" spans="1:46" ht="12.95" customHeight="1">
      <c r="A986" s="468"/>
      <c r="B986" s="149" t="s">
        <v>570</v>
      </c>
      <c r="D986" s="118"/>
      <c r="E986" s="119"/>
      <c r="F986" s="711"/>
      <c r="G986" s="356"/>
      <c r="H986" s="745"/>
      <c r="I986" s="119"/>
      <c r="J986" s="119"/>
      <c r="K986" s="609"/>
      <c r="L986" s="609"/>
      <c r="M986" s="121"/>
      <c r="N986" s="121"/>
      <c r="O986" s="123"/>
      <c r="P986" s="124"/>
      <c r="Q986" s="124"/>
      <c r="R986" s="83"/>
      <c r="S986" s="82">
        <f>E986*G986</f>
        <v>0</v>
      </c>
      <c r="T986" s="540"/>
      <c r="U986" s="83"/>
      <c r="V986" s="100" t="b">
        <f>IF(G986&gt;0,IF(AD986="me","",G986))</f>
        <v>0</v>
      </c>
      <c r="W986" s="100"/>
      <c r="X986" s="100"/>
      <c r="Y986" s="201"/>
      <c r="Z986" s="829" t="str">
        <f t="shared" si="2434"/>
        <v/>
      </c>
      <c r="AA986" s="829"/>
      <c r="AB986" s="830" t="str">
        <f>IF(G986=0,"",IF(AD986="free","re-planting",IF(AD986="me","not NVP, by",IF($AD$8="yes",(VLOOKUP(A986,'Discount Lookup'!J:K,2)*G986*(1-$AC$1786)*(1+$AC$1788)),IF(AD986="NVP",(VLOOKUP(A986,'Discount Lookup'!J:K,2)*G986*(1-$AC$1786)*(1+$AC$1788)),IF(AD986="free","re-planting",IF(G986=0,"",IF($AD$8="",IF(AD986="me","not NVP, by",IF(AD986="",IF(G986&gt;0,(VLOOKUP(A986,'Discount Lookup'!J:K,2)*G986*(1-$AC$1786)*(1+$AC$1788)),""),"")),"not NVP, by"))))))))</f>
        <v/>
      </c>
      <c r="AC986" s="830"/>
      <c r="AD986" s="375" t="str">
        <f t="shared" si="2410"/>
        <v/>
      </c>
      <c r="AE986" s="833" t="str">
        <f t="shared" si="2479"/>
        <v/>
      </c>
      <c r="AF986" s="833"/>
      <c r="AG986" s="833"/>
      <c r="AH986" s="91">
        <f>IF(AD986="free",0,IF(AD986="me",0,IF(G986&gt;0,(VLOOKUP(A986,'Discount Lookup'!J:K,2)*G986),0)))</f>
        <v>0</v>
      </c>
      <c r="AI986" s="92" t="str">
        <f t="shared" si="2515"/>
        <v/>
      </c>
      <c r="AJ986" s="828" t="str">
        <f t="shared" si="2436"/>
        <v/>
      </c>
      <c r="AK986" s="828"/>
      <c r="AL986" s="313" t="str">
        <f t="shared" si="2488"/>
        <v/>
      </c>
      <c r="AM986" s="312"/>
      <c r="AN986" s="101"/>
      <c r="AO986" s="101"/>
      <c r="AP986" s="101"/>
      <c r="AQ986" s="101"/>
      <c r="AR986" s="101"/>
      <c r="AS986" s="101"/>
      <c r="AT986" s="101"/>
    </row>
    <row r="987" spans="1:46" ht="12.95" customHeight="1">
      <c r="A987" s="896" t="s">
        <v>571</v>
      </c>
      <c r="B987" s="897"/>
      <c r="C987" s="897"/>
      <c r="D987" s="897"/>
      <c r="E987" s="897"/>
      <c r="F987" s="897"/>
      <c r="G987" s="897"/>
      <c r="H987" s="776" t="s">
        <v>560</v>
      </c>
      <c r="I987" s="88" t="s">
        <v>79</v>
      </c>
      <c r="J987" s="86"/>
      <c r="K987" s="603" t="s">
        <v>45</v>
      </c>
      <c r="L987" s="601" t="s">
        <v>46</v>
      </c>
      <c r="M987" s="86"/>
      <c r="N987" s="87" t="s">
        <v>128</v>
      </c>
      <c r="O987" s="87"/>
      <c r="P987" s="88"/>
      <c r="Q987" s="88"/>
      <c r="R987" s="86"/>
      <c r="S987" s="125"/>
      <c r="T987" s="543"/>
      <c r="U987" s="89" t="s">
        <v>48</v>
      </c>
      <c r="V987" s="100" t="b">
        <f>IF(G987&gt;0,IF(AD987="me","",G987))</f>
        <v>0</v>
      </c>
      <c r="W987" s="100"/>
      <c r="X987" s="100"/>
      <c r="Y987" s="201"/>
      <c r="Z987" s="829" t="str">
        <f t="shared" si="2434"/>
        <v/>
      </c>
      <c r="AA987" s="829"/>
      <c r="AB987" s="830" t="str">
        <f>IF(G987=0,"",IF(AD987="free","re-planting",IF(AD987="me","not NVP, by",IF($AD$8="yes",(VLOOKUP(A987,'Discount Lookup'!J:K,2)*G987*(1-$AC$1786)*(1+$AC$1788)),IF(AD987="NVP",(VLOOKUP(A987,'Discount Lookup'!J:K,2)*G987*(1-$AC$1786)*(1+$AC$1788)),IF(AD987="free","re-planting",IF(G987=0,"",IF($AD$8="",IF(AD987="me","not NVP, by",IF(AD987="",IF(G987&gt;0,(VLOOKUP(A987,'Discount Lookup'!J:K,2)*G987*(1-$AC$1786)*(1+$AC$1788)),""),"")),"not NVP, by"))))))))</f>
        <v/>
      </c>
      <c r="AC987" s="830"/>
      <c r="AD987" s="375" t="str">
        <f t="shared" si="2410"/>
        <v/>
      </c>
      <c r="AE987" s="833" t="str">
        <f t="shared" si="2479"/>
        <v/>
      </c>
      <c r="AF987" s="833"/>
      <c r="AG987" s="833"/>
      <c r="AH987" s="91">
        <f>IF(AD987="free",0,IF(AD987="me",0,IF(G987&gt;0,(VLOOKUP(A987,'Discount Lookup'!J:K,2)*G987),0)))</f>
        <v>0</v>
      </c>
      <c r="AI987" s="92" t="str">
        <f t="shared" si="2515"/>
        <v/>
      </c>
      <c r="AJ987" s="828" t="str">
        <f t="shared" si="2436"/>
        <v/>
      </c>
      <c r="AK987" s="828"/>
      <c r="AL987" s="313" t="str">
        <f t="shared" si="2488"/>
        <v/>
      </c>
      <c r="AM987" s="312"/>
      <c r="AN987" s="101"/>
      <c r="AO987" s="101"/>
      <c r="AP987" s="101"/>
      <c r="AQ987" s="101"/>
      <c r="AR987" s="101"/>
      <c r="AS987" s="101"/>
      <c r="AT987" s="101"/>
    </row>
    <row r="988" spans="1:46" ht="12.95" customHeight="1">
      <c r="A988" s="419">
        <v>3</v>
      </c>
      <c r="B988" s="87" t="s">
        <v>50</v>
      </c>
      <c r="C988" s="128" t="s">
        <v>135</v>
      </c>
      <c r="D988" s="129" t="s">
        <v>87</v>
      </c>
      <c r="E988" s="98">
        <v>28.95</v>
      </c>
      <c r="F988" s="705" t="s">
        <v>1306</v>
      </c>
      <c r="G988" s="357">
        <v>0</v>
      </c>
      <c r="H988" s="704" t="str">
        <f t="shared" ref="H988:H990" si="2521">IF(G988=0,"",IF(F988="Qty=",IF(G988=1,"plant","plants"),IF(F988&gt;0.0001,"warranty","Error")))</f>
        <v/>
      </c>
      <c r="I988" s="98">
        <f t="shared" ref="I988:I990" si="2522">IF(F988="Qty=",(E988*G988),((E988*(1-F988))*G988))</f>
        <v>0</v>
      </c>
      <c r="J988" s="98">
        <f>IF(H988="warranty",0,(I988*($J$1782)))</f>
        <v>0</v>
      </c>
      <c r="K988" s="831">
        <f t="shared" ref="K988:K990" si="2523">I988+J988</f>
        <v>0</v>
      </c>
      <c r="L988" s="831"/>
      <c r="M988" s="832" t="str">
        <f>IF($H$1784=0,"",IF(G988=0,"",IF(F988="Qty=",CONCATENATE("$",ROUND(K988*(1-$H$1784),2)," with ",($H$1784*100),"% discount"),CONCATENATE("$",ROUND(K988*(1-$H$1784),2)," with ",(($H$1784*100+F988*100)-($H$1784*100*F988)),IF(F988&gt;0,"% discounts",IF($H$1781&gt;0,"% discounts","% discount"))))))</f>
        <v/>
      </c>
      <c r="N988" s="832"/>
      <c r="O988" s="832"/>
      <c r="P988" s="832"/>
      <c r="Q988" s="832"/>
      <c r="R988" s="832"/>
      <c r="S988" s="303">
        <f t="shared" ref="S988" si="2524">E988*G988</f>
        <v>0</v>
      </c>
      <c r="T988" s="541">
        <f>VLOOKUP(A988,'Discount Lookup'!D:E,2,FALSE)*G988</f>
        <v>0</v>
      </c>
      <c r="U988" s="83">
        <f>VLOOKUP(A988,'Discount Lookup'!G:H,2,FALSE)*G988</f>
        <v>0</v>
      </c>
      <c r="V988" s="100">
        <f>E988*($J$1782)*G988</f>
        <v>0</v>
      </c>
      <c r="W988" s="100">
        <f t="shared" ref="W988" si="2525">I988</f>
        <v>0</v>
      </c>
      <c r="X988" s="100" t="b">
        <f>IF(G988&gt;0,IF(AD988="me","",G988))</f>
        <v>0</v>
      </c>
      <c r="Y988" s="201"/>
      <c r="Z988" s="829" t="str">
        <f t="shared" si="2434"/>
        <v/>
      </c>
      <c r="AA988" s="829"/>
      <c r="AB988" s="830" t="str">
        <f>IF(G988=0,"",IF(AD988="free","re-planting",IF(AD988="me","not NVP, by",IF($AD$8="yes",(VLOOKUP(A988,'Discount Lookup'!J:K,2)*G988*(1-$AC$1786)*(1+$AC$1788)),IF(AD988="NVP",(VLOOKUP(A988,'Discount Lookup'!J:K,2)*G988*(1-$AC$1786)*(1+$AC$1788)),IF(AD988="free","re-planting",IF(G988=0,"",IF($AD$8="",IF(AD988="me","not NVP, by",IF(AD988="",IF(G988&gt;0,(VLOOKUP(A988,'Discount Lookup'!J:K,2)*G988*(1-$AC$1786)*(1+$AC$1788)),""),"")),"not NVP, by"))))))))</f>
        <v/>
      </c>
      <c r="AC988" s="830"/>
      <c r="AD988" s="375" t="str">
        <f t="shared" si="2410"/>
        <v/>
      </c>
      <c r="AE988" s="833" t="str">
        <f t="shared" si="2479"/>
        <v/>
      </c>
      <c r="AF988" s="833"/>
      <c r="AG988" s="833"/>
      <c r="AH988" s="91">
        <f>IF(AD988="free",0,IF(AD988="me",0,IF(G988&gt;0,(VLOOKUP(A988,'Discount Lookup'!J:K,2)*G988),0)))</f>
        <v>0</v>
      </c>
      <c r="AI988" s="92" t="str">
        <f t="shared" si="2515"/>
        <v/>
      </c>
      <c r="AJ988" s="828" t="str">
        <f t="shared" si="2436"/>
        <v/>
      </c>
      <c r="AK988" s="828"/>
      <c r="AL988" s="313" t="str">
        <f t="shared" si="2488"/>
        <v/>
      </c>
      <c r="AM988" s="312"/>
      <c r="AN988" s="101"/>
      <c r="AO988" s="101"/>
      <c r="AP988" s="101"/>
      <c r="AQ988" s="101"/>
      <c r="AR988" s="101"/>
      <c r="AS988" s="101"/>
      <c r="AT988" s="101"/>
    </row>
    <row r="989" spans="1:46" ht="12.95" customHeight="1">
      <c r="A989" s="419">
        <v>3</v>
      </c>
      <c r="B989" s="87" t="s">
        <v>50</v>
      </c>
      <c r="C989" s="128" t="s">
        <v>1458</v>
      </c>
      <c r="D989" s="129" t="s">
        <v>54</v>
      </c>
      <c r="E989" s="98">
        <v>31.95</v>
      </c>
      <c r="F989" s="705" t="s">
        <v>1306</v>
      </c>
      <c r="G989" s="357">
        <v>0</v>
      </c>
      <c r="H989" s="704" t="str">
        <f t="shared" si="2521"/>
        <v/>
      </c>
      <c r="I989" s="98">
        <f t="shared" si="2522"/>
        <v>0</v>
      </c>
      <c r="J989" s="98">
        <f>IF(H989="warranty",0,(I989*($J$1782)))</f>
        <v>0</v>
      </c>
      <c r="K989" s="831">
        <f t="shared" si="2523"/>
        <v>0</v>
      </c>
      <c r="L989" s="831"/>
      <c r="M989" s="832" t="str">
        <f>IF($H$1784=0,"",IF(G989=0,"",IF(F989="Qty=",CONCATENATE("$",ROUND(K989*(1-$H$1784),2)," with ",($H$1784*100),"% discount"),CONCATENATE("$",ROUND(K989*(1-$H$1784),2)," with ",(($H$1784*100+F989*100)-($H$1784*100*F989)),IF(F989&gt;0,"% discounts",IF($H$1781&gt;0,"% discounts","% discount"))))))</f>
        <v/>
      </c>
      <c r="N989" s="832"/>
      <c r="O989" s="832"/>
      <c r="P989" s="832"/>
      <c r="Q989" s="832"/>
      <c r="R989" s="832"/>
      <c r="S989" s="303">
        <f t="shared" ref="S989:S990" si="2526">E989*G989</f>
        <v>0</v>
      </c>
      <c r="T989" s="541">
        <f>VLOOKUP(A989,'Discount Lookup'!D:E,2,FALSE)*G989</f>
        <v>0</v>
      </c>
      <c r="U989" s="83">
        <f>VLOOKUP(A989,'Discount Lookup'!G:H,2,FALSE)*G989</f>
        <v>0</v>
      </c>
      <c r="V989" s="100">
        <f>E989*($J$1782)*G989</f>
        <v>0</v>
      </c>
      <c r="W989" s="100">
        <f t="shared" ref="W989:W990" si="2527">I989</f>
        <v>0</v>
      </c>
      <c r="X989" s="100" t="b">
        <f>IF(G989&gt;0,IF(AD989="me","",G989))</f>
        <v>0</v>
      </c>
      <c r="Y989" s="201"/>
      <c r="Z989" s="829" t="str">
        <f t="shared" si="2434"/>
        <v/>
      </c>
      <c r="AA989" s="829"/>
      <c r="AB989" s="830" t="str">
        <f>IF(G989=0,"",IF(AD989="free","re-planting",IF(AD989="me","not NVP, by",IF($AD$8="yes",(VLOOKUP(A989,'Discount Lookup'!J:K,2)*G989*(1-$AC$1786)*(1+$AC$1788)),IF(AD989="NVP",(VLOOKUP(A989,'Discount Lookup'!J:K,2)*G989*(1-$AC$1786)*(1+$AC$1788)),IF(AD989="free","re-planting",IF(G989=0,"",IF($AD$8="",IF(AD989="me","not NVP, by",IF(AD989="",IF(G989&gt;0,(VLOOKUP(A989,'Discount Lookup'!J:K,2)*G989*(1-$AC$1786)*(1+$AC$1788)),""),"")),"not NVP, by"))))))))</f>
        <v/>
      </c>
      <c r="AC989" s="830"/>
      <c r="AD989" s="375" t="str">
        <f t="shared" si="2410"/>
        <v/>
      </c>
      <c r="AE989" s="833" t="str">
        <f t="shared" si="2479"/>
        <v/>
      </c>
      <c r="AF989" s="833"/>
      <c r="AG989" s="833"/>
      <c r="AH989" s="91">
        <f>IF(AD989="free",0,IF(AD989="me",0,IF(G989&gt;0,(VLOOKUP(A989,'Discount Lookup'!J:K,2)*G989),0)))</f>
        <v>0</v>
      </c>
      <c r="AI989" s="92" t="str">
        <f t="shared" si="2515"/>
        <v/>
      </c>
      <c r="AJ989" s="828" t="str">
        <f t="shared" si="2436"/>
        <v/>
      </c>
      <c r="AK989" s="828"/>
      <c r="AL989" s="313" t="str">
        <f t="shared" si="2488"/>
        <v/>
      </c>
      <c r="AM989" s="312"/>
      <c r="AN989" s="101"/>
      <c r="AO989" s="101"/>
      <c r="AP989" s="101"/>
      <c r="AQ989" s="101"/>
      <c r="AR989" s="101"/>
      <c r="AS989" s="101"/>
      <c r="AT989" s="101"/>
    </row>
    <row r="990" spans="1:46" ht="12.95" customHeight="1">
      <c r="A990" s="419">
        <v>7</v>
      </c>
      <c r="B990" s="87" t="s">
        <v>50</v>
      </c>
      <c r="C990" s="128" t="s">
        <v>1524</v>
      </c>
      <c r="D990" s="129" t="s">
        <v>90</v>
      </c>
      <c r="E990" s="98">
        <v>82.95</v>
      </c>
      <c r="F990" s="705" t="s">
        <v>1306</v>
      </c>
      <c r="G990" s="357">
        <v>0</v>
      </c>
      <c r="H990" s="704" t="str">
        <f t="shared" si="2521"/>
        <v/>
      </c>
      <c r="I990" s="98">
        <f t="shared" si="2522"/>
        <v>0</v>
      </c>
      <c r="J990" s="98">
        <f>IF(H990="warranty",0,(I990*($J$1782)))</f>
        <v>0</v>
      </c>
      <c r="K990" s="831">
        <f t="shared" si="2523"/>
        <v>0</v>
      </c>
      <c r="L990" s="831"/>
      <c r="M990" s="832" t="str">
        <f>IF($H$1784=0,"",IF(G990=0,"",IF(F990="Qty=",CONCATENATE("$",ROUND(K990*(1-$H$1784),2)," with ",($H$1784*100),"% discount"),CONCATENATE("$",ROUND(K990*(1-$H$1784),2)," with ",(($H$1784*100+F990*100)-($H$1784*100*F990)),IF(F990&gt;0,"% discounts",IF($H$1781&gt;0,"% discounts","% discount"))))))</f>
        <v/>
      </c>
      <c r="N990" s="832"/>
      <c r="O990" s="832"/>
      <c r="P990" s="832"/>
      <c r="Q990" s="832"/>
      <c r="R990" s="832"/>
      <c r="S990" s="303">
        <f t="shared" si="2526"/>
        <v>0</v>
      </c>
      <c r="T990" s="541">
        <f>VLOOKUP(A990,'Discount Lookup'!D:E,2,FALSE)*G990</f>
        <v>0</v>
      </c>
      <c r="U990" s="83">
        <f>VLOOKUP(A990,'Discount Lookup'!G:H,2,FALSE)*G990</f>
        <v>0</v>
      </c>
      <c r="V990" s="100">
        <f>E990*($J$1782)*G990</f>
        <v>0</v>
      </c>
      <c r="W990" s="100">
        <f t="shared" si="2527"/>
        <v>0</v>
      </c>
      <c r="X990" s="100" t="b">
        <f>IF(G990&gt;0,IF(AD990="me","",G990))</f>
        <v>0</v>
      </c>
      <c r="Y990" s="201"/>
      <c r="Z990" s="829" t="str">
        <f t="shared" si="2434"/>
        <v/>
      </c>
      <c r="AA990" s="829"/>
      <c r="AB990" s="830" t="str">
        <f>IF(G990=0,"",IF(AD990="free","re-planting",IF(AD990="me","not NVP, by",IF($AD$8="yes",(VLOOKUP(A990,'Discount Lookup'!J:K,2)*G990*(1-$AC$1786)*(1+$AC$1788)),IF(AD990="NVP",(VLOOKUP(A990,'Discount Lookup'!J:K,2)*G990*(1-$AC$1786)*(1+$AC$1788)),IF(AD990="free","re-planting",IF(G990=0,"",IF($AD$8="",IF(AD990="me","not NVP, by",IF(AD990="",IF(G990&gt;0,(VLOOKUP(A990,'Discount Lookup'!J:K,2)*G990*(1-$AC$1786)*(1+$AC$1788)),""),"")),"not NVP, by"))))))))</f>
        <v/>
      </c>
      <c r="AC990" s="830"/>
      <c r="AD990" s="375" t="str">
        <f t="shared" si="2410"/>
        <v/>
      </c>
      <c r="AE990" s="833" t="str">
        <f t="shared" ref="AE990" si="2528">IF(G990&gt;0,(CONCATENATE((G990)," quantity, ",(A990)," ",B990)),"")</f>
        <v/>
      </c>
      <c r="AF990" s="833"/>
      <c r="AG990" s="833"/>
      <c r="AH990" s="91">
        <f>IF(AD990="free",0,IF(AD990="me",0,IF(G990&gt;0,(VLOOKUP(A990,'Discount Lookup'!J:K,2)*G990),0)))</f>
        <v>0</v>
      </c>
      <c r="AI990" s="92" t="str">
        <f t="shared" si="2515"/>
        <v/>
      </c>
      <c r="AJ990" s="828" t="str">
        <f t="shared" si="2436"/>
        <v/>
      </c>
      <c r="AK990" s="828"/>
      <c r="AL990" s="313" t="str">
        <f t="shared" si="2488"/>
        <v/>
      </c>
      <c r="AM990" s="312"/>
      <c r="AN990" s="101"/>
      <c r="AO990" s="101"/>
      <c r="AP990" s="101"/>
      <c r="AQ990" s="101"/>
      <c r="AR990" s="101"/>
      <c r="AS990" s="101"/>
      <c r="AT990" s="101"/>
    </row>
    <row r="991" spans="1:46" ht="12.95" customHeight="1">
      <c r="A991" s="468"/>
      <c r="B991" s="149" t="s">
        <v>572</v>
      </c>
      <c r="C991" s="117"/>
      <c r="D991" s="118"/>
      <c r="E991" s="119"/>
      <c r="F991" s="711"/>
      <c r="G991" s="356"/>
      <c r="H991" s="745"/>
      <c r="I991" s="119"/>
      <c r="J991" s="840"/>
      <c r="K991" s="840"/>
      <c r="L991" s="840"/>
      <c r="M991" s="840"/>
      <c r="N991" s="840"/>
      <c r="O991" s="123"/>
      <c r="P991" s="124"/>
      <c r="Q991" s="841" t="s">
        <v>125</v>
      </c>
      <c r="R991" s="841"/>
      <c r="S991" s="841"/>
      <c r="T991" s="841"/>
      <c r="U991" s="841"/>
      <c r="V991" s="841"/>
      <c r="W991" s="286"/>
      <c r="X991" s="286"/>
      <c r="Y991" s="794"/>
      <c r="Z991" s="829" t="str">
        <f t="shared" si="2434"/>
        <v/>
      </c>
      <c r="AA991" s="829"/>
      <c r="AB991" s="830" t="str">
        <f>IF(G991=0,"",IF(AD991="free","re-planting",IF(AD991="me","not NVP, by",IF($AD$8="yes",(VLOOKUP(A991,'Discount Lookup'!J:K,2)*G991*(1-$AC$1786)*(1+$AC$1788)),IF(AD991="NVP",(VLOOKUP(A991,'Discount Lookup'!J:K,2)*G991*(1-$AC$1786)*(1+$AC$1788)),IF(AD991="free","re-planting",IF(G991=0,"",IF($AD$8="",IF(AD991="me","not NVP, by",IF(AD991="",IF(G991&gt;0,(VLOOKUP(A991,'Discount Lookup'!J:K,2)*G991*(1-$AC$1786)*(1+$AC$1788)),""),"")),"not NVP, by"))))))))</f>
        <v/>
      </c>
      <c r="AC991" s="830"/>
      <c r="AD991" s="375" t="str">
        <f t="shared" si="2410"/>
        <v/>
      </c>
      <c r="AE991" s="833" t="str">
        <f t="shared" si="2479"/>
        <v/>
      </c>
      <c r="AF991" s="833"/>
      <c r="AG991" s="833"/>
      <c r="AH991" s="91">
        <f>IF(AD991="free",0,IF(AD991="me",0,IF(G991&gt;0,(VLOOKUP(A991,'Discount Lookup'!J:K,2)*G991),0)))</f>
        <v>0</v>
      </c>
      <c r="AI991" s="92" t="str">
        <f t="shared" si="2515"/>
        <v/>
      </c>
      <c r="AJ991" s="828" t="str">
        <f t="shared" si="2436"/>
        <v/>
      </c>
      <c r="AK991" s="828"/>
      <c r="AL991" s="313" t="str">
        <f t="shared" si="2488"/>
        <v/>
      </c>
      <c r="AM991" s="312"/>
      <c r="AN991" s="101"/>
      <c r="AO991" s="101"/>
      <c r="AP991" s="101"/>
      <c r="AQ991" s="101"/>
      <c r="AR991" s="101"/>
      <c r="AS991" s="101"/>
      <c r="AT991" s="101"/>
    </row>
    <row r="992" spans="1:46" ht="12.95" customHeight="1">
      <c r="A992" s="896" t="s">
        <v>573</v>
      </c>
      <c r="B992" s="897"/>
      <c r="C992" s="897"/>
      <c r="D992" s="897"/>
      <c r="E992" s="897"/>
      <c r="F992" s="897"/>
      <c r="G992" s="897"/>
      <c r="H992" s="776" t="s">
        <v>560</v>
      </c>
      <c r="I992" s="88" t="s">
        <v>79</v>
      </c>
      <c r="J992" s="86"/>
      <c r="K992" s="603" t="s">
        <v>45</v>
      </c>
      <c r="L992" s="601" t="s">
        <v>46</v>
      </c>
      <c r="M992" s="86"/>
      <c r="N992" s="87" t="s">
        <v>128</v>
      </c>
      <c r="O992" s="87"/>
      <c r="P992" s="88"/>
      <c r="Q992" s="88"/>
      <c r="R992" s="86"/>
      <c r="S992" s="125"/>
      <c r="T992" s="543"/>
      <c r="U992" s="89" t="s">
        <v>48</v>
      </c>
      <c r="V992" s="100" t="b">
        <f>IF(G992&gt;0,IF(AD992="me","",G992))</f>
        <v>0</v>
      </c>
      <c r="W992" s="100"/>
      <c r="X992" s="100"/>
      <c r="Y992" s="201"/>
      <c r="Z992" s="829" t="str">
        <f t="shared" si="2434"/>
        <v/>
      </c>
      <c r="AA992" s="829"/>
      <c r="AB992" s="830" t="str">
        <f>IF(G992=0,"",IF(AD992="free","re-planting",IF(AD992="me","not NVP, by",IF($AD$8="yes",(VLOOKUP(A992,'Discount Lookup'!J:K,2)*G992*(1-$AC$1786)*(1+$AC$1788)),IF(AD992="NVP",(VLOOKUP(A992,'Discount Lookup'!J:K,2)*G992*(1-$AC$1786)*(1+$AC$1788)),IF(AD992="free","re-planting",IF(G992=0,"",IF($AD$8="",IF(AD992="me","not NVP, by",IF(AD992="",IF(G992&gt;0,(VLOOKUP(A992,'Discount Lookup'!J:K,2)*G992*(1-$AC$1786)*(1+$AC$1788)),""),"")),"not NVP, by"))))))))</f>
        <v/>
      </c>
      <c r="AC992" s="830"/>
      <c r="AD992" s="375" t="str">
        <f t="shared" si="2410"/>
        <v/>
      </c>
      <c r="AE992" s="833" t="str">
        <f t="shared" si="2479"/>
        <v/>
      </c>
      <c r="AF992" s="833"/>
      <c r="AG992" s="833"/>
      <c r="AH992" s="91">
        <f>IF(AD992="free",0,IF(AD992="me",0,IF(G992&gt;0,(VLOOKUP(A992,'Discount Lookup'!J:K,2)*G992),0)))</f>
        <v>0</v>
      </c>
      <c r="AI992" s="92" t="str">
        <f t="shared" si="2515"/>
        <v/>
      </c>
      <c r="AJ992" s="828" t="str">
        <f t="shared" si="2436"/>
        <v/>
      </c>
      <c r="AK992" s="828"/>
      <c r="AL992" s="313" t="str">
        <f t="shared" si="2488"/>
        <v/>
      </c>
      <c r="AM992" s="312"/>
      <c r="AN992" s="101"/>
      <c r="AO992" s="101"/>
      <c r="AP992" s="101"/>
      <c r="AQ992" s="101"/>
      <c r="AR992" s="101"/>
      <c r="AS992" s="101"/>
      <c r="AT992" s="101"/>
    </row>
    <row r="993" spans="1:46" ht="12.95" customHeight="1">
      <c r="A993" s="419">
        <v>3</v>
      </c>
      <c r="B993" s="87" t="s">
        <v>50</v>
      </c>
      <c r="C993" s="128" t="s">
        <v>99</v>
      </c>
      <c r="D993" s="129" t="s">
        <v>86</v>
      </c>
      <c r="E993" s="98">
        <v>24.95</v>
      </c>
      <c r="F993" s="705" t="s">
        <v>1306</v>
      </c>
      <c r="G993" s="357">
        <v>0</v>
      </c>
      <c r="H993" s="704" t="str">
        <f t="shared" ref="H993:H998" si="2529">IF(G993=0,"",IF(F993="Qty=",IF(G993=1,"plant","plants"),IF(F993&gt;0.0001,"warranty","Error")))</f>
        <v/>
      </c>
      <c r="I993" s="98">
        <f t="shared" ref="I993:I998" si="2530">IF(F993="Qty=",(E993*G993),((E993*(1-F993))*G993))</f>
        <v>0</v>
      </c>
      <c r="J993" s="98">
        <f t="shared" ref="J993:J998" si="2531">IF(H993="warranty",0,(I993*($J$1782)))</f>
        <v>0</v>
      </c>
      <c r="K993" s="831">
        <f t="shared" ref="K993:K998" si="2532">I993+J993</f>
        <v>0</v>
      </c>
      <c r="L993" s="831"/>
      <c r="M993" s="832" t="str">
        <f t="shared" ref="M993:M998" si="2533">IF($H$1784=0,"",IF(G993=0,"",IF(F993="Qty=",CONCATENATE("$",ROUND(K993*(1-$H$1784),2)," with ",($H$1784*100),"% discount"),CONCATENATE("$",ROUND(K993*(1-$H$1784),2)," with ",(($H$1784*100+F993*100)-($H$1784*100*F993)),IF(F993&gt;0,"% discounts",IF($H$1781&gt;0,"% discounts","% discount"))))))</f>
        <v/>
      </c>
      <c r="N993" s="832"/>
      <c r="O993" s="832"/>
      <c r="P993" s="832"/>
      <c r="Q993" s="832"/>
      <c r="R993" s="832"/>
      <c r="S993" s="303">
        <f t="shared" ref="S993:S998" si="2534">E993*G993</f>
        <v>0</v>
      </c>
      <c r="T993" s="541">
        <f>VLOOKUP(A993,'Discount Lookup'!D:E,2,FALSE)*G993</f>
        <v>0</v>
      </c>
      <c r="U993" s="83">
        <f>VLOOKUP(A993,'Discount Lookup'!G:H,2,FALSE)*G993</f>
        <v>0</v>
      </c>
      <c r="V993" s="100">
        <f t="shared" ref="V993:V998" si="2535">E993*($J$1782)*G993</f>
        <v>0</v>
      </c>
      <c r="W993" s="100">
        <f t="shared" ref="W993:W998" si="2536">I993</f>
        <v>0</v>
      </c>
      <c r="X993" s="100" t="b">
        <f t="shared" ref="X993:X998" si="2537">IF(G993&gt;0,IF(AD993="me","",G993))</f>
        <v>0</v>
      </c>
      <c r="Y993" s="201"/>
      <c r="Z993" s="829" t="str">
        <f t="shared" si="2434"/>
        <v/>
      </c>
      <c r="AA993" s="829"/>
      <c r="AB993" s="830" t="str">
        <f>IF(G993=0,"",IF(AD993="free","re-planting",IF(AD993="me","not NVP, by",IF($AD$8="yes",(VLOOKUP(A993,'Discount Lookup'!J:K,2)*G993*(1-$AC$1786)*(1+$AC$1788)),IF(AD993="NVP",(VLOOKUP(A993,'Discount Lookup'!J:K,2)*G993*(1-$AC$1786)*(1+$AC$1788)),IF(AD993="free","re-planting",IF(G993=0,"",IF($AD$8="",IF(AD993="me","not NVP, by",IF(AD993="",IF(G993&gt;0,(VLOOKUP(A993,'Discount Lookup'!J:K,2)*G993*(1-$AC$1786)*(1+$AC$1788)),""),"")),"not NVP, by"))))))))</f>
        <v/>
      </c>
      <c r="AC993" s="830"/>
      <c r="AD993" s="375" t="str">
        <f t="shared" si="2410"/>
        <v/>
      </c>
      <c r="AE993" s="833" t="str">
        <f t="shared" si="2479"/>
        <v/>
      </c>
      <c r="AF993" s="833"/>
      <c r="AG993" s="833"/>
      <c r="AH993" s="91">
        <f>IF(AD993="free",0,IF(AD993="me",0,IF(G993&gt;0,(VLOOKUP(A993,'Discount Lookup'!J:K,2)*G993),0)))</f>
        <v>0</v>
      </c>
      <c r="AI993" s="92" t="str">
        <f t="shared" si="2515"/>
        <v/>
      </c>
      <c r="AJ993" s="828" t="str">
        <f t="shared" si="2436"/>
        <v/>
      </c>
      <c r="AK993" s="828"/>
      <c r="AL993" s="313" t="str">
        <f t="shared" si="2488"/>
        <v/>
      </c>
      <c r="AM993" s="312"/>
      <c r="AN993" s="101"/>
      <c r="AO993" s="101"/>
      <c r="AP993" s="101"/>
      <c r="AQ993" s="101"/>
      <c r="AR993" s="101"/>
      <c r="AS993" s="101"/>
      <c r="AT993" s="101"/>
    </row>
    <row r="994" spans="1:46" ht="12.95" customHeight="1">
      <c r="A994" s="419">
        <v>3</v>
      </c>
      <c r="B994" s="87" t="s">
        <v>50</v>
      </c>
      <c r="C994" s="128" t="s">
        <v>99</v>
      </c>
      <c r="D994" s="129" t="s">
        <v>62</v>
      </c>
      <c r="E994" s="98">
        <v>24.95</v>
      </c>
      <c r="F994" s="705" t="s">
        <v>1306</v>
      </c>
      <c r="G994" s="357">
        <v>0</v>
      </c>
      <c r="H994" s="704" t="str">
        <f t="shared" si="2529"/>
        <v/>
      </c>
      <c r="I994" s="98">
        <f t="shared" si="2530"/>
        <v>0</v>
      </c>
      <c r="J994" s="98">
        <f t="shared" si="2531"/>
        <v>0</v>
      </c>
      <c r="K994" s="831">
        <f t="shared" si="2532"/>
        <v>0</v>
      </c>
      <c r="L994" s="831"/>
      <c r="M994" s="832" t="str">
        <f t="shared" si="2533"/>
        <v/>
      </c>
      <c r="N994" s="832"/>
      <c r="O994" s="832"/>
      <c r="P994" s="832"/>
      <c r="Q994" s="832"/>
      <c r="R994" s="832"/>
      <c r="S994" s="303">
        <f>E994*G994</f>
        <v>0</v>
      </c>
      <c r="T994" s="541">
        <f>VLOOKUP(A994,'Discount Lookup'!D:E,2,FALSE)*G994</f>
        <v>0</v>
      </c>
      <c r="U994" s="83">
        <f>VLOOKUP(A994,'Discount Lookup'!G:H,2,FALSE)*G994</f>
        <v>0</v>
      </c>
      <c r="V994" s="100">
        <f t="shared" si="2535"/>
        <v>0</v>
      </c>
      <c r="W994" s="100">
        <f>I994</f>
        <v>0</v>
      </c>
      <c r="X994" s="100" t="b">
        <f t="shared" si="2537"/>
        <v>0</v>
      </c>
      <c r="Y994" s="201"/>
      <c r="Z994" s="829" t="str">
        <f t="shared" si="2434"/>
        <v/>
      </c>
      <c r="AA994" s="829"/>
      <c r="AB994" s="830" t="str">
        <f>IF(G994=0,"",IF(AD994="free","re-planting",IF(AD994="me","not NVP, by",IF($AD$8="yes",(VLOOKUP(A994,'Discount Lookup'!J:K,2)*G994*(1-$AC$1786)*(1+$AC$1788)),IF(AD994="NVP",(VLOOKUP(A994,'Discount Lookup'!J:K,2)*G994*(1-$AC$1786)*(1+$AC$1788)),IF(AD994="free","re-planting",IF(G994=0,"",IF($AD$8="",IF(AD994="me","not NVP, by",IF(AD994="",IF(G994&gt;0,(VLOOKUP(A994,'Discount Lookup'!J:K,2)*G994*(1-$AC$1786)*(1+$AC$1788)),""),"")),"not NVP, by"))))))))</f>
        <v/>
      </c>
      <c r="AC994" s="830"/>
      <c r="AD994" s="375" t="str">
        <f t="shared" si="2410"/>
        <v/>
      </c>
      <c r="AE994" s="833" t="str">
        <f t="shared" si="2479"/>
        <v/>
      </c>
      <c r="AF994" s="833"/>
      <c r="AG994" s="833"/>
      <c r="AH994" s="91">
        <f>IF(AD994="free",0,IF(AD994="me",0,IF(G994&gt;0,(VLOOKUP(A994,'Discount Lookup'!J:K,2)*G994),0)))</f>
        <v>0</v>
      </c>
      <c r="AI994" s="92" t="str">
        <f t="shared" si="2515"/>
        <v/>
      </c>
      <c r="AJ994" s="828" t="str">
        <f t="shared" si="2436"/>
        <v/>
      </c>
      <c r="AK994" s="828"/>
      <c r="AL994" s="313" t="str">
        <f t="shared" si="2488"/>
        <v/>
      </c>
      <c r="AM994" s="312"/>
      <c r="AN994" s="101"/>
      <c r="AO994" s="101"/>
      <c r="AP994" s="101"/>
      <c r="AQ994" s="101"/>
      <c r="AR994" s="101"/>
      <c r="AS994" s="101"/>
      <c r="AT994" s="101"/>
    </row>
    <row r="995" spans="1:46" ht="12.95" customHeight="1">
      <c r="A995" s="419">
        <v>7</v>
      </c>
      <c r="B995" s="87" t="s">
        <v>50</v>
      </c>
      <c r="C995" s="128" t="s">
        <v>135</v>
      </c>
      <c r="D995" s="129" t="s">
        <v>62</v>
      </c>
      <c r="E995" s="98">
        <v>56.95</v>
      </c>
      <c r="F995" s="705" t="s">
        <v>1306</v>
      </c>
      <c r="G995" s="357">
        <v>0</v>
      </c>
      <c r="H995" s="704" t="str">
        <f t="shared" si="2529"/>
        <v/>
      </c>
      <c r="I995" s="98">
        <f t="shared" si="2530"/>
        <v>0</v>
      </c>
      <c r="J995" s="98">
        <f t="shared" si="2531"/>
        <v>0</v>
      </c>
      <c r="K995" s="831">
        <f t="shared" si="2532"/>
        <v>0</v>
      </c>
      <c r="L995" s="831"/>
      <c r="M995" s="832" t="str">
        <f t="shared" si="2533"/>
        <v/>
      </c>
      <c r="N995" s="832"/>
      <c r="O995" s="832"/>
      <c r="P995" s="832"/>
      <c r="Q995" s="832"/>
      <c r="R995" s="832"/>
      <c r="S995" s="303">
        <f>E995*G995</f>
        <v>0</v>
      </c>
      <c r="T995" s="541">
        <f>VLOOKUP(A995,'Discount Lookup'!D:E,2,FALSE)*G995</f>
        <v>0</v>
      </c>
      <c r="U995" s="83">
        <f>VLOOKUP(A995,'Discount Lookup'!G:H,2,FALSE)*G995</f>
        <v>0</v>
      </c>
      <c r="V995" s="100">
        <f t="shared" si="2535"/>
        <v>0</v>
      </c>
      <c r="W995" s="100">
        <f>I995</f>
        <v>0</v>
      </c>
      <c r="X995" s="100" t="b">
        <f t="shared" si="2537"/>
        <v>0</v>
      </c>
      <c r="Y995" s="201"/>
      <c r="Z995" s="829" t="str">
        <f t="shared" si="2434"/>
        <v/>
      </c>
      <c r="AA995" s="829"/>
      <c r="AB995" s="830" t="str">
        <f>IF(G995=0,"",IF(AD995="free","re-planting",IF(AD995="me","not NVP, by",IF($AD$8="yes",(VLOOKUP(A995,'Discount Lookup'!J:K,2)*G995*(1-$AC$1786)*(1+$AC$1788)),IF(AD995="NVP",(VLOOKUP(A995,'Discount Lookup'!J:K,2)*G995*(1-$AC$1786)*(1+$AC$1788)),IF(AD995="free","re-planting",IF(G995=0,"",IF($AD$8="",IF(AD995="me","not NVP, by",IF(AD995="",IF(G995&gt;0,(VLOOKUP(A995,'Discount Lookup'!J:K,2)*G995*(1-$AC$1786)*(1+$AC$1788)),""),"")),"not NVP, by"))))))))</f>
        <v/>
      </c>
      <c r="AC995" s="830"/>
      <c r="AD995" s="375" t="str">
        <f t="shared" si="2410"/>
        <v/>
      </c>
      <c r="AE995" s="833" t="str">
        <f t="shared" ref="AE995" si="2538">IF(G995&gt;0,(CONCATENATE((G995)," quantity, ",(A995)," ",B995)),"")</f>
        <v/>
      </c>
      <c r="AF995" s="833"/>
      <c r="AG995" s="833"/>
      <c r="AH995" s="91">
        <f>IF(AD995="free",0,IF(AD995="me",0,IF(G995&gt;0,(VLOOKUP(A995,'Discount Lookup'!J:K,2)*G995),0)))</f>
        <v>0</v>
      </c>
      <c r="AI995" s="92" t="str">
        <f t="shared" si="2515"/>
        <v/>
      </c>
      <c r="AJ995" s="828" t="str">
        <f t="shared" si="2436"/>
        <v/>
      </c>
      <c r="AK995" s="828"/>
      <c r="AL995" s="313" t="str">
        <f t="shared" si="2488"/>
        <v/>
      </c>
      <c r="AM995" s="312"/>
      <c r="AN995" s="101"/>
      <c r="AO995" s="101"/>
      <c r="AP995" s="101"/>
      <c r="AQ995" s="101"/>
      <c r="AR995" s="101"/>
      <c r="AS995" s="101"/>
      <c r="AT995" s="101"/>
    </row>
    <row r="996" spans="1:46" ht="12.95" customHeight="1">
      <c r="A996" s="419">
        <v>7</v>
      </c>
      <c r="B996" s="87" t="s">
        <v>50</v>
      </c>
      <c r="C996" s="128" t="s">
        <v>1232</v>
      </c>
      <c r="D996" s="129" t="s">
        <v>54</v>
      </c>
      <c r="E996" s="98">
        <v>194.95</v>
      </c>
      <c r="F996" s="705" t="s">
        <v>1306</v>
      </c>
      <c r="G996" s="357">
        <v>0</v>
      </c>
      <c r="H996" s="704" t="str">
        <f>IF(G996=0,"",IF(F996="Qty=",IF(G996=1,"plant","plants"),IF(F996&gt;0.0001,"warranty","Error")))</f>
        <v/>
      </c>
      <c r="I996" s="98">
        <f>IF(F996="Qty=",(E996*G996),((E996*(1-F996))*G996))</f>
        <v>0</v>
      </c>
      <c r="J996" s="98">
        <f t="shared" si="2531"/>
        <v>0</v>
      </c>
      <c r="K996" s="831">
        <f t="shared" si="2532"/>
        <v>0</v>
      </c>
      <c r="L996" s="831"/>
      <c r="M996" s="832" t="str">
        <f t="shared" si="2533"/>
        <v/>
      </c>
      <c r="N996" s="832"/>
      <c r="O996" s="832"/>
      <c r="P996" s="832"/>
      <c r="Q996" s="832"/>
      <c r="R996" s="832"/>
      <c r="S996" s="303">
        <f>E996*G996</f>
        <v>0</v>
      </c>
      <c r="T996" s="541">
        <f>VLOOKUP(A996,'Discount Lookup'!D:E,2,FALSE)*G996</f>
        <v>0</v>
      </c>
      <c r="U996" s="83">
        <f>VLOOKUP(A996,'Discount Lookup'!G:H,2,FALSE)*G996</f>
        <v>0</v>
      </c>
      <c r="V996" s="100">
        <f t="shared" si="2535"/>
        <v>0</v>
      </c>
      <c r="W996" s="100">
        <f>I996</f>
        <v>0</v>
      </c>
      <c r="X996" s="100" t="b">
        <f>IF(G996&gt;0,IF(AD996="me","",G996))</f>
        <v>0</v>
      </c>
      <c r="Y996" s="201"/>
      <c r="Z996" s="829" t="str">
        <f>IF(G996=0,"",IF(AD996="me","",IF($AD$8="me","",IF(AD996="free","warranty",IF($AD$8="yes","NVP planting:","to NVP install:")))))</f>
        <v/>
      </c>
      <c r="AA996" s="829"/>
      <c r="AB996" s="830" t="str">
        <f>IF(G996=0,"",IF(AD996="free","re-planting",IF(AD996="me","not NVP, by",IF($AD$8="yes",(VLOOKUP(A996,'Discount Lookup'!J:K,2)*G996*(1-$AC$1786)*(1+$AC$1788)),IF(AD996="NVP",(VLOOKUP(A996,'Discount Lookup'!J:K,2)*G996*(1-$AC$1786)*(1+$AC$1788)),IF(AD996="free","re-planting",IF(G996=0,"",IF($AD$8="",IF(AD996="me","not NVP, by",IF(AD996="",IF(G996&gt;0,(VLOOKUP(A996,'Discount Lookup'!J:K,2)*G996*(1-$AC$1786)*(1+$AC$1788)),""),"")),"not NVP, by"))))))))</f>
        <v/>
      </c>
      <c r="AC996" s="830"/>
      <c r="AD996" s="375" t="str">
        <f t="shared" ref="AD996:AD1051" si="2539">IF(G996=0,"",IF($AD$8="me","me",IF(H996="warranty","free",IF($AD$8="yes","NVP",""))))</f>
        <v/>
      </c>
      <c r="AE996" s="833" t="str">
        <f t="shared" ref="AE996:AE997" si="2540">IF(G996&gt;0,(CONCATENATE((G996)," quantity, ",(A996)," ",B996)),"")</f>
        <v/>
      </c>
      <c r="AF996" s="833"/>
      <c r="AG996" s="833"/>
      <c r="AH996" s="91">
        <f>IF(AD996="free",0,IF(AD996="me",0,IF(G996&gt;0,(VLOOKUP(A996,'Discount Lookup'!J:K,2)*G996),0)))</f>
        <v>0</v>
      </c>
      <c r="AI996" s="92" t="str">
        <f t="shared" si="2515"/>
        <v/>
      </c>
      <c r="AJ996" s="828" t="str">
        <f>IF(G996=0,"",IF(AD996="me","  delivery-only",IF($AD$8="me","  delivery-only",CONCATENATE(" $",ROUND(AI996/G996,2)," each"))))</f>
        <v/>
      </c>
      <c r="AK996" s="828"/>
      <c r="AL996" s="313" t="str">
        <f t="shared" si="2488"/>
        <v/>
      </c>
      <c r="AM996" s="312"/>
      <c r="AN996" s="101"/>
      <c r="AO996" s="101"/>
      <c r="AP996" s="101"/>
      <c r="AQ996" s="101"/>
      <c r="AR996" s="101"/>
      <c r="AS996" s="101"/>
      <c r="AT996" s="101"/>
    </row>
    <row r="997" spans="1:46" ht="12.95" customHeight="1">
      <c r="A997" s="419">
        <v>7</v>
      </c>
      <c r="B997" s="87" t="s">
        <v>50</v>
      </c>
      <c r="C997" s="128" t="s">
        <v>1623</v>
      </c>
      <c r="D997" s="129" t="s">
        <v>90</v>
      </c>
      <c r="E997" s="98">
        <v>82.95</v>
      </c>
      <c r="F997" s="705" t="s">
        <v>1306</v>
      </c>
      <c r="G997" s="357">
        <v>0</v>
      </c>
      <c r="H997" s="704" t="str">
        <f t="shared" ref="H997" si="2541">IF(G997=0,"",IF(F997="Qty=",IF(G997=1,"plant","plants"),IF(F997&gt;0.0001,"warranty","Error")))</f>
        <v/>
      </c>
      <c r="I997" s="98">
        <f t="shared" ref="I997" si="2542">IF(F997="Qty=",(E997*G997),((E997*(1-F997))*G997))</f>
        <v>0</v>
      </c>
      <c r="J997" s="98">
        <f t="shared" si="2531"/>
        <v>0</v>
      </c>
      <c r="K997" s="831">
        <f t="shared" si="2532"/>
        <v>0</v>
      </c>
      <c r="L997" s="831"/>
      <c r="M997" s="832" t="str">
        <f t="shared" si="2533"/>
        <v/>
      </c>
      <c r="N997" s="832"/>
      <c r="O997" s="832"/>
      <c r="P997" s="832"/>
      <c r="Q997" s="832"/>
      <c r="R997" s="832"/>
      <c r="S997" s="303">
        <f t="shared" ref="S997" si="2543">E997*G997</f>
        <v>0</v>
      </c>
      <c r="T997" s="541">
        <f>VLOOKUP(A997,'Discount Lookup'!D:E,2,FALSE)*G997</f>
        <v>0</v>
      </c>
      <c r="U997" s="83">
        <f>VLOOKUP(A997,'Discount Lookup'!G:H,2,FALSE)*G997</f>
        <v>0</v>
      </c>
      <c r="V997" s="100">
        <f t="shared" si="2535"/>
        <v>0</v>
      </c>
      <c r="W997" s="100">
        <f t="shared" ref="W997" si="2544">I997</f>
        <v>0</v>
      </c>
      <c r="X997" s="100" t="b">
        <f>IF(G997&gt;0,IF(AD997="me","",G997))</f>
        <v>0</v>
      </c>
      <c r="Y997" s="201"/>
      <c r="Z997" s="829" t="str">
        <f t="shared" ref="Z997" si="2545">IF(G997=0,"",IF(AD997="me","",IF($AD$8="me","",IF(AD997="free","warranty",IF($AD$8="yes","NVP planting:","to NVP install:")))))</f>
        <v/>
      </c>
      <c r="AA997" s="829"/>
      <c r="AB997" s="830" t="str">
        <f>IF(G997=0,"",IF(AD997="free","re-planting",IF(AD997="me","not NVP, by",IF($AD$8="yes",(VLOOKUP(A997,'Discount Lookup'!J:K,2)*G997*(1-$AC$1786)*(1+$AC$1788)),IF(AD997="NVP",(VLOOKUP(A997,'Discount Lookup'!J:K,2)*G997*(1-$AC$1786)*(1+$AC$1788)),IF(AD997="free","re-planting",IF(G997=0,"",IF($AD$8="",IF(AD997="me","not NVP, by",IF(AD997="",IF(G997&gt;0,(VLOOKUP(A997,'Discount Lookup'!J:K,2)*G997*(1-$AC$1786)*(1+$AC$1788)),""),"")),"not NVP, by"))))))))</f>
        <v/>
      </c>
      <c r="AC997" s="830"/>
      <c r="AD997" s="375" t="str">
        <f t="shared" si="2539"/>
        <v/>
      </c>
      <c r="AE997" s="833" t="str">
        <f t="shared" si="2540"/>
        <v/>
      </c>
      <c r="AF997" s="833"/>
      <c r="AG997" s="833"/>
      <c r="AH997" s="91">
        <f>IF(AD997="free",0,IF(AD997="me",0,IF(G997&gt;0,(VLOOKUP(A997,'Discount Lookup'!J:K,2)*G997),0)))</f>
        <v>0</v>
      </c>
      <c r="AI997" s="92" t="str">
        <f t="shared" si="2515"/>
        <v/>
      </c>
      <c r="AJ997" s="828" t="str">
        <f t="shared" ref="AJ997" si="2546">IF(G997=0,"",IF(AD997="me","  delivery-only",IF($AD$8="me","  delivery-only",CONCATENATE(" $",ROUND(AI997/G997,2)," each"))))</f>
        <v/>
      </c>
      <c r="AK997" s="828"/>
      <c r="AL997" s="313" t="str">
        <f t="shared" si="2488"/>
        <v/>
      </c>
      <c r="AM997" s="312"/>
      <c r="AN997" s="101"/>
      <c r="AO997" s="101"/>
      <c r="AP997" s="101"/>
      <c r="AQ997" s="101"/>
      <c r="AR997" s="101"/>
      <c r="AS997" s="101"/>
      <c r="AT997" s="101"/>
    </row>
    <row r="998" spans="1:46" ht="12.95" customHeight="1">
      <c r="A998" s="419">
        <v>7</v>
      </c>
      <c r="B998" s="87" t="s">
        <v>50</v>
      </c>
      <c r="C998" s="128" t="s">
        <v>51</v>
      </c>
      <c r="D998" s="129" t="s">
        <v>94</v>
      </c>
      <c r="E998" s="98">
        <v>59.95</v>
      </c>
      <c r="F998" s="705" t="s">
        <v>1306</v>
      </c>
      <c r="G998" s="357">
        <v>0</v>
      </c>
      <c r="H998" s="704" t="str">
        <f t="shared" si="2529"/>
        <v/>
      </c>
      <c r="I998" s="98">
        <f t="shared" si="2530"/>
        <v>0</v>
      </c>
      <c r="J998" s="98">
        <f t="shared" si="2531"/>
        <v>0</v>
      </c>
      <c r="K998" s="831">
        <f t="shared" si="2532"/>
        <v>0</v>
      </c>
      <c r="L998" s="831"/>
      <c r="M998" s="832" t="str">
        <f t="shared" si="2533"/>
        <v/>
      </c>
      <c r="N998" s="832"/>
      <c r="O998" s="832"/>
      <c r="P998" s="832"/>
      <c r="Q998" s="832"/>
      <c r="R998" s="832"/>
      <c r="S998" s="303">
        <f t="shared" si="2534"/>
        <v>0</v>
      </c>
      <c r="T998" s="541">
        <f>VLOOKUP(A998,'Discount Lookup'!D:E,2,FALSE)*G998</f>
        <v>0</v>
      </c>
      <c r="U998" s="83">
        <f>VLOOKUP(A998,'Discount Lookup'!G:H,2,FALSE)*G998</f>
        <v>0</v>
      </c>
      <c r="V998" s="100">
        <f t="shared" si="2535"/>
        <v>0</v>
      </c>
      <c r="W998" s="100">
        <f t="shared" si="2536"/>
        <v>0</v>
      </c>
      <c r="X998" s="100" t="b">
        <f t="shared" si="2537"/>
        <v>0</v>
      </c>
      <c r="Y998" s="201"/>
      <c r="Z998" s="829" t="str">
        <f t="shared" si="2434"/>
        <v/>
      </c>
      <c r="AA998" s="829"/>
      <c r="AB998" s="830" t="str">
        <f>IF(G998=0,"",IF(AD998="free","re-planting",IF(AD998="me","not NVP, by",IF($AD$8="yes",(VLOOKUP(A998,'Discount Lookup'!J:K,2)*G998*(1-$AC$1786)*(1+$AC$1788)),IF(AD998="NVP",(VLOOKUP(A998,'Discount Lookup'!J:K,2)*G998*(1-$AC$1786)*(1+$AC$1788)),IF(AD998="free","re-planting",IF(G998=0,"",IF($AD$8="",IF(AD998="me","not NVP, by",IF(AD998="",IF(G998&gt;0,(VLOOKUP(A998,'Discount Lookup'!J:K,2)*G998*(1-$AC$1786)*(1+$AC$1788)),""),"")),"not NVP, by"))))))))</f>
        <v/>
      </c>
      <c r="AC998" s="830"/>
      <c r="AD998" s="375" t="str">
        <f t="shared" si="2539"/>
        <v/>
      </c>
      <c r="AE998" s="833" t="str">
        <f t="shared" si="2479"/>
        <v/>
      </c>
      <c r="AF998" s="833"/>
      <c r="AG998" s="833"/>
      <c r="AH998" s="91">
        <f>IF(AD998="free",0,IF(AD998="me",0,IF(G998&gt;0,(VLOOKUP(A998,'Discount Lookup'!J:K,2)*G998),0)))</f>
        <v>0</v>
      </c>
      <c r="AI998" s="92" t="str">
        <f t="shared" si="2515"/>
        <v/>
      </c>
      <c r="AJ998" s="828" t="str">
        <f t="shared" si="2436"/>
        <v/>
      </c>
      <c r="AK998" s="828"/>
      <c r="AL998" s="313" t="str">
        <f t="shared" si="2488"/>
        <v/>
      </c>
      <c r="AM998" s="312"/>
      <c r="AN998" s="101"/>
      <c r="AO998" s="101"/>
      <c r="AP998" s="101"/>
      <c r="AQ998" s="101"/>
      <c r="AR998" s="101"/>
      <c r="AS998" s="101"/>
      <c r="AT998" s="101"/>
    </row>
    <row r="999" spans="1:46" ht="12.95" customHeight="1">
      <c r="A999" s="468"/>
      <c r="B999" s="149" t="s">
        <v>1364</v>
      </c>
      <c r="C999" s="117"/>
      <c r="D999" s="118"/>
      <c r="E999" s="119"/>
      <c r="F999" s="711"/>
      <c r="G999" s="356"/>
      <c r="H999" s="745"/>
      <c r="I999" s="119"/>
      <c r="J999" s="119"/>
      <c r="K999" s="609"/>
      <c r="L999" s="609"/>
      <c r="M999" s="121"/>
      <c r="N999" s="121"/>
      <c r="O999" s="123"/>
      <c r="P999" s="124"/>
      <c r="Q999" s="124"/>
      <c r="R999" s="83"/>
      <c r="S999" s="82">
        <f t="shared" ref="S999" si="2547">E999*G999</f>
        <v>0</v>
      </c>
      <c r="T999" s="540"/>
      <c r="U999" s="83"/>
      <c r="V999" s="100" t="b">
        <f>IF(G999&gt;0,IF(AD999="me","",G999))</f>
        <v>0</v>
      </c>
      <c r="W999" s="100"/>
      <c r="X999" s="100"/>
      <c r="Y999" s="201"/>
      <c r="Z999" s="829" t="str">
        <f t="shared" si="2434"/>
        <v/>
      </c>
      <c r="AA999" s="829"/>
      <c r="AB999" s="830" t="str">
        <f>IF(G999=0,"",IF(AD999="free","re-planting",IF(AD999="me","not NVP, by",IF($AD$8="yes",(VLOOKUP(A999,'Discount Lookup'!J:K,2)*G999*(1-$AC$1786)*(1+$AC$1788)),IF(AD999="NVP",(VLOOKUP(A999,'Discount Lookup'!J:K,2)*G999*(1-$AC$1786)*(1+$AC$1788)),IF(AD999="free","re-planting",IF(G999=0,"",IF($AD$8="",IF(AD999="me","not NVP, by",IF(AD999="",IF(G999&gt;0,(VLOOKUP(A999,'Discount Lookup'!J:K,2)*G999*(1-$AC$1786)*(1+$AC$1788)),""),"")),"not NVP, by"))))))))</f>
        <v/>
      </c>
      <c r="AC999" s="830"/>
      <c r="AD999" s="375" t="str">
        <f t="shared" si="2539"/>
        <v/>
      </c>
      <c r="AE999" s="833" t="str">
        <f t="shared" si="2479"/>
        <v/>
      </c>
      <c r="AF999" s="833"/>
      <c r="AG999" s="833"/>
      <c r="AH999" s="91">
        <f>IF(AD999="free",0,IF(AD999="me",0,IF(G999&gt;0,(VLOOKUP(A999,'Discount Lookup'!J:K,2)*G999),0)))</f>
        <v>0</v>
      </c>
      <c r="AI999" s="92" t="str">
        <f t="shared" si="2515"/>
        <v/>
      </c>
      <c r="AJ999" s="828" t="str">
        <f t="shared" si="2436"/>
        <v/>
      </c>
      <c r="AK999" s="828"/>
      <c r="AL999" s="313" t="str">
        <f t="shared" si="2488"/>
        <v/>
      </c>
      <c r="AM999" s="312"/>
      <c r="AN999" s="101"/>
      <c r="AO999" s="101"/>
      <c r="AP999" s="101"/>
      <c r="AQ999" s="101"/>
      <c r="AR999" s="101"/>
      <c r="AS999" s="101"/>
      <c r="AT999" s="101"/>
    </row>
    <row r="1000" spans="1:46" ht="12.95" customHeight="1">
      <c r="A1000" s="896" t="s">
        <v>574</v>
      </c>
      <c r="B1000" s="897"/>
      <c r="C1000" s="897"/>
      <c r="D1000" s="897"/>
      <c r="E1000" s="897"/>
      <c r="F1000" s="897"/>
      <c r="G1000" s="897"/>
      <c r="H1000" s="776" t="s">
        <v>444</v>
      </c>
      <c r="I1000" s="88" t="s">
        <v>79</v>
      </c>
      <c r="J1000" s="86"/>
      <c r="K1000" s="603" t="s">
        <v>45</v>
      </c>
      <c r="L1000" s="601" t="s">
        <v>46</v>
      </c>
      <c r="M1000" s="86"/>
      <c r="N1000" s="87" t="s">
        <v>128</v>
      </c>
      <c r="O1000" s="87"/>
      <c r="P1000" s="88"/>
      <c r="Q1000" s="88"/>
      <c r="R1000" s="86"/>
      <c r="S1000" s="125"/>
      <c r="T1000" s="543"/>
      <c r="U1000" s="89" t="s">
        <v>48</v>
      </c>
      <c r="V1000" s="100" t="b">
        <f>IF(G1000&gt;0,IF(AD1000="me","",G1000))</f>
        <v>0</v>
      </c>
      <c r="W1000" s="100"/>
      <c r="X1000" s="100"/>
      <c r="Y1000" s="201"/>
      <c r="Z1000" s="829" t="str">
        <f>IF(G1000=0,"",IF(AD1000="me","",IF($AD$8="me","",IF(AD1000="free","warranty",IF($AD$8="yes","NVP planting:","to NVP install:")))))</f>
        <v/>
      </c>
      <c r="AA1000" s="829"/>
      <c r="AB1000" s="830" t="str">
        <f>IF(G1000=0,"",IF(AD1000="free","re-planting",IF(AD1000="me","not NVP, by",IF($AD$8="yes",(VLOOKUP(A1000,'Discount Lookup'!J:K,2)*G1000*(1-$AC$1786)*(1+$AC$1788)),IF(AD1000="NVP",(VLOOKUP(A1000,'Discount Lookup'!J:K,2)*G1000*(1-$AC$1786)*(1+$AC$1788)),IF(AD1000="free","re-planting",IF(G1000=0,"",IF($AD$8="",IF(AD1000="me","not NVP, by",IF(AD1000="",IF(G1000&gt;0,(VLOOKUP(A1000,'Discount Lookup'!J:K,2)*G1000*(1-$AC$1786)*(1+$AC$1788)),""),"")),"not NVP, by"))))))))</f>
        <v/>
      </c>
      <c r="AC1000" s="830"/>
      <c r="AD1000" s="375" t="str">
        <f t="shared" si="2539"/>
        <v/>
      </c>
      <c r="AE1000" s="833" t="str">
        <f>IF(G1000&gt;0,(CONCATENATE((G1000)," quantity, ",(A1000)," ",B1000)),"")</f>
        <v/>
      </c>
      <c r="AF1000" s="833"/>
      <c r="AG1000" s="833"/>
      <c r="AH1000" s="91">
        <f>IF(AD1000="free",0,IF(AD1000="me",0,IF(G1000&gt;0,(VLOOKUP(A1000,'Discount Lookup'!J:K,2)*G1000),0)))</f>
        <v>0</v>
      </c>
      <c r="AI1000" s="92" t="str">
        <f t="shared" si="2515"/>
        <v/>
      </c>
      <c r="AJ1000" s="828" t="str">
        <f>IF(G1000=0,"",IF(AD1000="me","  delivery-only",IF($AD$8="me","  delivery-only",CONCATENATE(" $",ROUND(AI1000/G1000,2)," each"))))</f>
        <v/>
      </c>
      <c r="AK1000" s="828"/>
      <c r="AL1000" s="313" t="str">
        <f t="shared" si="2488"/>
        <v/>
      </c>
      <c r="AM1000" s="312"/>
      <c r="AN1000" s="101"/>
      <c r="AO1000" s="101"/>
      <c r="AP1000" s="101"/>
      <c r="AQ1000" s="101"/>
      <c r="AR1000" s="101"/>
      <c r="AS1000" s="101"/>
      <c r="AT1000" s="101"/>
    </row>
    <row r="1001" spans="1:46" ht="12.95" customHeight="1">
      <c r="A1001" s="419">
        <v>5</v>
      </c>
      <c r="B1001" s="87" t="s">
        <v>50</v>
      </c>
      <c r="C1001" s="128" t="s">
        <v>1228</v>
      </c>
      <c r="D1001" s="129" t="s">
        <v>54</v>
      </c>
      <c r="E1001" s="98">
        <v>102.95</v>
      </c>
      <c r="F1001" s="705" t="s">
        <v>1306</v>
      </c>
      <c r="G1001" s="357">
        <v>0</v>
      </c>
      <c r="H1001" s="704" t="str">
        <f t="shared" ref="H1001" si="2548">IF(G1001=0,"",IF(F1001="Qty=",IF(G1001=1,"plant","plants"),IF(F1001&gt;0.0001,"warranty","Error")))</f>
        <v/>
      </c>
      <c r="I1001" s="98">
        <f t="shared" ref="I1001" si="2549">IF(F1001="Qty=",(E1001*G1001),((E1001*(1-F1001))*G1001))</f>
        <v>0</v>
      </c>
      <c r="J1001" s="98">
        <f>IF(H1001="warranty",0,(I1001*($J$1782)))</f>
        <v>0</v>
      </c>
      <c r="K1001" s="831">
        <f t="shared" ref="K1001" si="2550">I1001+J1001</f>
        <v>0</v>
      </c>
      <c r="L1001" s="831"/>
      <c r="M1001" s="832" t="str">
        <f>IF($H$1784=0,"",IF(G1001=0,"",IF(F1001="Qty=",CONCATENATE("$",ROUND(K1001*(1-$H$1784),2)," with ",($H$1784*100),"% discount"),CONCATENATE("$",ROUND(K1001*(1-$H$1784),2)," with ",(($H$1784*100+F1001*100)-($H$1784*100*F1001)),IF(F1001&gt;0,"% discounts",IF($H$1781&gt;0,"% discounts","% discount"))))))</f>
        <v/>
      </c>
      <c r="N1001" s="832"/>
      <c r="O1001" s="832"/>
      <c r="P1001" s="832"/>
      <c r="Q1001" s="832"/>
      <c r="R1001" s="832"/>
      <c r="S1001" s="303">
        <f t="shared" ref="S1001" si="2551">E1001*G1001</f>
        <v>0</v>
      </c>
      <c r="T1001" s="541">
        <f>VLOOKUP(A1001,'Discount Lookup'!D:E,2,FALSE)*G1001</f>
        <v>0</v>
      </c>
      <c r="U1001" s="83">
        <f>VLOOKUP(A1001,'Discount Lookup'!G:H,2,FALSE)*G1001</f>
        <v>0</v>
      </c>
      <c r="V1001" s="100">
        <f>E1001*($J$1782)*G1001</f>
        <v>0</v>
      </c>
      <c r="W1001" s="100">
        <f t="shared" ref="W1001" si="2552">I1001</f>
        <v>0</v>
      </c>
      <c r="X1001" s="100" t="b">
        <f>IF(G1001&gt;0,IF(AD1001="me","",G1001))</f>
        <v>0</v>
      </c>
      <c r="Y1001" s="201"/>
      <c r="Z1001" s="829" t="str">
        <f>IF(G1001=0,"",IF(AD1001="me","",IF($AD$8="me","",IF(AD1001="free","warranty",IF($AD$8="yes","NVP planting:","to NVP install:")))))</f>
        <v/>
      </c>
      <c r="AA1001" s="829"/>
      <c r="AB1001" s="830" t="str">
        <f>IF(G1001=0,"",IF(AD1001="free","re-planting",IF(AD1001="me","not NVP, by",IF($AD$8="yes",(VLOOKUP(A1001,'Discount Lookup'!J:K,2)*G1001*(1-$AC$1786)*(1+$AC$1788)),IF(AD1001="NVP",(VLOOKUP(A1001,'Discount Lookup'!J:K,2)*G1001*(1-$AC$1786)*(1+$AC$1788)),IF(AD1001="free","re-planting",IF(G1001=0,"",IF($AD$8="",IF(AD1001="me","not NVP, by",IF(AD1001="",IF(G1001&gt;0,(VLOOKUP(A1001,'Discount Lookup'!J:K,2)*G1001*(1-$AC$1786)*(1+$AC$1788)),""),"")),"not NVP, by"))))))))</f>
        <v/>
      </c>
      <c r="AC1001" s="830"/>
      <c r="AD1001" s="375" t="str">
        <f t="shared" si="2539"/>
        <v/>
      </c>
      <c r="AE1001" s="833" t="str">
        <f>IF(G1001&gt;0,(CONCATENATE((G1001)," quantity, ",(A1001)," ",B1001)),"")</f>
        <v/>
      </c>
      <c r="AF1001" s="833"/>
      <c r="AG1001" s="833"/>
      <c r="AH1001" s="91">
        <f>IF(AD1001="free",0,IF(AD1001="me",0,IF(G1001&gt;0,(VLOOKUP(A1001,'Discount Lookup'!J:K,2)*G1001),0)))</f>
        <v>0</v>
      </c>
      <c r="AI1001" s="92" t="str">
        <f t="shared" si="2515"/>
        <v/>
      </c>
      <c r="AJ1001" s="828" t="str">
        <f>IF(G1001=0,"",IF(AD1001="me","  delivery-only",IF($AD$8="me","  delivery-only",CONCATENATE(" $",ROUND(AI1001/G1001,2)," each"))))</f>
        <v/>
      </c>
      <c r="AK1001" s="828"/>
      <c r="AL1001" s="313" t="str">
        <f t="shared" si="2488"/>
        <v/>
      </c>
      <c r="AM1001" s="312"/>
      <c r="AN1001" s="101"/>
      <c r="AO1001" s="101"/>
      <c r="AP1001" s="101"/>
      <c r="AQ1001" s="101"/>
      <c r="AR1001" s="101"/>
      <c r="AS1001" s="101"/>
      <c r="AT1001" s="101"/>
    </row>
    <row r="1002" spans="1:46" ht="12.95" customHeight="1">
      <c r="A1002" s="468"/>
      <c r="B1002" s="149" t="s">
        <v>575</v>
      </c>
      <c r="C1002" s="117"/>
      <c r="D1002" s="118"/>
      <c r="E1002" s="119"/>
      <c r="F1002" s="711"/>
      <c r="G1002" s="356"/>
      <c r="H1002" s="745"/>
      <c r="I1002" s="119"/>
      <c r="J1002" s="119"/>
      <c r="K1002" s="609"/>
      <c r="L1002" s="609"/>
      <c r="M1002" s="121"/>
      <c r="N1002" s="121"/>
      <c r="O1002" s="123"/>
      <c r="P1002" s="124"/>
      <c r="Q1002" s="124"/>
      <c r="R1002" s="83"/>
      <c r="S1002" s="82">
        <f>E1002*G1002</f>
        <v>0</v>
      </c>
      <c r="T1002" s="540"/>
      <c r="U1002" s="83"/>
      <c r="V1002" s="100" t="b">
        <f>IF(G1002&gt;0,IF(AD1002="me","",G1002))</f>
        <v>0</v>
      </c>
      <c r="W1002" s="100"/>
      <c r="X1002" s="100"/>
      <c r="Y1002" s="201"/>
      <c r="Z1002" s="829" t="str">
        <f>IF(G1002=0,"",IF(AD1002="me","",IF($AD$8="me","",IF(AD1002="free","warranty",IF($AD$8="yes","NVP planting:","to NVP install:")))))</f>
        <v/>
      </c>
      <c r="AA1002" s="829"/>
      <c r="AB1002" s="830" t="str">
        <f>IF(G1002=0,"",IF(AD1002="free","re-planting",IF(AD1002="me","not NVP, by",IF($AD$8="yes",(VLOOKUP(A1002,'Discount Lookup'!J:K,2)*G1002*(1-$AC$1786)*(1+$AC$1788)),IF(AD1002="NVP",(VLOOKUP(A1002,'Discount Lookup'!J:K,2)*G1002*(1-$AC$1786)*(1+$AC$1788)),IF(AD1002="free","re-planting",IF(G1002=0,"",IF($AD$8="",IF(AD1002="me","not NVP, by",IF(AD1002="",IF(G1002&gt;0,(VLOOKUP(A1002,'Discount Lookup'!J:K,2)*G1002*(1-$AC$1786)*(1+$AC$1788)),""),"")),"not NVP, by"))))))))</f>
        <v/>
      </c>
      <c r="AC1002" s="830"/>
      <c r="AD1002" s="375" t="str">
        <f t="shared" si="2539"/>
        <v/>
      </c>
      <c r="AE1002" s="833" t="str">
        <f>IF(G1002&gt;0,(CONCATENATE((G1002)," quantity, ",(A1002)," ",B1002)),"")</f>
        <v/>
      </c>
      <c r="AF1002" s="833"/>
      <c r="AG1002" s="833"/>
      <c r="AH1002" s="91">
        <f>IF(AD1002="free",0,IF(AD1002="me",0,IF(G1002&gt;0,(VLOOKUP(A1002,'Discount Lookup'!J:K,2)*G1002),0)))</f>
        <v>0</v>
      </c>
      <c r="AI1002" s="92" t="str">
        <f t="shared" si="2515"/>
        <v/>
      </c>
      <c r="AJ1002" s="828" t="str">
        <f>IF(G1002=0,"",IF(AD1002="me","  delivery-only",IF($AD$8="me","  delivery-only",CONCATENATE(" $",ROUND(AI1002/G1002,2)," each"))))</f>
        <v/>
      </c>
      <c r="AK1002" s="828"/>
      <c r="AL1002" s="313" t="str">
        <f t="shared" si="2488"/>
        <v/>
      </c>
      <c r="AM1002" s="312"/>
      <c r="AN1002" s="101"/>
      <c r="AO1002" s="101"/>
      <c r="AP1002" s="101"/>
      <c r="AQ1002" s="101"/>
      <c r="AR1002" s="101"/>
      <c r="AS1002" s="101"/>
      <c r="AT1002" s="101"/>
    </row>
    <row r="1003" spans="1:46" ht="12.95" customHeight="1">
      <c r="A1003" s="863" t="s">
        <v>576</v>
      </c>
      <c r="B1003" s="864"/>
      <c r="C1003" s="864"/>
      <c r="D1003" s="864"/>
      <c r="E1003" s="864"/>
      <c r="F1003" s="864"/>
      <c r="G1003" s="864"/>
      <c r="H1003" s="776" t="s">
        <v>577</v>
      </c>
      <c r="I1003" s="439" t="s">
        <v>280</v>
      </c>
      <c r="J1003" s="93"/>
      <c r="K1003" s="603" t="s">
        <v>45</v>
      </c>
      <c r="L1003" s="601" t="s">
        <v>46</v>
      </c>
      <c r="M1003" s="86"/>
      <c r="N1003" s="87" t="s">
        <v>69</v>
      </c>
      <c r="O1003" s="87"/>
      <c r="P1003" s="88"/>
      <c r="Q1003" s="88"/>
      <c r="R1003" s="86"/>
      <c r="S1003" s="125"/>
      <c r="T1003" s="543"/>
      <c r="U1003" s="89" t="s">
        <v>48</v>
      </c>
      <c r="V1003" s="100" t="b">
        <f>IF(G1003&gt;0,IF(AD1003="me","",G1003))</f>
        <v>0</v>
      </c>
      <c r="W1003" s="100"/>
      <c r="X1003" s="100"/>
      <c r="Y1003" s="201"/>
      <c r="Z1003" s="829" t="str">
        <f t="shared" si="2434"/>
        <v/>
      </c>
      <c r="AA1003" s="829"/>
      <c r="AB1003" s="830" t="str">
        <f>IF(G1003=0,"",IF(AD1003="free","re-planting",IF(AD1003="me","not NVP, by",IF($AD$8="yes",(VLOOKUP(A1003,'Discount Lookup'!J:K,2)*G1003*(1-$AC$1786)*(1+$AC$1788)),IF(AD1003="NVP",(VLOOKUP(A1003,'Discount Lookup'!J:K,2)*G1003*(1-$AC$1786)*(1+$AC$1788)),IF(AD1003="free","re-planting",IF(G1003=0,"",IF($AD$8="",IF(AD1003="me","not NVP, by",IF(AD1003="",IF(G1003&gt;0,(VLOOKUP(A1003,'Discount Lookup'!J:K,2)*G1003*(1-$AC$1786)*(1+$AC$1788)),""),"")),"not NVP, by"))))))))</f>
        <v/>
      </c>
      <c r="AC1003" s="830"/>
      <c r="AD1003" s="375" t="str">
        <f t="shared" si="2539"/>
        <v/>
      </c>
      <c r="AE1003" s="833" t="str">
        <f t="shared" si="2479"/>
        <v/>
      </c>
      <c r="AF1003" s="833"/>
      <c r="AG1003" s="833"/>
      <c r="AH1003" s="91">
        <f>IF(AD1003="free",0,IF(AD1003="me",0,IF(G1003&gt;0,(VLOOKUP(A1003,'Discount Lookup'!J:K,2)*G1003),0)))</f>
        <v>0</v>
      </c>
      <c r="AI1003" s="92" t="str">
        <f t="shared" si="2515"/>
        <v/>
      </c>
      <c r="AJ1003" s="828" t="str">
        <f t="shared" si="2436"/>
        <v/>
      </c>
      <c r="AK1003" s="828"/>
      <c r="AL1003" s="313" t="str">
        <f t="shared" si="2488"/>
        <v/>
      </c>
      <c r="AM1003" s="312"/>
      <c r="AN1003" s="101"/>
      <c r="AO1003" s="101"/>
      <c r="AP1003" s="101"/>
      <c r="AQ1003" s="101"/>
      <c r="AR1003" s="101"/>
      <c r="AS1003" s="101"/>
      <c r="AT1003" s="101"/>
    </row>
    <row r="1004" spans="1:46" ht="12.95" customHeight="1">
      <c r="A1004" s="419">
        <v>3</v>
      </c>
      <c r="B1004" s="87" t="s">
        <v>50</v>
      </c>
      <c r="C1004" s="128" t="s">
        <v>1672</v>
      </c>
      <c r="D1004" s="129" t="s">
        <v>86</v>
      </c>
      <c r="E1004" s="98">
        <v>24.95</v>
      </c>
      <c r="F1004" s="705" t="s">
        <v>1306</v>
      </c>
      <c r="G1004" s="357">
        <v>0</v>
      </c>
      <c r="H1004" s="704" t="str">
        <f t="shared" ref="H1004" si="2553">IF(G1004=0,"",IF(F1004="Qty=",IF(G1004=1,"plant","plants"),IF(F1004&gt;0.0001,"warranty","Error")))</f>
        <v/>
      </c>
      <c r="I1004" s="98">
        <f t="shared" ref="I1004" si="2554">IF(F1004="Qty=",(E1004*G1004),((E1004*(1-F1004))*G1004))</f>
        <v>0</v>
      </c>
      <c r="J1004" s="98">
        <f>IF(H1004="warranty",0,(I1004*($J$1782)))</f>
        <v>0</v>
      </c>
      <c r="K1004" s="831">
        <f t="shared" ref="K1004" si="2555">I1004+J1004</f>
        <v>0</v>
      </c>
      <c r="L1004" s="831"/>
      <c r="M1004" s="832" t="str">
        <f>IF($H$1784=0,"",IF(G1004=0,"",IF(F1004="Qty=",CONCATENATE("$",ROUND(K1004*(1-$H$1784),2)," with ",($H$1784*100),"% discount"),CONCATENATE("$",ROUND(K1004*(1-$H$1784),2)," with ",(($H$1784*100+F1004*100)-($H$1784*100*F1004)),IF(F1004&gt;0,"% discounts",IF($H$1781&gt;0,"% discounts","% discount"))))))</f>
        <v/>
      </c>
      <c r="N1004" s="832"/>
      <c r="O1004" s="832"/>
      <c r="P1004" s="832"/>
      <c r="Q1004" s="832"/>
      <c r="R1004" s="832"/>
      <c r="S1004" s="303">
        <f t="shared" ref="S1004" si="2556">E1004*G1004</f>
        <v>0</v>
      </c>
      <c r="T1004" s="541">
        <f>VLOOKUP(A1004,'Discount Lookup'!D:E,2,FALSE)*G1004</f>
        <v>0</v>
      </c>
      <c r="U1004" s="83">
        <f>VLOOKUP(A1004,'Discount Lookup'!G:H,2,FALSE)*G1004</f>
        <v>0</v>
      </c>
      <c r="V1004" s="100">
        <f>E1004*($J$1782)*G1004</f>
        <v>0</v>
      </c>
      <c r="W1004" s="100">
        <f t="shared" ref="W1004" si="2557">I1004</f>
        <v>0</v>
      </c>
      <c r="X1004" s="100" t="b">
        <f>IF(G1004&gt;0,IF(AD1004="me","",G1004))</f>
        <v>0</v>
      </c>
      <c r="Y1004" s="201"/>
      <c r="Z1004" s="829" t="str">
        <f t="shared" ref="Z1004" si="2558">IF(G1004=0,"",IF(AD1004="me","",IF($AD$8="me","",IF(AD1004="free","warranty",IF($AD$8="yes","NVP planting:","to NVP install:")))))</f>
        <v/>
      </c>
      <c r="AA1004" s="829"/>
      <c r="AB1004" s="830" t="str">
        <f>IF(G1004=0,"",IF(AD1004="free","re-planting",IF(AD1004="me","not NVP, by",IF($AD$8="yes",(VLOOKUP(A1004,'Discount Lookup'!J:K,2)*G1004*(1-$AC$1786)*(1+$AC$1788)),IF(AD1004="NVP",(VLOOKUP(A1004,'Discount Lookup'!J:K,2)*G1004*(1-$AC$1786)*(1+$AC$1788)),IF(AD1004="free","re-planting",IF(G1004=0,"",IF($AD$8="",IF(AD1004="me","not NVP, by",IF(AD1004="",IF(G1004&gt;0,(VLOOKUP(A1004,'Discount Lookup'!J:K,2)*G1004*(1-$AC$1786)*(1+$AC$1788)),""),"")),"not NVP, by"))))))))</f>
        <v/>
      </c>
      <c r="AC1004" s="830"/>
      <c r="AD1004" s="375" t="str">
        <f t="shared" ref="AD1004" si="2559">IF(G1004=0,"",IF($AD$8="me","me",IF(H1004="warranty","free",IF($AD$8="yes","NVP",""))))</f>
        <v/>
      </c>
      <c r="AE1004" s="833" t="str">
        <f t="shared" si="2479"/>
        <v/>
      </c>
      <c r="AF1004" s="833"/>
      <c r="AG1004" s="833"/>
      <c r="AH1004" s="91">
        <f>IF(AD1004="free",0,IF(AD1004="me",0,IF(G1004&gt;0,(VLOOKUP(A1004,'Discount Lookup'!J:K,2)*G1004),0)))</f>
        <v>0</v>
      </c>
      <c r="AI1004" s="92" t="str">
        <f t="shared" si="2515"/>
        <v/>
      </c>
      <c r="AJ1004" s="828" t="str">
        <f t="shared" ref="AJ1004" si="2560">IF(G1004=0,"",IF(AD1004="me","  delivery-only",IF($AD$8="me","  delivery-only",CONCATENATE(" $",ROUND(AI1004/G1004,2)," each"))))</f>
        <v/>
      </c>
      <c r="AK1004" s="828"/>
      <c r="AL1004" s="313" t="str">
        <f t="shared" si="2488"/>
        <v/>
      </c>
      <c r="AM1004" s="312"/>
      <c r="AN1004" s="101"/>
      <c r="AO1004" s="101"/>
      <c r="AP1004" s="101"/>
      <c r="AQ1004" s="101"/>
      <c r="AR1004" s="101"/>
      <c r="AS1004" s="101"/>
      <c r="AT1004" s="101"/>
    </row>
    <row r="1005" spans="1:46" ht="12.95" customHeight="1">
      <c r="A1005" s="419">
        <v>3</v>
      </c>
      <c r="B1005" s="87" t="s">
        <v>50</v>
      </c>
      <c r="C1005" s="399" t="s">
        <v>136</v>
      </c>
      <c r="D1005" s="129" t="s">
        <v>87</v>
      </c>
      <c r="E1005" s="98">
        <v>27.95</v>
      </c>
      <c r="F1005" s="705" t="s">
        <v>1306</v>
      </c>
      <c r="G1005" s="357">
        <v>0</v>
      </c>
      <c r="H1005" s="704" t="str">
        <f t="shared" ref="H1005" si="2561">IF(G1005=0,"",IF(F1005="Qty=",IF(G1005=1,"plant","plants"),IF(F1005&gt;0.0001,"warranty","Error")))</f>
        <v/>
      </c>
      <c r="I1005" s="98">
        <f t="shared" ref="I1005" si="2562">IF(F1005="Qty=",(E1005*G1005),((E1005*(1-F1005))*G1005))</f>
        <v>0</v>
      </c>
      <c r="J1005" s="98">
        <f>IF(H1005="warranty",0,(I1005*($J$1782)))</f>
        <v>0</v>
      </c>
      <c r="K1005" s="831">
        <f t="shared" ref="K1005" si="2563">I1005+J1005</f>
        <v>0</v>
      </c>
      <c r="L1005" s="831"/>
      <c r="M1005" s="832" t="str">
        <f>IF($H$1784=0,"",IF(G1005=0,"",IF(F1005="Qty=",CONCATENATE("$",ROUND(K1005*(1-$H$1784),2)," with ",($H$1784*100),"% discount"),CONCATENATE("$",ROUND(K1005*(1-$H$1784),2)," with ",(($H$1784*100+F1005*100)-($H$1784*100*F1005)),IF(F1005&gt;0,"% discounts",IF($H$1781&gt;0,"% discounts","% discount"))))))</f>
        <v/>
      </c>
      <c r="N1005" s="832"/>
      <c r="O1005" s="832"/>
      <c r="P1005" s="832"/>
      <c r="Q1005" s="832"/>
      <c r="R1005" s="832"/>
      <c r="S1005" s="303">
        <f t="shared" ref="S1005" si="2564">E1005*G1005</f>
        <v>0</v>
      </c>
      <c r="T1005" s="541">
        <f>VLOOKUP(A1005,'Discount Lookup'!D:E,2,FALSE)*G1005</f>
        <v>0</v>
      </c>
      <c r="U1005" s="83">
        <f>VLOOKUP(A1005,'Discount Lookup'!G:H,2,FALSE)*G1005</f>
        <v>0</v>
      </c>
      <c r="V1005" s="100">
        <f>E1005*($J$1782)*G1005</f>
        <v>0</v>
      </c>
      <c r="W1005" s="100">
        <f t="shared" ref="W1005" si="2565">I1005</f>
        <v>0</v>
      </c>
      <c r="X1005" s="100" t="b">
        <f>IF(G1005&gt;0,IF(AD1005="me","",G1005))</f>
        <v>0</v>
      </c>
      <c r="Y1005" s="201"/>
      <c r="Z1005" s="829" t="str">
        <f t="shared" si="2434"/>
        <v/>
      </c>
      <c r="AA1005" s="829"/>
      <c r="AB1005" s="830" t="str">
        <f>IF(G1005=0,"",IF(AD1005="free","re-planting",IF(AD1005="me","not NVP, by",IF($AD$8="yes",(VLOOKUP(A1005,'Discount Lookup'!J:K,2)*G1005*(1-$AC$1786)*(1+$AC$1788)),IF(AD1005="NVP",(VLOOKUP(A1005,'Discount Lookup'!J:K,2)*G1005*(1-$AC$1786)*(1+$AC$1788)),IF(AD1005="free","re-planting",IF(G1005=0,"",IF($AD$8="",IF(AD1005="me","not NVP, by",IF(AD1005="",IF(G1005&gt;0,(VLOOKUP(A1005,'Discount Lookup'!J:K,2)*G1005*(1-$AC$1786)*(1+$AC$1788)),""),"")),"not NVP, by"))))))))</f>
        <v/>
      </c>
      <c r="AC1005" s="830"/>
      <c r="AD1005" s="375" t="str">
        <f t="shared" si="2539"/>
        <v/>
      </c>
      <c r="AE1005" s="833" t="str">
        <f t="shared" ref="AE1005" si="2566">IF(G1005&gt;0,(CONCATENATE((G1005)," quantity, ",(A1005)," ",B1005)),"")</f>
        <v/>
      </c>
      <c r="AF1005" s="833"/>
      <c r="AG1005" s="833"/>
      <c r="AH1005" s="91">
        <f>IF(AD1005="free",0,IF(AD1005="me",0,IF(G1005&gt;0,(VLOOKUP(A1005,'Discount Lookup'!J:K,2)*G1005),0)))</f>
        <v>0</v>
      </c>
      <c r="AI1005" s="92" t="str">
        <f t="shared" si="2515"/>
        <v/>
      </c>
      <c r="AJ1005" s="828" t="str">
        <f t="shared" si="2436"/>
        <v/>
      </c>
      <c r="AK1005" s="828"/>
      <c r="AL1005" s="313" t="str">
        <f t="shared" si="2488"/>
        <v/>
      </c>
      <c r="AM1005" s="312"/>
      <c r="AN1005" s="101"/>
      <c r="AO1005" s="101"/>
      <c r="AP1005" s="101"/>
      <c r="AQ1005" s="101"/>
      <c r="AR1005" s="101"/>
      <c r="AS1005" s="101"/>
      <c r="AT1005" s="101"/>
    </row>
    <row r="1006" spans="1:46" ht="12.95" customHeight="1">
      <c r="A1006" s="468"/>
      <c r="B1006" s="149" t="s">
        <v>578</v>
      </c>
      <c r="C1006" s="118"/>
      <c r="D1006" s="118"/>
      <c r="E1006" s="119"/>
      <c r="F1006" s="711"/>
      <c r="G1006" s="358"/>
      <c r="H1006" s="745"/>
      <c r="I1006" s="119"/>
      <c r="J1006" s="119"/>
      <c r="K1006" s="609"/>
      <c r="L1006" s="609"/>
      <c r="M1006" s="121"/>
      <c r="N1006" s="121"/>
      <c r="O1006" s="123"/>
      <c r="P1006" s="124"/>
      <c r="Q1006" s="124"/>
      <c r="R1006" s="83"/>
      <c r="S1006" s="82">
        <f>E1006*G1006</f>
        <v>0</v>
      </c>
      <c r="T1006" s="540"/>
      <c r="U1006" s="83"/>
      <c r="V1006" s="100" t="b">
        <f>IF(G1006&gt;0,IF(AD1006="me","",G1006))</f>
        <v>0</v>
      </c>
      <c r="W1006" s="100"/>
      <c r="X1006" s="100"/>
      <c r="Y1006" s="201"/>
      <c r="Z1006" s="829" t="str">
        <f t="shared" ref="Z1006:Z1060" si="2567">IF(G1006=0,"",IF(AD1006="me","",IF($AD$8="me","",IF(AD1006="free","warranty",IF($AD$8="yes","NVP planting:","to NVP install:")))))</f>
        <v/>
      </c>
      <c r="AA1006" s="829"/>
      <c r="AB1006" s="830" t="str">
        <f>IF(G1006=0,"",IF(AD1006="free","re-planting",IF(AD1006="me","not NVP, by",IF($AD$8="yes",(VLOOKUP(A1006,'Discount Lookup'!J:K,2)*G1006*(1-$AC$1786)*(1+$AC$1788)),IF(AD1006="NVP",(VLOOKUP(A1006,'Discount Lookup'!J:K,2)*G1006*(1-$AC$1786)*(1+$AC$1788)),IF(AD1006="free","re-planting",IF(G1006=0,"",IF($AD$8="",IF(AD1006="me","not NVP, by",IF(AD1006="",IF(G1006&gt;0,(VLOOKUP(A1006,'Discount Lookup'!J:K,2)*G1006*(1-$AC$1786)*(1+$AC$1788)),""),"")),"not NVP, by"))))))))</f>
        <v/>
      </c>
      <c r="AC1006" s="830"/>
      <c r="AD1006" s="375" t="str">
        <f t="shared" si="2539"/>
        <v/>
      </c>
      <c r="AE1006" s="833" t="str">
        <f t="shared" si="2479"/>
        <v/>
      </c>
      <c r="AF1006" s="833"/>
      <c r="AG1006" s="833"/>
      <c r="AH1006" s="91">
        <f>IF(AD1006="free",0,IF(AD1006="me",0,IF(G1006&gt;0,(VLOOKUP(A1006,'Discount Lookup'!J:K,2)*G1006),0)))</f>
        <v>0</v>
      </c>
      <c r="AI1006" s="92" t="str">
        <f t="shared" si="2515"/>
        <v/>
      </c>
      <c r="AJ1006" s="828" t="str">
        <f t="shared" ref="AJ1006:AJ1060" si="2568">IF(G1006=0,"",IF(AD1006="me","  delivery-only",IF($AD$8="me","  delivery-only",CONCATENATE(" $",ROUND(AI1006/G1006,2)," each"))))</f>
        <v/>
      </c>
      <c r="AK1006" s="828"/>
      <c r="AL1006" s="313" t="str">
        <f t="shared" si="2488"/>
        <v/>
      </c>
      <c r="AM1006" s="312"/>
      <c r="AN1006" s="101"/>
      <c r="AO1006" s="101"/>
      <c r="AP1006" s="101"/>
      <c r="AQ1006" s="101"/>
      <c r="AR1006" s="101"/>
      <c r="AS1006" s="101"/>
      <c r="AT1006" s="101"/>
    </row>
    <row r="1007" spans="1:46" ht="12.95" customHeight="1">
      <c r="A1007" s="896" t="s">
        <v>579</v>
      </c>
      <c r="B1007" s="897"/>
      <c r="C1007" s="897"/>
      <c r="D1007" s="897"/>
      <c r="E1007" s="897"/>
      <c r="F1007" s="897"/>
      <c r="G1007" s="897"/>
      <c r="H1007" s="776" t="s">
        <v>580</v>
      </c>
      <c r="I1007" s="88" t="s">
        <v>79</v>
      </c>
      <c r="J1007" s="86"/>
      <c r="K1007" s="603" t="s">
        <v>45</v>
      </c>
      <c r="L1007" s="601" t="s">
        <v>46</v>
      </c>
      <c r="M1007" s="86"/>
      <c r="N1007" s="87" t="s">
        <v>69</v>
      </c>
      <c r="O1007" s="87"/>
      <c r="P1007" s="88"/>
      <c r="Q1007" s="88"/>
      <c r="R1007" s="86"/>
      <c r="S1007" s="125"/>
      <c r="T1007" s="543"/>
      <c r="U1007" s="112"/>
      <c r="V1007" s="100" t="b">
        <f>IF(G1007&gt;0,IF(AD1007="me","",G1007))</f>
        <v>0</v>
      </c>
      <c r="W1007" s="100"/>
      <c r="X1007" s="100"/>
      <c r="Y1007" s="201"/>
      <c r="Z1007" s="829" t="str">
        <f t="shared" si="2567"/>
        <v/>
      </c>
      <c r="AA1007" s="829"/>
      <c r="AB1007" s="830" t="str">
        <f>IF(G1007=0,"",IF(AD1007="free","re-planting",IF(AD1007="me","not NVP, by",IF($AD$8="yes",(VLOOKUP(A1007,'Discount Lookup'!J:K,2)*G1007*(1-$AC$1786)*(1+$AC$1788)),IF(AD1007="NVP",(VLOOKUP(A1007,'Discount Lookup'!J:K,2)*G1007*(1-$AC$1786)*(1+$AC$1788)),IF(AD1007="free","re-planting",IF(G1007=0,"",IF($AD$8="",IF(AD1007="me","not NVP, by",IF(AD1007="",IF(G1007&gt;0,(VLOOKUP(A1007,'Discount Lookup'!J:K,2)*G1007*(1-$AC$1786)*(1+$AC$1788)),""),"")),"not NVP, by"))))))))</f>
        <v/>
      </c>
      <c r="AC1007" s="830"/>
      <c r="AD1007" s="375" t="str">
        <f t="shared" si="2539"/>
        <v/>
      </c>
      <c r="AE1007" s="833" t="str">
        <f t="shared" si="2479"/>
        <v/>
      </c>
      <c r="AF1007" s="833"/>
      <c r="AG1007" s="833"/>
      <c r="AH1007" s="91">
        <f>IF(AD1007="free",0,IF(AD1007="me",0,IF(G1007&gt;0,(VLOOKUP(A1007,'Discount Lookup'!J:K,2)*G1007),0)))</f>
        <v>0</v>
      </c>
      <c r="AI1007" s="92" t="str">
        <f t="shared" si="2515"/>
        <v/>
      </c>
      <c r="AJ1007" s="828" t="str">
        <f t="shared" si="2568"/>
        <v/>
      </c>
      <c r="AK1007" s="828"/>
      <c r="AL1007" s="313" t="str">
        <f t="shared" si="2488"/>
        <v/>
      </c>
      <c r="AM1007" s="312"/>
      <c r="AN1007" s="101"/>
      <c r="AO1007" s="101"/>
      <c r="AP1007" s="101"/>
      <c r="AQ1007" s="101"/>
      <c r="AR1007" s="101"/>
      <c r="AS1007" s="101"/>
      <c r="AT1007" s="101"/>
    </row>
    <row r="1008" spans="1:46" ht="12.95" customHeight="1">
      <c r="A1008" s="419">
        <v>3</v>
      </c>
      <c r="B1008" s="87" t="s">
        <v>50</v>
      </c>
      <c r="C1008" s="140" t="s">
        <v>483</v>
      </c>
      <c r="D1008" s="129" t="s">
        <v>87</v>
      </c>
      <c r="E1008" s="98">
        <v>41.95</v>
      </c>
      <c r="F1008" s="705" t="s">
        <v>1306</v>
      </c>
      <c r="G1008" s="357">
        <v>0</v>
      </c>
      <c r="H1008" s="704" t="str">
        <f t="shared" ref="H1008" si="2569">IF(G1008=0,"",IF(F1008="Qty=",IF(G1008=1,"plant","plants"),IF(F1008&gt;0.0001,"warranty","Error")))</f>
        <v/>
      </c>
      <c r="I1008" s="98">
        <f t="shared" ref="I1008" si="2570">IF(F1008="Qty=",(E1008*G1008),((E1008*(1-F1008))*G1008))</f>
        <v>0</v>
      </c>
      <c r="J1008" s="98">
        <f>IF(H1008="warranty",0,(I1008*($J$1782)))</f>
        <v>0</v>
      </c>
      <c r="K1008" s="831">
        <f t="shared" ref="K1008:K1009" si="2571">I1008+J1008</f>
        <v>0</v>
      </c>
      <c r="L1008" s="831"/>
      <c r="M1008" s="832" t="str">
        <f>IF($H$1784=0,"",IF(G1008=0,"",IF(F1008="Qty=",CONCATENATE("$",ROUND(K1008*(1-$H$1784),2)," with ",($H$1784*100),"% discount"),CONCATENATE("$",ROUND(K1008*(1-$H$1784),2)," with ",(($H$1784*100+F1008*100)-($H$1784*100*F1008)),IF(F1008&gt;0,"% discounts",IF($H$1781&gt;0,"% discounts","% discount"))))))</f>
        <v/>
      </c>
      <c r="N1008" s="832"/>
      <c r="O1008" s="832"/>
      <c r="P1008" s="832"/>
      <c r="Q1008" s="832"/>
      <c r="R1008" s="832"/>
      <c r="S1008" s="303">
        <f t="shared" ref="S1008" si="2572">E1008*G1008</f>
        <v>0</v>
      </c>
      <c r="T1008" s="541">
        <f>VLOOKUP(A1008,'Discount Lookup'!D:E,2,FALSE)*G1008</f>
        <v>0</v>
      </c>
      <c r="U1008" s="83">
        <f>VLOOKUP(A1008,'Discount Lookup'!G:H,2,FALSE)*G1008</f>
        <v>0</v>
      </c>
      <c r="V1008" s="100">
        <f>E1008*($J$1782)*G1008</f>
        <v>0</v>
      </c>
      <c r="W1008" s="100">
        <f t="shared" ref="W1008" si="2573">I1008</f>
        <v>0</v>
      </c>
      <c r="X1008" s="100" t="b">
        <f t="shared" ref="X1008" si="2574">IF(G1008&gt;0,IF(AD1008="me","",G1008))</f>
        <v>0</v>
      </c>
      <c r="Y1008" s="201"/>
      <c r="Z1008" s="829" t="str">
        <f t="shared" ref="Z1008" si="2575">IF(G1008=0,"",IF(AD1008="me","",IF($AD$8="me","",IF(AD1008="free","warranty",IF($AD$8="yes","NVP planting:","to NVP install:")))))</f>
        <v/>
      </c>
      <c r="AA1008" s="829"/>
      <c r="AB1008" s="830" t="str">
        <f>IF(G1008=0,"",IF(AD1008="free","re-planting",IF(AD1008="me","not NVP, by",IF($AD$8="yes",(VLOOKUP(A1008,'Discount Lookup'!J:K,2)*G1008*(1-$AC$1786)*(1+$AC$1788)),IF(AD1008="NVP",(VLOOKUP(A1008,'Discount Lookup'!J:K,2)*G1008*(1-$AC$1786)*(1+$AC$1788)),IF(AD1008="free","re-planting",IF(G1008=0,"",IF($AD$8="",IF(AD1008="me","not NVP, by",IF(AD1008="",IF(G1008&gt;0,(VLOOKUP(A1008,'Discount Lookup'!J:K,2)*G1008*(1-$AC$1786)*(1+$AC$1788)),""),"")),"not NVP, by"))))))))</f>
        <v/>
      </c>
      <c r="AC1008" s="830"/>
      <c r="AD1008" s="375" t="str">
        <f t="shared" ref="AD1008" si="2576">IF(G1008=0,"",IF($AD$8="me","me",IF(H1008="warranty","free",IF($AD$8="yes","NVP",""))))</f>
        <v/>
      </c>
      <c r="AE1008" s="833" t="str">
        <f t="shared" ref="AE1008" si="2577">IF(G1008&gt;0,(CONCATENATE((G1008)," quantity, ",(A1008)," ",B1008)),"")</f>
        <v/>
      </c>
      <c r="AF1008" s="833"/>
      <c r="AG1008" s="833"/>
      <c r="AH1008" s="91">
        <f>IF(AD1008="free",0,IF(AD1008="me",0,IF(G1008&gt;0,(VLOOKUP(A1008,'Discount Lookup'!J:K,2)*G1008),0)))</f>
        <v>0</v>
      </c>
      <c r="AI1008" s="92" t="str">
        <f t="shared" si="2515"/>
        <v/>
      </c>
      <c r="AJ1008" s="828" t="str">
        <f t="shared" ref="AJ1008" si="2578">IF(G1008=0,"",IF(AD1008="me","  delivery-only",IF($AD$8="me","  delivery-only",CONCATENATE(" $",ROUND(AI1008/G1008,2)," each"))))</f>
        <v/>
      </c>
      <c r="AK1008" s="828"/>
      <c r="AL1008" s="313" t="str">
        <f t="shared" si="2488"/>
        <v/>
      </c>
      <c r="AM1008" s="312"/>
      <c r="AN1008" s="101"/>
      <c r="AO1008" s="101"/>
      <c r="AP1008" s="101"/>
      <c r="AQ1008" s="101"/>
      <c r="AR1008" s="101"/>
      <c r="AS1008" s="101"/>
      <c r="AT1008" s="101"/>
    </row>
    <row r="1009" spans="1:46" ht="12.95" customHeight="1">
      <c r="A1009" s="419">
        <v>3</v>
      </c>
      <c r="B1009" s="87" t="s">
        <v>50</v>
      </c>
      <c r="C1009" s="140" t="s">
        <v>99</v>
      </c>
      <c r="D1009" s="129" t="s">
        <v>94</v>
      </c>
      <c r="E1009" s="98">
        <v>30.95</v>
      </c>
      <c r="F1009" s="705" t="s">
        <v>1306</v>
      </c>
      <c r="G1009" s="357">
        <v>0</v>
      </c>
      <c r="H1009" s="704" t="str">
        <f t="shared" ref="H1009" si="2579">IF(G1009=0,"",IF(F1009="Qty=",IF(G1009=1,"plant","plants"),IF(F1009&gt;0.0001,"warranty","Error")))</f>
        <v/>
      </c>
      <c r="I1009" s="98">
        <f t="shared" ref="I1009" si="2580">IF(F1009="Qty=",(E1009*G1009),((E1009*(1-F1009))*G1009))</f>
        <v>0</v>
      </c>
      <c r="J1009" s="98">
        <f>IF(H1009="warranty",0,(I1009*($J$1782)))</f>
        <v>0</v>
      </c>
      <c r="K1009" s="831">
        <f t="shared" si="2571"/>
        <v>0</v>
      </c>
      <c r="L1009" s="831"/>
      <c r="M1009" s="832" t="str">
        <f>IF($H$1784=0,"",IF(G1009=0,"",IF(F1009="Qty=",CONCATENATE("$",ROUND(K1009*(1-$H$1784),2)," with ",($H$1784*100),"% discount"),CONCATENATE("$",ROUND(K1009*(1-$H$1784),2)," with ",(($H$1784*100+F1009*100)-($H$1784*100*F1009)),IF(F1009&gt;0,"% discounts",IF($H$1781&gt;0,"% discounts","% discount"))))))</f>
        <v/>
      </c>
      <c r="N1009" s="832"/>
      <c r="O1009" s="832"/>
      <c r="P1009" s="832"/>
      <c r="Q1009" s="832"/>
      <c r="R1009" s="832"/>
      <c r="S1009" s="303">
        <f t="shared" ref="S1009" si="2581">E1009*G1009</f>
        <v>0</v>
      </c>
      <c r="T1009" s="541">
        <f>VLOOKUP(A1009,'Discount Lookup'!D:E,2,FALSE)*G1009</f>
        <v>0</v>
      </c>
      <c r="U1009" s="83">
        <f>VLOOKUP(A1009,'Discount Lookup'!G:H,2,FALSE)*G1009</f>
        <v>0</v>
      </c>
      <c r="V1009" s="100">
        <f>E1009*($J$1782)*G1009</f>
        <v>0</v>
      </c>
      <c r="W1009" s="100">
        <f t="shared" ref="W1009" si="2582">I1009</f>
        <v>0</v>
      </c>
      <c r="X1009" s="100" t="b">
        <f>IF(G1009&gt;0,IF(AD1009="me","",G1009))</f>
        <v>0</v>
      </c>
      <c r="Y1009" s="201"/>
      <c r="Z1009" s="829" t="str">
        <f t="shared" si="2567"/>
        <v/>
      </c>
      <c r="AA1009" s="829"/>
      <c r="AB1009" s="830" t="str">
        <f>IF(G1009=0,"",IF(AD1009="free","re-planting",IF(AD1009="me","not NVP, by",IF($AD$8="yes",(VLOOKUP(A1009,'Discount Lookup'!J:K,2)*G1009*(1-$AC$1786)*(1+$AC$1788)),IF(AD1009="NVP",(VLOOKUP(A1009,'Discount Lookup'!J:K,2)*G1009*(1-$AC$1786)*(1+$AC$1788)),IF(AD1009="free","re-planting",IF(G1009=0,"",IF($AD$8="",IF(AD1009="me","not NVP, by",IF(AD1009="",IF(G1009&gt;0,(VLOOKUP(A1009,'Discount Lookup'!J:K,2)*G1009*(1-$AC$1786)*(1+$AC$1788)),""),"")),"not NVP, by"))))))))</f>
        <v/>
      </c>
      <c r="AC1009" s="830"/>
      <c r="AD1009" s="375" t="str">
        <f t="shared" si="2539"/>
        <v/>
      </c>
      <c r="AE1009" s="833" t="str">
        <f t="shared" si="2479"/>
        <v/>
      </c>
      <c r="AF1009" s="833"/>
      <c r="AG1009" s="833"/>
      <c r="AH1009" s="91">
        <f>IF(AD1009="free",0,IF(AD1009="me",0,IF(G1009&gt;0,(VLOOKUP(A1009,'Discount Lookup'!J:K,2)*G1009),0)))</f>
        <v>0</v>
      </c>
      <c r="AI1009" s="92" t="str">
        <f t="shared" si="2515"/>
        <v/>
      </c>
      <c r="AJ1009" s="828" t="str">
        <f t="shared" si="2568"/>
        <v/>
      </c>
      <c r="AK1009" s="828"/>
      <c r="AL1009" s="313" t="str">
        <f t="shared" si="2488"/>
        <v/>
      </c>
      <c r="AM1009" s="312"/>
      <c r="AN1009" s="101"/>
      <c r="AO1009" s="101"/>
      <c r="AP1009" s="101"/>
      <c r="AQ1009" s="101"/>
      <c r="AR1009" s="101"/>
      <c r="AS1009" s="101"/>
      <c r="AT1009" s="101"/>
    </row>
    <row r="1010" spans="1:46" ht="12.95" customHeight="1">
      <c r="A1010" s="468"/>
      <c r="B1010" s="149" t="s">
        <v>581</v>
      </c>
      <c r="C1010" s="118"/>
      <c r="D1010" s="118"/>
      <c r="E1010" s="119"/>
      <c r="F1010" s="711"/>
      <c r="G1010" s="358"/>
      <c r="H1010" s="745"/>
      <c r="I1010" s="119"/>
      <c r="J1010" s="119"/>
      <c r="K1010" s="609"/>
      <c r="L1010" s="609"/>
      <c r="M1010" s="121"/>
      <c r="N1010" s="122" t="s">
        <v>115</v>
      </c>
      <c r="O1010" s="123"/>
      <c r="P1010" s="124"/>
      <c r="Q1010" s="124"/>
      <c r="R1010" s="83"/>
      <c r="S1010" s="82">
        <f>E1010*G1010</f>
        <v>0</v>
      </c>
      <c r="T1010" s="540"/>
      <c r="U1010" s="83"/>
      <c r="V1010" s="100" t="b">
        <f>IF(G1010&gt;0,IF(AD1010="me","",G1010))</f>
        <v>0</v>
      </c>
      <c r="W1010" s="100"/>
      <c r="X1010" s="100"/>
      <c r="Y1010" s="201"/>
      <c r="Z1010" s="829" t="str">
        <f t="shared" si="2567"/>
        <v/>
      </c>
      <c r="AA1010" s="829"/>
      <c r="AB1010" s="830" t="str">
        <f>IF(G1010=0,"",IF(AD1010="free","re-planting",IF(AD1010="me","not NVP, by",IF($AD$8="yes",(VLOOKUP(A1010,'Discount Lookup'!J:K,2)*G1010*(1-$AC$1786)*(1+$AC$1788)),IF(AD1010="NVP",(VLOOKUP(A1010,'Discount Lookup'!J:K,2)*G1010*(1-$AC$1786)*(1+$AC$1788)),IF(AD1010="free","re-planting",IF(G1010=0,"",IF($AD$8="",IF(AD1010="me","not NVP, by",IF(AD1010="",IF(G1010&gt;0,(VLOOKUP(A1010,'Discount Lookup'!J:K,2)*G1010*(1-$AC$1786)*(1+$AC$1788)),""),"")),"not NVP, by"))))))))</f>
        <v/>
      </c>
      <c r="AC1010" s="830"/>
      <c r="AD1010" s="375" t="str">
        <f t="shared" si="2539"/>
        <v/>
      </c>
      <c r="AE1010" s="833" t="str">
        <f t="shared" si="2479"/>
        <v/>
      </c>
      <c r="AF1010" s="833"/>
      <c r="AG1010" s="833"/>
      <c r="AH1010" s="91">
        <f>IF(AD1010="free",0,IF(AD1010="me",0,IF(G1010&gt;0,(VLOOKUP(A1010,'Discount Lookup'!J:K,2)*G1010),0)))</f>
        <v>0</v>
      </c>
      <c r="AI1010" s="92" t="str">
        <f t="shared" si="2515"/>
        <v/>
      </c>
      <c r="AJ1010" s="828" t="str">
        <f t="shared" si="2568"/>
        <v/>
      </c>
      <c r="AK1010" s="828"/>
      <c r="AL1010" s="313" t="str">
        <f t="shared" si="2488"/>
        <v/>
      </c>
      <c r="AM1010" s="312"/>
      <c r="AN1010" s="101"/>
      <c r="AO1010" s="101"/>
      <c r="AP1010" s="101"/>
      <c r="AQ1010" s="101"/>
      <c r="AR1010" s="101"/>
      <c r="AS1010" s="101"/>
      <c r="AT1010" s="101"/>
    </row>
    <row r="1011" spans="1:46" ht="12.95" customHeight="1">
      <c r="A1011" s="896" t="s">
        <v>1559</v>
      </c>
      <c r="B1011" s="897"/>
      <c r="C1011" s="897"/>
      <c r="D1011" s="897"/>
      <c r="E1011" s="897"/>
      <c r="F1011" s="897"/>
      <c r="G1011" s="897"/>
      <c r="H1011" s="776" t="s">
        <v>580</v>
      </c>
      <c r="I1011" s="88" t="s">
        <v>79</v>
      </c>
      <c r="J1011" s="86"/>
      <c r="K1011" s="664" t="s">
        <v>45</v>
      </c>
      <c r="L1011" s="601" t="s">
        <v>46</v>
      </c>
      <c r="M1011" s="86"/>
      <c r="N1011" s="87" t="s">
        <v>128</v>
      </c>
      <c r="O1011" s="87"/>
      <c r="P1011" s="87"/>
      <c r="Q1011" s="87"/>
      <c r="R1011" s="86"/>
      <c r="S1011" s="125"/>
      <c r="T1011" s="543"/>
      <c r="U1011" s="89" t="s">
        <v>48</v>
      </c>
      <c r="V1011" s="100" t="b">
        <f>IF(G1011&gt;0,IF(AD1011="me","",G1011))</f>
        <v>0</v>
      </c>
      <c r="W1011" s="100"/>
      <c r="X1011" s="100"/>
      <c r="Y1011" s="201"/>
      <c r="Z1011" s="829" t="str">
        <f t="shared" si="2567"/>
        <v/>
      </c>
      <c r="AA1011" s="829"/>
      <c r="AB1011" s="830" t="str">
        <f>IF(G1011=0,"",IF(AD1011="free","re-planting",IF(AD1011="me","not NVP, by",IF($AD$8="yes",(VLOOKUP(A1011,'Discount Lookup'!J:K,2)*G1011*(1-$AC$1786)*(1+$AC$1788)),IF(AD1011="NVP",(VLOOKUP(A1011,'Discount Lookup'!J:K,2)*G1011*(1-$AC$1786)*(1+$AC$1788)),IF(AD1011="free","re-planting",IF(G1011=0,"",IF($AD$8="",IF(AD1011="me","not NVP, by",IF(AD1011="",IF(G1011&gt;0,(VLOOKUP(A1011,'Discount Lookup'!J:K,2)*G1011*(1-$AC$1786)*(1+$AC$1788)),""),"")),"not NVP, by"))))))))</f>
        <v/>
      </c>
      <c r="AC1011" s="830"/>
      <c r="AD1011" s="375" t="str">
        <f t="shared" si="2539"/>
        <v/>
      </c>
      <c r="AE1011" s="833" t="str">
        <f t="shared" si="2479"/>
        <v/>
      </c>
      <c r="AF1011" s="833"/>
      <c r="AG1011" s="833"/>
      <c r="AH1011" s="91">
        <f>IF(AD1011="free",0,IF(AD1011="me",0,IF(G1011&gt;0,(VLOOKUP(A1011,'Discount Lookup'!J:K,2)*G1011),0)))</f>
        <v>0</v>
      </c>
      <c r="AI1011" s="92" t="str">
        <f t="shared" si="2515"/>
        <v/>
      </c>
      <c r="AJ1011" s="828" t="str">
        <f t="shared" si="2568"/>
        <v/>
      </c>
      <c r="AK1011" s="828"/>
      <c r="AL1011" s="313" t="str">
        <f t="shared" si="2488"/>
        <v/>
      </c>
      <c r="AM1011" s="312"/>
      <c r="AN1011" s="101"/>
      <c r="AO1011" s="101"/>
      <c r="AP1011" s="101"/>
      <c r="AQ1011" s="101"/>
      <c r="AR1011" s="101"/>
      <c r="AS1011" s="101"/>
      <c r="AT1011" s="101"/>
    </row>
    <row r="1012" spans="1:46" ht="12.95" customHeight="1">
      <c r="A1012" s="419">
        <v>3</v>
      </c>
      <c r="B1012" s="87" t="s">
        <v>50</v>
      </c>
      <c r="C1012" s="399" t="s">
        <v>136</v>
      </c>
      <c r="D1012" s="129" t="s">
        <v>86</v>
      </c>
      <c r="E1012" s="98">
        <v>33.950000000000003</v>
      </c>
      <c r="F1012" s="705" t="s">
        <v>1306</v>
      </c>
      <c r="G1012" s="357">
        <v>0</v>
      </c>
      <c r="H1012" s="704" t="str">
        <f t="shared" ref="H1012:H1015" si="2583">IF(G1012=0,"",IF(F1012="Qty=",IF(G1012=1,"plant","plants"),IF(F1012&gt;0.0001,"warranty","Error")))</f>
        <v/>
      </c>
      <c r="I1012" s="98">
        <f t="shared" ref="I1012:I1015" si="2584">IF(F1012="Qty=",(E1012*G1012),((E1012*(1-F1012))*G1012))</f>
        <v>0</v>
      </c>
      <c r="J1012" s="98">
        <f>IF(H1012="warranty",0,(I1012*($J$1782)))</f>
        <v>0</v>
      </c>
      <c r="K1012" s="831">
        <f t="shared" ref="K1012:K1015" si="2585">I1012+J1012</f>
        <v>0</v>
      </c>
      <c r="L1012" s="831"/>
      <c r="M1012" s="832" t="str">
        <f>IF($H$1784=0,"",IF(G1012=0,"",IF(F1012="Qty=",CONCATENATE("$",ROUND(K1012*(1-$H$1784),2)," with ",($H$1784*100),"% discount"),CONCATENATE("$",ROUND(K1012*(1-$H$1784),2)," with ",(($H$1784*100+F1012*100)-($H$1784*100*F1012)),IF(F1012&gt;0,"% discounts",IF($H$1781&gt;0,"% discounts","% discount"))))))</f>
        <v/>
      </c>
      <c r="N1012" s="832"/>
      <c r="O1012" s="832"/>
      <c r="P1012" s="832"/>
      <c r="Q1012" s="832"/>
      <c r="R1012" s="832"/>
      <c r="S1012" s="303">
        <f t="shared" ref="S1012" si="2586">E1012*G1012</f>
        <v>0</v>
      </c>
      <c r="T1012" s="541">
        <f>VLOOKUP(A1012,'Discount Lookup'!D:E,2,FALSE)*G1012</f>
        <v>0</v>
      </c>
      <c r="U1012" s="83">
        <f>VLOOKUP(A1012,'Discount Lookup'!G:H,2,FALSE)*G1012</f>
        <v>0</v>
      </c>
      <c r="V1012" s="100">
        <f>E1012*($J$1782)*G1012</f>
        <v>0</v>
      </c>
      <c r="W1012" s="100">
        <f t="shared" ref="W1012" si="2587">I1012</f>
        <v>0</v>
      </c>
      <c r="X1012" s="100" t="b">
        <f t="shared" ref="X1012:X1015" si="2588">IF(G1012&gt;0,IF(AD1012="me","",G1012))</f>
        <v>0</v>
      </c>
      <c r="Y1012" s="201"/>
      <c r="Z1012" s="829" t="str">
        <f t="shared" si="2567"/>
        <v/>
      </c>
      <c r="AA1012" s="829"/>
      <c r="AB1012" s="830" t="str">
        <f>IF(G1012=0,"",IF(AD1012="free","re-planting",IF(AD1012="me","not NVP, by",IF($AD$8="yes",(VLOOKUP(A1012,'Discount Lookup'!J:K,2)*G1012*(1-$AC$1786)*(1+$AC$1788)),IF(AD1012="NVP",(VLOOKUP(A1012,'Discount Lookup'!J:K,2)*G1012*(1-$AC$1786)*(1+$AC$1788)),IF(AD1012="free","re-planting",IF(G1012=0,"",IF($AD$8="",IF(AD1012="me","not NVP, by",IF(AD1012="",IF(G1012&gt;0,(VLOOKUP(A1012,'Discount Lookup'!J:K,2)*G1012*(1-$AC$1786)*(1+$AC$1788)),""),"")),"not NVP, by"))))))))</f>
        <v/>
      </c>
      <c r="AC1012" s="830"/>
      <c r="AD1012" s="375" t="str">
        <f t="shared" si="2539"/>
        <v/>
      </c>
      <c r="AE1012" s="833" t="str">
        <f t="shared" ref="AE1012" si="2589">IF(G1012&gt;0,(CONCATENATE((G1012)," quantity, ",(A1012)," ",B1012)),"")</f>
        <v/>
      </c>
      <c r="AF1012" s="833"/>
      <c r="AG1012" s="833"/>
      <c r="AH1012" s="91">
        <f>IF(AD1012="free",0,IF(AD1012="me",0,IF(G1012&gt;0,(VLOOKUP(A1012,'Discount Lookup'!J:K,2)*G1012),0)))</f>
        <v>0</v>
      </c>
      <c r="AI1012" s="92" t="str">
        <f t="shared" si="2515"/>
        <v/>
      </c>
      <c r="AJ1012" s="828" t="str">
        <f t="shared" si="2568"/>
        <v/>
      </c>
      <c r="AK1012" s="828"/>
      <c r="AL1012" s="313" t="str">
        <f t="shared" si="2488"/>
        <v/>
      </c>
      <c r="AM1012" s="312"/>
      <c r="AN1012" s="101"/>
      <c r="AO1012" s="101"/>
      <c r="AP1012" s="101"/>
      <c r="AQ1012" s="101"/>
      <c r="AR1012" s="101"/>
      <c r="AS1012" s="101"/>
      <c r="AT1012" s="101"/>
    </row>
    <row r="1013" spans="1:46" ht="12.95" customHeight="1">
      <c r="A1013" s="419">
        <v>3</v>
      </c>
      <c r="B1013" s="87" t="s">
        <v>50</v>
      </c>
      <c r="C1013" s="399" t="s">
        <v>136</v>
      </c>
      <c r="D1013" s="129" t="s">
        <v>87</v>
      </c>
      <c r="E1013" s="98">
        <v>33.950000000000003</v>
      </c>
      <c r="F1013" s="705" t="s">
        <v>1306</v>
      </c>
      <c r="G1013" s="357">
        <v>0</v>
      </c>
      <c r="H1013" s="704" t="str">
        <f t="shared" si="2583"/>
        <v/>
      </c>
      <c r="I1013" s="98">
        <f t="shared" si="2584"/>
        <v>0</v>
      </c>
      <c r="J1013" s="98">
        <f>IF(H1013="warranty",0,(I1013*($J$1782)))</f>
        <v>0</v>
      </c>
      <c r="K1013" s="831">
        <f t="shared" si="2585"/>
        <v>0</v>
      </c>
      <c r="L1013" s="831"/>
      <c r="M1013" s="832" t="str">
        <f>IF($H$1784=0,"",IF(G1013=0,"",IF(F1013="Qty=",CONCATENATE("$",ROUND(K1013*(1-$H$1784),2)," with ",($H$1784*100),"% discount"),CONCATENATE("$",ROUND(K1013*(1-$H$1784),2)," with ",(($H$1784*100+F1013*100)-($H$1784*100*F1013)),IF(F1013&gt;0,"% discounts",IF($H$1781&gt;0,"% discounts","% discount"))))))</f>
        <v/>
      </c>
      <c r="N1013" s="832"/>
      <c r="O1013" s="832"/>
      <c r="P1013" s="832"/>
      <c r="Q1013" s="832"/>
      <c r="R1013" s="832"/>
      <c r="S1013" s="303">
        <f t="shared" ref="S1013:S1015" si="2590">E1013*G1013</f>
        <v>0</v>
      </c>
      <c r="T1013" s="541">
        <f>VLOOKUP(A1013,'Discount Lookup'!D:E,2,FALSE)*G1013</f>
        <v>0</v>
      </c>
      <c r="U1013" s="83">
        <f>VLOOKUP(A1013,'Discount Lookup'!G:H,2,FALSE)*G1013</f>
        <v>0</v>
      </c>
      <c r="V1013" s="100">
        <f>E1013*($J$1782)*G1013</f>
        <v>0</v>
      </c>
      <c r="W1013" s="100">
        <f t="shared" ref="W1013:W1015" si="2591">I1013</f>
        <v>0</v>
      </c>
      <c r="X1013" s="100" t="b">
        <f t="shared" si="2588"/>
        <v>0</v>
      </c>
      <c r="Y1013" s="201"/>
      <c r="Z1013" s="829" t="str">
        <f t="shared" si="2567"/>
        <v/>
      </c>
      <c r="AA1013" s="829"/>
      <c r="AB1013" s="830" t="str">
        <f>IF(G1013=0,"",IF(AD1013="free","re-planting",IF(AD1013="me","not NVP, by",IF($AD$8="yes",(VLOOKUP(A1013,'Discount Lookup'!J:K,2)*G1013*(1-$AC$1786)*(1+$AC$1788)),IF(AD1013="NVP",(VLOOKUP(A1013,'Discount Lookup'!J:K,2)*G1013*(1-$AC$1786)*(1+$AC$1788)),IF(AD1013="free","re-planting",IF(G1013=0,"",IF($AD$8="",IF(AD1013="me","not NVP, by",IF(AD1013="",IF(G1013&gt;0,(VLOOKUP(A1013,'Discount Lookup'!J:K,2)*G1013*(1-$AC$1786)*(1+$AC$1788)),""),"")),"not NVP, by"))))))))</f>
        <v/>
      </c>
      <c r="AC1013" s="830"/>
      <c r="AD1013" s="375" t="str">
        <f t="shared" si="2539"/>
        <v/>
      </c>
      <c r="AE1013" s="833" t="str">
        <f t="shared" si="2479"/>
        <v/>
      </c>
      <c r="AF1013" s="833"/>
      <c r="AG1013" s="833"/>
      <c r="AH1013" s="91">
        <f>IF(AD1013="free",0,IF(AD1013="me",0,IF(G1013&gt;0,(VLOOKUP(A1013,'Discount Lookup'!J:K,2)*G1013),0)))</f>
        <v>0</v>
      </c>
      <c r="AI1013" s="92" t="str">
        <f t="shared" si="2515"/>
        <v/>
      </c>
      <c r="AJ1013" s="828" t="str">
        <f t="shared" si="2568"/>
        <v/>
      </c>
      <c r="AK1013" s="828"/>
      <c r="AL1013" s="313" t="str">
        <f t="shared" si="2488"/>
        <v/>
      </c>
      <c r="AM1013" s="312"/>
      <c r="AN1013" s="101"/>
      <c r="AO1013" s="101"/>
      <c r="AP1013" s="101"/>
      <c r="AQ1013" s="101"/>
      <c r="AR1013" s="101"/>
      <c r="AS1013" s="101"/>
      <c r="AT1013" s="101"/>
    </row>
    <row r="1014" spans="1:46" ht="12.95" customHeight="1">
      <c r="A1014" s="419">
        <v>7</v>
      </c>
      <c r="B1014" s="87" t="s">
        <v>50</v>
      </c>
      <c r="C1014" s="140" t="s">
        <v>1355</v>
      </c>
      <c r="D1014" s="129" t="s">
        <v>54</v>
      </c>
      <c r="E1014" s="98">
        <v>100.95</v>
      </c>
      <c r="F1014" s="705" t="s">
        <v>1306</v>
      </c>
      <c r="G1014" s="357">
        <v>0</v>
      </c>
      <c r="H1014" s="704" t="str">
        <f t="shared" ref="H1014" si="2592">IF(G1014=0,"",IF(F1014="Qty=",IF(G1014=1,"plant","plants"),IF(F1014&gt;0.0001,"warranty","Error")))</f>
        <v/>
      </c>
      <c r="I1014" s="98">
        <f t="shared" ref="I1014" si="2593">IF(F1014="Qty=",(E1014*G1014),((E1014*(1-F1014))*G1014))</f>
        <v>0</v>
      </c>
      <c r="J1014" s="98">
        <f>IF(H1014="warranty",0,(I1014*($J$1782)))</f>
        <v>0</v>
      </c>
      <c r="K1014" s="831">
        <f t="shared" si="2585"/>
        <v>0</v>
      </c>
      <c r="L1014" s="831"/>
      <c r="M1014" s="832" t="str">
        <f>IF($H$1784=0,"",IF(G1014=0,"",IF(F1014="Qty=",CONCATENATE("$",ROUND(K1014*(1-$H$1784),2)," with ",($H$1784*100),"% discount"),CONCATENATE("$",ROUND(K1014*(1-$H$1784),2)," with ",(($H$1784*100+F1014*100)-($H$1784*100*F1014)),IF(F1014&gt;0,"% discounts",IF($H$1781&gt;0,"% discounts","% discount"))))))</f>
        <v/>
      </c>
      <c r="N1014" s="832"/>
      <c r="O1014" s="832"/>
      <c r="P1014" s="832"/>
      <c r="Q1014" s="832"/>
      <c r="R1014" s="832"/>
      <c r="S1014" s="303">
        <f t="shared" ref="S1014" si="2594">E1014*G1014</f>
        <v>0</v>
      </c>
      <c r="T1014" s="541">
        <f>VLOOKUP(A1014,'Discount Lookup'!D:E,2,FALSE)*G1014</f>
        <v>0</v>
      </c>
      <c r="U1014" s="83">
        <f>VLOOKUP(A1014,'Discount Lookup'!G:H,2,FALSE)*G1014</f>
        <v>0</v>
      </c>
      <c r="V1014" s="100">
        <f>E1014*($J$1782)*G1014</f>
        <v>0</v>
      </c>
      <c r="W1014" s="100">
        <f t="shared" ref="W1014" si="2595">I1014</f>
        <v>0</v>
      </c>
      <c r="X1014" s="100" t="b">
        <f t="shared" si="2588"/>
        <v>0</v>
      </c>
      <c r="Y1014" s="201"/>
      <c r="Z1014" s="829" t="str">
        <f t="shared" ref="Z1014" si="2596">IF(G1014=0,"",IF(AD1014="me","",IF($AD$8="me","",IF(AD1014="free","warranty",IF($AD$8="yes","NVP planting:","to NVP install:")))))</f>
        <v/>
      </c>
      <c r="AA1014" s="829"/>
      <c r="AB1014" s="830" t="str">
        <f>IF(G1014=0,"",IF(AD1014="free","re-planting",IF(AD1014="me","not NVP, by",IF($AD$8="yes",(VLOOKUP(A1014,'Discount Lookup'!J:K,2)*G1014*(1-$AC$1786)*(1+$AC$1788)),IF(AD1014="NVP",(VLOOKUP(A1014,'Discount Lookup'!J:K,2)*G1014*(1-$AC$1786)*(1+$AC$1788)),IF(AD1014="free","re-planting",IF(G1014=0,"",IF($AD$8="",IF(AD1014="me","not NVP, by",IF(AD1014="",IF(G1014&gt;0,(VLOOKUP(A1014,'Discount Lookup'!J:K,2)*G1014*(1-$AC$1786)*(1+$AC$1788)),""),"")),"not NVP, by"))))))))</f>
        <v/>
      </c>
      <c r="AC1014" s="830"/>
      <c r="AD1014" s="375" t="str">
        <f t="shared" si="2539"/>
        <v/>
      </c>
      <c r="AE1014" s="833" t="str">
        <f t="shared" ref="AE1014" si="2597">IF(G1014&gt;0,(CONCATENATE((G1014)," quantity, ",(A1014)," ",B1014)),"")</f>
        <v/>
      </c>
      <c r="AF1014" s="833"/>
      <c r="AG1014" s="833"/>
      <c r="AH1014" s="91">
        <f>IF(AD1014="free",0,IF(AD1014="me",0,IF(G1014&gt;0,(VLOOKUP(A1014,'Discount Lookup'!J:K,2)*G1014),0)))</f>
        <v>0</v>
      </c>
      <c r="AI1014" s="92" t="str">
        <f t="shared" si="2515"/>
        <v/>
      </c>
      <c r="AJ1014" s="828" t="str">
        <f t="shared" ref="AJ1014" si="2598">IF(G1014=0,"",IF(AD1014="me","  delivery-only",IF($AD$8="me","  delivery-only",CONCATENATE(" $",ROUND(AI1014/G1014,2)," each"))))</f>
        <v/>
      </c>
      <c r="AK1014" s="828"/>
      <c r="AL1014" s="313" t="str">
        <f t="shared" si="2488"/>
        <v/>
      </c>
      <c r="AM1014" s="312"/>
      <c r="AN1014" s="101"/>
      <c r="AO1014" s="101"/>
      <c r="AP1014" s="101"/>
      <c r="AQ1014" s="101"/>
      <c r="AR1014" s="101"/>
      <c r="AS1014" s="101"/>
      <c r="AT1014" s="101"/>
    </row>
    <row r="1015" spans="1:46" ht="12.95" customHeight="1">
      <c r="A1015" s="419">
        <v>7</v>
      </c>
      <c r="B1015" s="87" t="s">
        <v>50</v>
      </c>
      <c r="C1015" s="140" t="s">
        <v>1523</v>
      </c>
      <c r="D1015" s="129" t="s">
        <v>90</v>
      </c>
      <c r="E1015" s="98">
        <v>100.95</v>
      </c>
      <c r="F1015" s="705" t="s">
        <v>1306</v>
      </c>
      <c r="G1015" s="357">
        <v>0</v>
      </c>
      <c r="H1015" s="704" t="str">
        <f t="shared" si="2583"/>
        <v/>
      </c>
      <c r="I1015" s="98">
        <f t="shared" si="2584"/>
        <v>0</v>
      </c>
      <c r="J1015" s="98">
        <f>IF(H1015="warranty",0,(I1015*($J$1782)))</f>
        <v>0</v>
      </c>
      <c r="K1015" s="831">
        <f t="shared" si="2585"/>
        <v>0</v>
      </c>
      <c r="L1015" s="831"/>
      <c r="M1015" s="832" t="str">
        <f>IF($H$1784=0,"",IF(G1015=0,"",IF(F1015="Qty=",CONCATENATE("$",ROUND(K1015*(1-$H$1784),2)," with ",($H$1784*100),"% discount"),CONCATENATE("$",ROUND(K1015*(1-$H$1784),2)," with ",(($H$1784*100+F1015*100)-($H$1784*100*F1015)),IF(F1015&gt;0,"% discounts",IF($H$1781&gt;0,"% discounts","% discount"))))))</f>
        <v/>
      </c>
      <c r="N1015" s="832"/>
      <c r="O1015" s="832"/>
      <c r="P1015" s="832"/>
      <c r="Q1015" s="832"/>
      <c r="R1015" s="832"/>
      <c r="S1015" s="303">
        <f t="shared" si="2590"/>
        <v>0</v>
      </c>
      <c r="T1015" s="541">
        <f>VLOOKUP(A1015,'Discount Lookup'!D:E,2,FALSE)*G1015</f>
        <v>0</v>
      </c>
      <c r="U1015" s="83">
        <f>VLOOKUP(A1015,'Discount Lookup'!G:H,2,FALSE)*G1015</f>
        <v>0</v>
      </c>
      <c r="V1015" s="100">
        <f>E1015*($J$1782)*G1015</f>
        <v>0</v>
      </c>
      <c r="W1015" s="100">
        <f t="shared" si="2591"/>
        <v>0</v>
      </c>
      <c r="X1015" s="100" t="b">
        <f t="shared" si="2588"/>
        <v>0</v>
      </c>
      <c r="Y1015" s="201"/>
      <c r="Z1015" s="829" t="str">
        <f t="shared" si="2567"/>
        <v/>
      </c>
      <c r="AA1015" s="829"/>
      <c r="AB1015" s="830" t="str">
        <f>IF(G1015=0,"",IF(AD1015="free","re-planting",IF(AD1015="me","not NVP, by",IF($AD$8="yes",(VLOOKUP(A1015,'Discount Lookup'!J:K,2)*G1015*(1-$AC$1786)*(1+$AC$1788)),IF(AD1015="NVP",(VLOOKUP(A1015,'Discount Lookup'!J:K,2)*G1015*(1-$AC$1786)*(1+$AC$1788)),IF(AD1015="free","re-planting",IF(G1015=0,"",IF($AD$8="",IF(AD1015="me","not NVP, by",IF(AD1015="",IF(G1015&gt;0,(VLOOKUP(A1015,'Discount Lookup'!J:K,2)*G1015*(1-$AC$1786)*(1+$AC$1788)),""),"")),"not NVP, by"))))))))</f>
        <v/>
      </c>
      <c r="AC1015" s="830"/>
      <c r="AD1015" s="375" t="str">
        <f t="shared" si="2539"/>
        <v/>
      </c>
      <c r="AE1015" s="833" t="str">
        <f t="shared" si="2479"/>
        <v/>
      </c>
      <c r="AF1015" s="833"/>
      <c r="AG1015" s="833"/>
      <c r="AH1015" s="91">
        <f>IF(AD1015="free",0,IF(AD1015="me",0,IF(G1015&gt;0,(VLOOKUP(A1015,'Discount Lookup'!J:K,2)*G1015),0)))</f>
        <v>0</v>
      </c>
      <c r="AI1015" s="92" t="str">
        <f t="shared" si="2515"/>
        <v/>
      </c>
      <c r="AJ1015" s="828" t="str">
        <f t="shared" si="2568"/>
        <v/>
      </c>
      <c r="AK1015" s="828"/>
      <c r="AL1015" s="313" t="str">
        <f t="shared" si="2488"/>
        <v/>
      </c>
      <c r="AM1015" s="312"/>
      <c r="AN1015" s="101"/>
      <c r="AO1015" s="101"/>
      <c r="AP1015" s="101"/>
      <c r="AQ1015" s="101"/>
      <c r="AR1015" s="101"/>
      <c r="AS1015" s="101"/>
      <c r="AT1015" s="101"/>
    </row>
    <row r="1016" spans="1:46" ht="12.95" customHeight="1">
      <c r="A1016" s="468"/>
      <c r="B1016" s="149" t="s">
        <v>1561</v>
      </c>
      <c r="C1016" s="118"/>
      <c r="D1016" s="118"/>
      <c r="E1016" s="119"/>
      <c r="F1016" s="711"/>
      <c r="G1016" s="358"/>
      <c r="H1016" s="745"/>
      <c r="I1016" s="119"/>
      <c r="J1016" s="119"/>
      <c r="K1016" s="609"/>
      <c r="L1016" s="609"/>
      <c r="M1016" s="840"/>
      <c r="N1016" s="840"/>
      <c r="O1016" s="123"/>
      <c r="P1016" s="124"/>
      <c r="Q1016" s="841" t="s">
        <v>125</v>
      </c>
      <c r="R1016" s="841"/>
      <c r="S1016" s="841"/>
      <c r="T1016" s="841"/>
      <c r="U1016" s="841"/>
      <c r="V1016" s="841"/>
      <c r="W1016" s="286"/>
      <c r="X1016" s="286"/>
      <c r="Y1016" s="794"/>
      <c r="Z1016" s="829" t="str">
        <f t="shared" si="2567"/>
        <v/>
      </c>
      <c r="AA1016" s="829"/>
      <c r="AB1016" s="830" t="str">
        <f>IF(G1016=0,"",IF(AD1016="free","re-planting",IF(AD1016="me","not NVP, by",IF($AD$8="yes",(VLOOKUP(A1016,'Discount Lookup'!J:K,2)*G1016*(1-$AC$1786)*(1+$AC$1788)),IF(AD1016="NVP",(VLOOKUP(A1016,'Discount Lookup'!J:K,2)*G1016*(1-$AC$1786)*(1+$AC$1788)),IF(AD1016="free","re-planting",IF(G1016=0,"",IF($AD$8="",IF(AD1016="me","not NVP, by",IF(AD1016="",IF(G1016&gt;0,(VLOOKUP(A1016,'Discount Lookup'!J:K,2)*G1016*(1-$AC$1786)*(1+$AC$1788)),""),"")),"not NVP, by"))))))))</f>
        <v/>
      </c>
      <c r="AC1016" s="830"/>
      <c r="AD1016" s="375" t="str">
        <f t="shared" si="2539"/>
        <v/>
      </c>
      <c r="AE1016" s="833" t="str">
        <f t="shared" si="2479"/>
        <v/>
      </c>
      <c r="AF1016" s="833"/>
      <c r="AG1016" s="833"/>
      <c r="AH1016" s="91">
        <f>IF(AD1016="free",0,IF(AD1016="me",0,IF(G1016&gt;0,(VLOOKUP(A1016,'Discount Lookup'!J:K,2)*G1016),0)))</f>
        <v>0</v>
      </c>
      <c r="AI1016" s="92" t="str">
        <f t="shared" ref="AI1016:AI1047" si="2599">IF(G1016=0,"",IF(AD1016="free",(K1016*(1-$H$1784)),IF($AD$8="me",(K1016*(1-$H$1784)),IF(AD1016="me",(K1016*(1-$H$1784)),(K1016*(1-$H$1784))+AB1016))))</f>
        <v/>
      </c>
      <c r="AJ1016" s="828" t="str">
        <f t="shared" si="2568"/>
        <v/>
      </c>
      <c r="AK1016" s="828"/>
      <c r="AL1016" s="313" t="str">
        <f t="shared" si="2488"/>
        <v/>
      </c>
      <c r="AM1016" s="312"/>
      <c r="AN1016" s="101"/>
      <c r="AO1016" s="101"/>
      <c r="AP1016" s="101"/>
      <c r="AQ1016" s="101"/>
      <c r="AR1016" s="101"/>
      <c r="AS1016" s="101"/>
      <c r="AT1016" s="101"/>
    </row>
    <row r="1017" spans="1:46" ht="12.95" customHeight="1">
      <c r="A1017" s="896" t="s">
        <v>1560</v>
      </c>
      <c r="B1017" s="897"/>
      <c r="C1017" s="897"/>
      <c r="D1017" s="897"/>
      <c r="E1017" s="897"/>
      <c r="F1017" s="897"/>
      <c r="G1017" s="897"/>
      <c r="H1017" s="776" t="s">
        <v>582</v>
      </c>
      <c r="I1017" s="88" t="s">
        <v>79</v>
      </c>
      <c r="J1017" s="86"/>
      <c r="K1017" s="603" t="s">
        <v>45</v>
      </c>
      <c r="L1017" s="601" t="s">
        <v>46</v>
      </c>
      <c r="M1017" s="86"/>
      <c r="N1017" s="87" t="s">
        <v>128</v>
      </c>
      <c r="O1017" s="87"/>
      <c r="P1017" s="88"/>
      <c r="Q1017" s="88"/>
      <c r="R1017" s="86"/>
      <c r="S1017" s="125"/>
      <c r="T1017" s="543"/>
      <c r="U1017" s="89" t="s">
        <v>48</v>
      </c>
      <c r="V1017" s="100" t="b">
        <f>IF(G1017&gt;0,IF(AD1017="me","",G1017))</f>
        <v>0</v>
      </c>
      <c r="W1017" s="100"/>
      <c r="X1017" s="100"/>
      <c r="Y1017" s="201"/>
      <c r="Z1017" s="829" t="str">
        <f t="shared" si="2567"/>
        <v/>
      </c>
      <c r="AA1017" s="829"/>
      <c r="AB1017" s="830" t="str">
        <f>IF(G1017=0,"",IF(AD1017="free","re-planting",IF(AD1017="me","not NVP, by",IF($AD$8="yes",(VLOOKUP(A1017,'Discount Lookup'!J:K,2)*G1017*(1-$AC$1786)*(1+$AC$1788)),IF(AD1017="NVP",(VLOOKUP(A1017,'Discount Lookup'!J:K,2)*G1017*(1-$AC$1786)*(1+$AC$1788)),IF(AD1017="free","re-planting",IF(G1017=0,"",IF($AD$8="",IF(AD1017="me","not NVP, by",IF(AD1017="",IF(G1017&gt;0,(VLOOKUP(A1017,'Discount Lookup'!J:K,2)*G1017*(1-$AC$1786)*(1+$AC$1788)),""),"")),"not NVP, by"))))))))</f>
        <v/>
      </c>
      <c r="AC1017" s="830"/>
      <c r="AD1017" s="375" t="str">
        <f t="shared" si="2539"/>
        <v/>
      </c>
      <c r="AE1017" s="833" t="str">
        <f t="shared" si="2479"/>
        <v/>
      </c>
      <c r="AF1017" s="833"/>
      <c r="AG1017" s="833"/>
      <c r="AH1017" s="91">
        <f>IF(AD1017="free",0,IF(AD1017="me",0,IF(G1017&gt;0,(VLOOKUP(A1017,'Discount Lookup'!J:K,2)*G1017),0)))</f>
        <v>0</v>
      </c>
      <c r="AI1017" s="92" t="str">
        <f t="shared" si="2599"/>
        <v/>
      </c>
      <c r="AJ1017" s="828" t="str">
        <f t="shared" si="2568"/>
        <v/>
      </c>
      <c r="AK1017" s="828"/>
      <c r="AL1017" s="313" t="str">
        <f t="shared" si="2488"/>
        <v/>
      </c>
      <c r="AM1017" s="312"/>
      <c r="AN1017" s="101"/>
      <c r="AO1017" s="101"/>
      <c r="AP1017" s="101"/>
      <c r="AQ1017" s="101"/>
      <c r="AR1017" s="101"/>
      <c r="AS1017" s="101"/>
      <c r="AT1017" s="101"/>
    </row>
    <row r="1018" spans="1:46" ht="12.95" customHeight="1">
      <c r="A1018" s="419">
        <v>3</v>
      </c>
      <c r="B1018" s="87" t="s">
        <v>50</v>
      </c>
      <c r="C1018" s="399" t="s">
        <v>1641</v>
      </c>
      <c r="D1018" s="129" t="s">
        <v>87</v>
      </c>
      <c r="E1018" s="98">
        <v>33.950000000000003</v>
      </c>
      <c r="F1018" s="705" t="s">
        <v>1306</v>
      </c>
      <c r="G1018" s="357">
        <v>0</v>
      </c>
      <c r="H1018" s="704" t="str">
        <f t="shared" ref="H1018" si="2600">IF(G1018=0,"",IF(F1018="Qty=",IF(G1018=1,"plant","plants"),IF(F1018&gt;0.0001,"warranty","Error")))</f>
        <v/>
      </c>
      <c r="I1018" s="98">
        <f t="shared" ref="I1018" si="2601">IF(F1018="Qty=",(E1018*G1018),((E1018*(1-F1018))*G1018))</f>
        <v>0</v>
      </c>
      <c r="J1018" s="98">
        <f>IF(H1018="warranty",0,(I1018*($J$1782)))</f>
        <v>0</v>
      </c>
      <c r="K1018" s="831">
        <f t="shared" ref="K1018:K1020" si="2602">I1018+J1018</f>
        <v>0</v>
      </c>
      <c r="L1018" s="831"/>
      <c r="M1018" s="832" t="str">
        <f>IF($H$1784=0,"",IF(G1018=0,"",IF(F1018="Qty=",CONCATENATE("$",ROUND(K1018*(1-$H$1784),2)," with ",($H$1784*100),"% discount"),CONCATENATE("$",ROUND(K1018*(1-$H$1784),2)," with ",(($H$1784*100+F1018*100)-($H$1784*100*F1018)),IF(F1018&gt;0,"% discounts",IF($H$1781&gt;0,"% discounts","% discount"))))))</f>
        <v/>
      </c>
      <c r="N1018" s="832"/>
      <c r="O1018" s="832"/>
      <c r="P1018" s="832"/>
      <c r="Q1018" s="832"/>
      <c r="R1018" s="832"/>
      <c r="S1018" s="303">
        <f t="shared" ref="S1018" si="2603">E1018*G1018</f>
        <v>0</v>
      </c>
      <c r="T1018" s="541">
        <f>VLOOKUP(A1018,'Discount Lookup'!D:E,2,FALSE)*G1018</f>
        <v>0</v>
      </c>
      <c r="U1018" s="83">
        <f>VLOOKUP(A1018,'Discount Lookup'!G:H,2,FALSE)*G1018</f>
        <v>0</v>
      </c>
      <c r="V1018" s="100">
        <f>E1018*($J$1782)*G1018</f>
        <v>0</v>
      </c>
      <c r="W1018" s="100">
        <f t="shared" ref="W1018" si="2604">I1018</f>
        <v>0</v>
      </c>
      <c r="X1018" s="100" t="b">
        <f t="shared" ref="X1018" si="2605">IF(G1018&gt;0,IF(AD1018="me","",G1018))</f>
        <v>0</v>
      </c>
      <c r="Y1018" s="201"/>
      <c r="Z1018" s="829" t="str">
        <f t="shared" ref="Z1018" si="2606">IF(G1018=0,"",IF(AD1018="me","",IF($AD$8="me","",IF(AD1018="free","warranty",IF($AD$8="yes","NVP planting:","to NVP install:")))))</f>
        <v/>
      </c>
      <c r="AA1018" s="829"/>
      <c r="AB1018" s="830" t="str">
        <f>IF(G1018=0,"",IF(AD1018="free","re-planting",IF(AD1018="me","not NVP, by",IF($AD$8="yes",(VLOOKUP(A1018,'Discount Lookup'!J:K,2)*G1018*(1-$AC$1786)*(1+$AC$1788)),IF(AD1018="NVP",(VLOOKUP(A1018,'Discount Lookup'!J:K,2)*G1018*(1-$AC$1786)*(1+$AC$1788)),IF(AD1018="free","re-planting",IF(G1018=0,"",IF($AD$8="",IF(AD1018="me","not NVP, by",IF(AD1018="",IF(G1018&gt;0,(VLOOKUP(A1018,'Discount Lookup'!J:K,2)*G1018*(1-$AC$1786)*(1+$AC$1788)),""),"")),"not NVP, by"))))))))</f>
        <v/>
      </c>
      <c r="AC1018" s="830"/>
      <c r="AD1018" s="375" t="str">
        <f t="shared" ref="AD1018" si="2607">IF(G1018=0,"",IF($AD$8="me","me",IF(H1018="warranty","free",IF($AD$8="yes","NVP",""))))</f>
        <v/>
      </c>
      <c r="AE1018" s="833" t="str">
        <f t="shared" si="2479"/>
        <v/>
      </c>
      <c r="AF1018" s="833"/>
      <c r="AG1018" s="833"/>
      <c r="AH1018" s="91">
        <f>IF(AD1018="free",0,IF(AD1018="me",0,IF(G1018&gt;0,(VLOOKUP(A1018,'Discount Lookup'!J:K,2)*G1018),0)))</f>
        <v>0</v>
      </c>
      <c r="AI1018" s="92" t="str">
        <f t="shared" si="2599"/>
        <v/>
      </c>
      <c r="AJ1018" s="828" t="str">
        <f t="shared" ref="AJ1018" si="2608">IF(G1018=0,"",IF(AD1018="me","  delivery-only",IF($AD$8="me","  delivery-only",CONCATENATE(" $",ROUND(AI1018/G1018,2)," each"))))</f>
        <v/>
      </c>
      <c r="AK1018" s="828"/>
      <c r="AL1018" s="313" t="str">
        <f t="shared" si="2488"/>
        <v/>
      </c>
      <c r="AM1018" s="312"/>
      <c r="AN1018" s="101"/>
      <c r="AO1018" s="101"/>
      <c r="AP1018" s="101"/>
      <c r="AQ1018" s="101"/>
      <c r="AR1018" s="101"/>
      <c r="AS1018" s="101"/>
      <c r="AT1018" s="101"/>
    </row>
    <row r="1019" spans="1:46" ht="12.95" customHeight="1">
      <c r="A1019" s="419">
        <v>7</v>
      </c>
      <c r="B1019" s="87" t="s">
        <v>50</v>
      </c>
      <c r="C1019" s="140" t="s">
        <v>1463</v>
      </c>
      <c r="D1019" s="129" t="s">
        <v>54</v>
      </c>
      <c r="E1019" s="98">
        <v>91.95</v>
      </c>
      <c r="F1019" s="705" t="s">
        <v>1306</v>
      </c>
      <c r="G1019" s="357">
        <v>0</v>
      </c>
      <c r="H1019" s="704" t="str">
        <f t="shared" ref="H1019:H1020" si="2609">IF(G1019=0,"",IF(F1019="Qty=",IF(G1019=1,"plant","plants"),IF(F1019&gt;0.0001,"warranty","Error")))</f>
        <v/>
      </c>
      <c r="I1019" s="98">
        <f t="shared" ref="I1019:I1020" si="2610">IF(F1019="Qty=",(E1019*G1019),((E1019*(1-F1019))*G1019))</f>
        <v>0</v>
      </c>
      <c r="J1019" s="98">
        <f>IF(H1019="warranty",0,(I1019*($J$1782)))</f>
        <v>0</v>
      </c>
      <c r="K1019" s="831">
        <f t="shared" si="2602"/>
        <v>0</v>
      </c>
      <c r="L1019" s="831"/>
      <c r="M1019" s="832" t="str">
        <f>IF($H$1784=0,"",IF(G1019=0,"",IF(F1019="Qty=",CONCATENATE("$",ROUND(K1019*(1-$H$1784),2)," with ",($H$1784*100),"% discount"),CONCATENATE("$",ROUND(K1019*(1-$H$1784),2)," with ",(($H$1784*100+F1019*100)-($H$1784*100*F1019)),IF(F1019&gt;0,"% discounts",IF($H$1781&gt;0,"% discounts","% discount"))))))</f>
        <v/>
      </c>
      <c r="N1019" s="832"/>
      <c r="O1019" s="832"/>
      <c r="P1019" s="832"/>
      <c r="Q1019" s="832"/>
      <c r="R1019" s="832"/>
      <c r="S1019" s="303">
        <f t="shared" ref="S1019:S1020" si="2611">E1019*G1019</f>
        <v>0</v>
      </c>
      <c r="T1019" s="541">
        <f>VLOOKUP(A1019,'Discount Lookup'!D:E,2,FALSE)*G1019</f>
        <v>0</v>
      </c>
      <c r="U1019" s="83">
        <f>VLOOKUP(A1019,'Discount Lookup'!G:H,2,FALSE)*G1019</f>
        <v>0</v>
      </c>
      <c r="V1019" s="100">
        <f>E1019*($J$1782)*G1019</f>
        <v>0</v>
      </c>
      <c r="W1019" s="100">
        <f t="shared" ref="W1019:W1020" si="2612">I1019</f>
        <v>0</v>
      </c>
      <c r="X1019" s="100" t="b">
        <f>IF(G1019&gt;0,IF(AD1019="me","",G1019))</f>
        <v>0</v>
      </c>
      <c r="Y1019" s="201"/>
      <c r="Z1019" s="829" t="str">
        <f t="shared" ref="Z1019:Z1020" si="2613">IF(G1019=0,"",IF(AD1019="me","",IF($AD$8="me","",IF(AD1019="free","warranty",IF($AD$8="yes","NVP planting:","to NVP install:")))))</f>
        <v/>
      </c>
      <c r="AA1019" s="829"/>
      <c r="AB1019" s="830" t="str">
        <f>IF(G1019=0,"",IF(AD1019="free","re-planting",IF(AD1019="me","not NVP, by",IF($AD$8="yes",(VLOOKUP(A1019,'Discount Lookup'!J:K,2)*G1019*(1-$AC$1786)*(1+$AC$1788)),IF(AD1019="NVP",(VLOOKUP(A1019,'Discount Lookup'!J:K,2)*G1019*(1-$AC$1786)*(1+$AC$1788)),IF(AD1019="free","re-planting",IF(G1019=0,"",IF($AD$8="",IF(AD1019="me","not NVP, by",IF(AD1019="",IF(G1019&gt;0,(VLOOKUP(A1019,'Discount Lookup'!J:K,2)*G1019*(1-$AC$1786)*(1+$AC$1788)),""),"")),"not NVP, by"))))))))</f>
        <v/>
      </c>
      <c r="AC1019" s="830"/>
      <c r="AD1019" s="375" t="str">
        <f t="shared" si="2539"/>
        <v/>
      </c>
      <c r="AE1019" s="833" t="str">
        <f t="shared" ref="AE1019:AE1020" si="2614">IF(G1019&gt;0,(CONCATENATE((G1019)," quantity, ",(A1019)," ",B1019)),"")</f>
        <v/>
      </c>
      <c r="AF1019" s="833"/>
      <c r="AG1019" s="833"/>
      <c r="AH1019" s="91">
        <f>IF(AD1019="free",0,IF(AD1019="me",0,IF(G1019&gt;0,(VLOOKUP(A1019,'Discount Lookup'!J:K,2)*G1019),0)))</f>
        <v>0</v>
      </c>
      <c r="AI1019" s="92" t="str">
        <f t="shared" si="2599"/>
        <v/>
      </c>
      <c r="AJ1019" s="828" t="str">
        <f t="shared" ref="AJ1019:AJ1020" si="2615">IF(G1019=0,"",IF(AD1019="me","  delivery-only",IF($AD$8="me","  delivery-only",CONCATENATE(" $",ROUND(AI1019/G1019,2)," each"))))</f>
        <v/>
      </c>
      <c r="AK1019" s="828"/>
      <c r="AL1019" s="313" t="str">
        <f t="shared" si="2488"/>
        <v/>
      </c>
      <c r="AM1019" s="312"/>
      <c r="AN1019" s="101"/>
      <c r="AO1019" s="101"/>
      <c r="AP1019" s="101"/>
      <c r="AQ1019" s="101"/>
      <c r="AR1019" s="101"/>
      <c r="AS1019" s="101"/>
      <c r="AT1019" s="101"/>
    </row>
    <row r="1020" spans="1:46" ht="12.95" customHeight="1">
      <c r="A1020" s="419">
        <v>7</v>
      </c>
      <c r="B1020" s="87" t="s">
        <v>50</v>
      </c>
      <c r="C1020" s="140" t="s">
        <v>1447</v>
      </c>
      <c r="D1020" s="129" t="s">
        <v>90</v>
      </c>
      <c r="E1020" s="98">
        <v>106.95</v>
      </c>
      <c r="F1020" s="705" t="s">
        <v>1306</v>
      </c>
      <c r="G1020" s="357">
        <v>0</v>
      </c>
      <c r="H1020" s="704" t="str">
        <f t="shared" si="2609"/>
        <v/>
      </c>
      <c r="I1020" s="98">
        <f t="shared" si="2610"/>
        <v>0</v>
      </c>
      <c r="J1020" s="98">
        <f>IF(H1020="warranty",0,(I1020*($J$1782)))</f>
        <v>0</v>
      </c>
      <c r="K1020" s="831">
        <f t="shared" si="2602"/>
        <v>0</v>
      </c>
      <c r="L1020" s="831"/>
      <c r="M1020" s="832" t="str">
        <f>IF($H$1784=0,"",IF(G1020=0,"",IF(F1020="Qty=",CONCATENATE("$",ROUND(K1020*(1-$H$1784),2)," with ",($H$1784*100),"% discount"),CONCATENATE("$",ROUND(K1020*(1-$H$1784),2)," with ",(($H$1784*100+F1020*100)-($H$1784*100*F1020)),IF(F1020&gt;0,"% discounts",IF($H$1781&gt;0,"% discounts","% discount"))))))</f>
        <v/>
      </c>
      <c r="N1020" s="832"/>
      <c r="O1020" s="832"/>
      <c r="P1020" s="832"/>
      <c r="Q1020" s="832"/>
      <c r="R1020" s="832"/>
      <c r="S1020" s="303">
        <f t="shared" si="2611"/>
        <v>0</v>
      </c>
      <c r="T1020" s="541">
        <f>VLOOKUP(A1020,'Discount Lookup'!D:E,2,FALSE)*G1020</f>
        <v>0</v>
      </c>
      <c r="U1020" s="83">
        <f>VLOOKUP(A1020,'Discount Lookup'!G:H,2,FALSE)*G1020</f>
        <v>0</v>
      </c>
      <c r="V1020" s="100">
        <f>E1020*($J$1782)*G1020</f>
        <v>0</v>
      </c>
      <c r="W1020" s="100">
        <f t="shared" si="2612"/>
        <v>0</v>
      </c>
      <c r="X1020" s="100" t="b">
        <f>IF(G1020&gt;0,IF(AD1020="me","",G1020))</f>
        <v>0</v>
      </c>
      <c r="Y1020" s="201"/>
      <c r="Z1020" s="829" t="str">
        <f t="shared" si="2613"/>
        <v/>
      </c>
      <c r="AA1020" s="829"/>
      <c r="AB1020" s="830" t="str">
        <f>IF(G1020=0,"",IF(AD1020="free","re-planting",IF(AD1020="me","not NVP, by",IF($AD$8="yes",(VLOOKUP(A1020,'Discount Lookup'!J:K,2)*G1020*(1-$AC$1786)*(1+$AC$1788)),IF(AD1020="NVP",(VLOOKUP(A1020,'Discount Lookup'!J:K,2)*G1020*(1-$AC$1786)*(1+$AC$1788)),IF(AD1020="free","re-planting",IF(G1020=0,"",IF($AD$8="",IF(AD1020="me","not NVP, by",IF(AD1020="",IF(G1020&gt;0,(VLOOKUP(A1020,'Discount Lookup'!J:K,2)*G1020*(1-$AC$1786)*(1+$AC$1788)),""),"")),"not NVP, by"))))))))</f>
        <v/>
      </c>
      <c r="AC1020" s="830"/>
      <c r="AD1020" s="375" t="str">
        <f t="shared" si="2539"/>
        <v/>
      </c>
      <c r="AE1020" s="833" t="str">
        <f t="shared" si="2614"/>
        <v/>
      </c>
      <c r="AF1020" s="833"/>
      <c r="AG1020" s="833"/>
      <c r="AH1020" s="91">
        <f>IF(AD1020="free",0,IF(AD1020="me",0,IF(G1020&gt;0,(VLOOKUP(A1020,'Discount Lookup'!J:K,2)*G1020),0)))</f>
        <v>0</v>
      </c>
      <c r="AI1020" s="92" t="str">
        <f t="shared" si="2599"/>
        <v/>
      </c>
      <c r="AJ1020" s="828" t="str">
        <f t="shared" si="2615"/>
        <v/>
      </c>
      <c r="AK1020" s="828"/>
      <c r="AL1020" s="313" t="str">
        <f t="shared" si="2488"/>
        <v/>
      </c>
      <c r="AM1020" s="312"/>
      <c r="AN1020" s="101"/>
      <c r="AO1020" s="101"/>
      <c r="AP1020" s="101"/>
      <c r="AQ1020" s="101"/>
      <c r="AR1020" s="101"/>
      <c r="AS1020" s="101"/>
      <c r="AT1020" s="101"/>
    </row>
    <row r="1021" spans="1:46" ht="12.95" customHeight="1">
      <c r="A1021" s="468"/>
      <c r="B1021" s="149" t="s">
        <v>583</v>
      </c>
      <c r="C1021" s="118"/>
      <c r="D1021" s="118"/>
      <c r="E1021" s="119"/>
      <c r="F1021" s="711"/>
      <c r="G1021" s="358"/>
      <c r="H1021" s="745"/>
      <c r="I1021" s="119"/>
      <c r="J1021" s="119"/>
      <c r="K1021" s="609"/>
      <c r="L1021" s="609"/>
      <c r="M1021" s="121"/>
      <c r="N1021" s="121"/>
      <c r="O1021" s="123"/>
      <c r="P1021" s="124"/>
      <c r="Q1021" s="124"/>
      <c r="R1021" s="83"/>
      <c r="S1021" s="82">
        <f>E1021*G1021</f>
        <v>0</v>
      </c>
      <c r="T1021" s="540"/>
      <c r="U1021" s="83"/>
      <c r="V1021" s="100" t="b">
        <f>IF(G1021&gt;0,IF(AD1021="me","",G1021))</f>
        <v>0</v>
      </c>
      <c r="W1021" s="100"/>
      <c r="X1021" s="100"/>
      <c r="Y1021" s="201"/>
      <c r="Z1021" s="829" t="str">
        <f t="shared" si="2567"/>
        <v/>
      </c>
      <c r="AA1021" s="829"/>
      <c r="AB1021" s="830" t="str">
        <f>IF(G1021=0,"",IF(AD1021="free","re-planting",IF(AD1021="me","not NVP, by",IF($AD$8="yes",(VLOOKUP(A1021,'Discount Lookup'!J:K,2)*G1021*(1-$AC$1786)*(1+$AC$1788)),IF(AD1021="NVP",(VLOOKUP(A1021,'Discount Lookup'!J:K,2)*G1021*(1-$AC$1786)*(1+$AC$1788)),IF(AD1021="free","re-planting",IF(G1021=0,"",IF($AD$8="",IF(AD1021="me","not NVP, by",IF(AD1021="",IF(G1021&gt;0,(VLOOKUP(A1021,'Discount Lookup'!J:K,2)*G1021*(1-$AC$1786)*(1+$AC$1788)),""),"")),"not NVP, by"))))))))</f>
        <v/>
      </c>
      <c r="AC1021" s="830"/>
      <c r="AD1021" s="375" t="str">
        <f t="shared" si="2539"/>
        <v/>
      </c>
      <c r="AE1021" s="833" t="str">
        <f t="shared" si="2479"/>
        <v/>
      </c>
      <c r="AF1021" s="833"/>
      <c r="AG1021" s="833"/>
      <c r="AH1021" s="91">
        <f>IF(AD1021="free",0,IF(AD1021="me",0,IF(G1021&gt;0,(VLOOKUP(A1021,'Discount Lookup'!J:K,2)*G1021),0)))</f>
        <v>0</v>
      </c>
      <c r="AI1021" s="92" t="str">
        <f t="shared" si="2599"/>
        <v/>
      </c>
      <c r="AJ1021" s="828" t="str">
        <f t="shared" si="2568"/>
        <v/>
      </c>
      <c r="AK1021" s="828"/>
      <c r="AL1021" s="313" t="str">
        <f t="shared" si="2488"/>
        <v/>
      </c>
      <c r="AM1021" s="312"/>
      <c r="AN1021" s="101"/>
      <c r="AO1021" s="101"/>
      <c r="AP1021" s="101"/>
      <c r="AQ1021" s="101"/>
      <c r="AR1021" s="101"/>
      <c r="AS1021" s="101"/>
      <c r="AT1021" s="101"/>
    </row>
    <row r="1022" spans="1:46" ht="12.95" customHeight="1">
      <c r="A1022" s="896" t="s">
        <v>584</v>
      </c>
      <c r="B1022" s="897"/>
      <c r="C1022" s="897"/>
      <c r="D1022" s="897"/>
      <c r="E1022" s="897"/>
      <c r="F1022" s="897"/>
      <c r="G1022" s="897"/>
      <c r="H1022" s="776" t="s">
        <v>582</v>
      </c>
      <c r="I1022" s="88" t="s">
        <v>79</v>
      </c>
      <c r="J1022" s="86"/>
      <c r="K1022" s="603" t="s">
        <v>45</v>
      </c>
      <c r="L1022" s="601" t="s">
        <v>46</v>
      </c>
      <c r="M1022" s="86"/>
      <c r="N1022" s="87" t="s">
        <v>69</v>
      </c>
      <c r="O1022" s="87"/>
      <c r="P1022" s="88"/>
      <c r="Q1022" s="88"/>
      <c r="R1022" s="86"/>
      <c r="S1022" s="125"/>
      <c r="T1022" s="543"/>
      <c r="U1022" s="112"/>
      <c r="V1022" s="100" t="b">
        <f>IF(G1022&gt;0,IF(AD1022="me","",G1022))</f>
        <v>0</v>
      </c>
      <c r="W1022" s="100"/>
      <c r="X1022" s="100"/>
      <c r="Y1022" s="201"/>
      <c r="Z1022" s="829" t="str">
        <f t="shared" si="2567"/>
        <v/>
      </c>
      <c r="AA1022" s="829"/>
      <c r="AB1022" s="830" t="str">
        <f>IF(G1022=0,"",IF(AD1022="free","re-planting",IF(AD1022="me","not NVP, by",IF($AD$8="yes",(VLOOKUP(A1022,'Discount Lookup'!J:K,2)*G1022*(1-$AC$1786)*(1+$AC$1788)),IF(AD1022="NVP",(VLOOKUP(A1022,'Discount Lookup'!J:K,2)*G1022*(1-$AC$1786)*(1+$AC$1788)),IF(AD1022="free","re-planting",IF(G1022=0,"",IF($AD$8="",IF(AD1022="me","not NVP, by",IF(AD1022="",IF(G1022&gt;0,(VLOOKUP(A1022,'Discount Lookup'!J:K,2)*G1022*(1-$AC$1786)*(1+$AC$1788)),""),"")),"not NVP, by"))))))))</f>
        <v/>
      </c>
      <c r="AC1022" s="830"/>
      <c r="AD1022" s="375" t="str">
        <f t="shared" si="2539"/>
        <v/>
      </c>
      <c r="AE1022" s="833" t="str">
        <f t="shared" si="2479"/>
        <v/>
      </c>
      <c r="AF1022" s="833"/>
      <c r="AG1022" s="833"/>
      <c r="AH1022" s="91">
        <f>IF(AD1022="free",0,IF(AD1022="me",0,IF(G1022&gt;0,(VLOOKUP(A1022,'Discount Lookup'!J:K,2)*G1022),0)))</f>
        <v>0</v>
      </c>
      <c r="AI1022" s="92" t="str">
        <f t="shared" si="2599"/>
        <v/>
      </c>
      <c r="AJ1022" s="828" t="str">
        <f t="shared" si="2568"/>
        <v/>
      </c>
      <c r="AK1022" s="828"/>
      <c r="AL1022" s="313" t="str">
        <f t="shared" si="2488"/>
        <v/>
      </c>
      <c r="AM1022" s="312"/>
      <c r="AN1022" s="101"/>
      <c r="AO1022" s="101"/>
      <c r="AP1022" s="101"/>
      <c r="AQ1022" s="101"/>
      <c r="AR1022" s="101"/>
      <c r="AS1022" s="101"/>
      <c r="AT1022" s="101"/>
    </row>
    <row r="1023" spans="1:46" ht="12.95" customHeight="1">
      <c r="A1023" s="419">
        <v>3</v>
      </c>
      <c r="B1023" s="87" t="s">
        <v>50</v>
      </c>
      <c r="C1023" s="128" t="s">
        <v>135</v>
      </c>
      <c r="D1023" s="129" t="s">
        <v>86</v>
      </c>
      <c r="E1023" s="98">
        <v>26.95</v>
      </c>
      <c r="F1023" s="705" t="s">
        <v>1306</v>
      </c>
      <c r="G1023" s="357">
        <v>0</v>
      </c>
      <c r="H1023" s="704" t="str">
        <f t="shared" ref="H1023:H1025" si="2616">IF(G1023=0,"",IF(F1023="Qty=",IF(G1023=1,"plant","plants"),IF(F1023&gt;0.0001,"warranty","Error")))</f>
        <v/>
      </c>
      <c r="I1023" s="98">
        <f t="shared" ref="I1023:I1025" si="2617">IF(F1023="Qty=",(E1023*G1023),((E1023*(1-F1023))*G1023))</f>
        <v>0</v>
      </c>
      <c r="J1023" s="98">
        <f>IF(H1023="warranty",0,(I1023*($J$1782)))</f>
        <v>0</v>
      </c>
      <c r="K1023" s="831">
        <f t="shared" ref="K1023:K1025" si="2618">I1023+J1023</f>
        <v>0</v>
      </c>
      <c r="L1023" s="831"/>
      <c r="M1023" s="832" t="str">
        <f>IF($H$1784=0,"",IF(G1023=0,"",IF(F1023="Qty=",CONCATENATE("$",ROUND(K1023*(1-$H$1784),2)," with ",($H$1784*100),"% discount"),CONCATENATE("$",ROUND(K1023*(1-$H$1784),2)," with ",(($H$1784*100+F1023*100)-($H$1784*100*F1023)),IF(F1023&gt;0,"% discounts",IF($H$1781&gt;0,"% discounts","% discount"))))))</f>
        <v/>
      </c>
      <c r="N1023" s="832"/>
      <c r="O1023" s="832"/>
      <c r="P1023" s="832"/>
      <c r="Q1023" s="832"/>
      <c r="R1023" s="832"/>
      <c r="S1023" s="303">
        <f t="shared" ref="S1023" si="2619">E1023*G1023</f>
        <v>0</v>
      </c>
      <c r="T1023" s="541">
        <f>VLOOKUP(A1023,'Discount Lookup'!D:E,2,FALSE)*G1023</f>
        <v>0</v>
      </c>
      <c r="U1023" s="83">
        <f>VLOOKUP(A1023,'Discount Lookup'!G:H,2,FALSE)*G1023</f>
        <v>0</v>
      </c>
      <c r="V1023" s="100">
        <f>E1023*($J$1782)*G1023</f>
        <v>0</v>
      </c>
      <c r="W1023" s="100">
        <f t="shared" ref="W1023" si="2620">I1023</f>
        <v>0</v>
      </c>
      <c r="X1023" s="100" t="b">
        <f>IF(G1023&gt;0,IF(AD1023="me","",G1023))</f>
        <v>0</v>
      </c>
      <c r="Y1023" s="201"/>
      <c r="Z1023" s="829" t="str">
        <f t="shared" si="2567"/>
        <v/>
      </c>
      <c r="AA1023" s="829"/>
      <c r="AB1023" s="830" t="str">
        <f>IF(G1023=0,"",IF(AD1023="free","re-planting",IF(AD1023="me","not NVP, by",IF($AD$8="yes",(VLOOKUP(A1023,'Discount Lookup'!J:K,2)*G1023*(1-$AC$1786)*(1+$AC$1788)),IF(AD1023="NVP",(VLOOKUP(A1023,'Discount Lookup'!J:K,2)*G1023*(1-$AC$1786)*(1+$AC$1788)),IF(AD1023="free","re-planting",IF(G1023=0,"",IF($AD$8="",IF(AD1023="me","not NVP, by",IF(AD1023="",IF(G1023&gt;0,(VLOOKUP(A1023,'Discount Lookup'!J:K,2)*G1023*(1-$AC$1786)*(1+$AC$1788)),""),"")),"not NVP, by"))))))))</f>
        <v/>
      </c>
      <c r="AC1023" s="830"/>
      <c r="AD1023" s="375" t="str">
        <f t="shared" si="2539"/>
        <v/>
      </c>
      <c r="AE1023" s="833" t="str">
        <f t="shared" si="2479"/>
        <v/>
      </c>
      <c r="AF1023" s="833"/>
      <c r="AG1023" s="833"/>
      <c r="AH1023" s="91">
        <f>IF(AD1023="free",0,IF(AD1023="me",0,IF(G1023&gt;0,(VLOOKUP(A1023,'Discount Lookup'!J:K,2)*G1023),0)))</f>
        <v>0</v>
      </c>
      <c r="AI1023" s="92" t="str">
        <f t="shared" si="2599"/>
        <v/>
      </c>
      <c r="AJ1023" s="828" t="str">
        <f t="shared" si="2568"/>
        <v/>
      </c>
      <c r="AK1023" s="828"/>
      <c r="AL1023" s="313" t="str">
        <f t="shared" si="2488"/>
        <v/>
      </c>
      <c r="AM1023" s="312"/>
      <c r="AN1023" s="101"/>
      <c r="AO1023" s="101"/>
      <c r="AP1023" s="101"/>
      <c r="AQ1023" s="101"/>
      <c r="AR1023" s="101"/>
      <c r="AS1023" s="101"/>
      <c r="AT1023" s="101"/>
    </row>
    <row r="1024" spans="1:46" ht="12.95" customHeight="1">
      <c r="A1024" s="419">
        <v>5</v>
      </c>
      <c r="B1024" s="87" t="s">
        <v>50</v>
      </c>
      <c r="C1024" s="128" t="s">
        <v>1356</v>
      </c>
      <c r="D1024" s="129" t="s">
        <v>54</v>
      </c>
      <c r="E1024" s="98">
        <v>104.95</v>
      </c>
      <c r="F1024" s="705" t="s">
        <v>1306</v>
      </c>
      <c r="G1024" s="357">
        <v>0</v>
      </c>
      <c r="H1024" s="704" t="str">
        <f t="shared" ref="H1024" si="2621">IF(G1024=0,"",IF(F1024="Qty=",IF(G1024=1,"plant","plants"),IF(F1024&gt;0.0001,"warranty","Error")))</f>
        <v/>
      </c>
      <c r="I1024" s="98">
        <f t="shared" ref="I1024" si="2622">IF(F1024="Qty=",(E1024*G1024),((E1024*(1-F1024))*G1024))</f>
        <v>0</v>
      </c>
      <c r="J1024" s="98">
        <f>IF(H1024="warranty",0,(I1024*($J$1782)))</f>
        <v>0</v>
      </c>
      <c r="K1024" s="831">
        <f t="shared" si="2618"/>
        <v>0</v>
      </c>
      <c r="L1024" s="831"/>
      <c r="M1024" s="832" t="str">
        <f>IF($H$1784=0,"",IF(G1024=0,"",IF(F1024="Qty=",CONCATENATE("$",ROUND(K1024*(1-$H$1784),2)," with ",($H$1784*100),"% discount"),CONCATENATE("$",ROUND(K1024*(1-$H$1784),2)," with ",(($H$1784*100+F1024*100)-($H$1784*100*F1024)),IF(F1024&gt;0,"% discounts",IF($H$1781&gt;0,"% discounts","% discount"))))))</f>
        <v/>
      </c>
      <c r="N1024" s="832"/>
      <c r="O1024" s="832"/>
      <c r="P1024" s="832"/>
      <c r="Q1024" s="832"/>
      <c r="R1024" s="832"/>
      <c r="S1024" s="303">
        <f t="shared" ref="S1024" si="2623">E1024*G1024</f>
        <v>0</v>
      </c>
      <c r="T1024" s="541">
        <f>VLOOKUP(A1024,'Discount Lookup'!D:E,2,FALSE)*G1024</f>
        <v>0</v>
      </c>
      <c r="U1024" s="83">
        <f>VLOOKUP(A1024,'Discount Lookup'!G:H,2,FALSE)*G1024</f>
        <v>0</v>
      </c>
      <c r="V1024" s="100">
        <f>E1024*($J$1782)*G1024</f>
        <v>0</v>
      </c>
      <c r="W1024" s="100">
        <f t="shared" ref="W1024" si="2624">I1024</f>
        <v>0</v>
      </c>
      <c r="X1024" s="100" t="b">
        <f>IF(G1024&gt;0,IF(AD1024="me","",G1024))</f>
        <v>0</v>
      </c>
      <c r="Y1024" s="201"/>
      <c r="Z1024" s="829" t="str">
        <f t="shared" ref="Z1024" si="2625">IF(G1024=0,"",IF(AD1024="me","",IF($AD$8="me","",IF(AD1024="free","warranty",IF($AD$8="yes","NVP planting:","to NVP install:")))))</f>
        <v/>
      </c>
      <c r="AA1024" s="829"/>
      <c r="AB1024" s="830" t="str">
        <f>IF(G1024=0,"",IF(AD1024="free","re-planting",IF(AD1024="me","not NVP, by",IF($AD$8="yes",(VLOOKUP(A1024,'Discount Lookup'!J:K,2)*G1024*(1-$AC$1786)*(1+$AC$1788)),IF(AD1024="NVP",(VLOOKUP(A1024,'Discount Lookup'!J:K,2)*G1024*(1-$AC$1786)*(1+$AC$1788)),IF(AD1024="free","re-planting",IF(G1024=0,"",IF($AD$8="",IF(AD1024="me","not NVP, by",IF(AD1024="",IF(G1024&gt;0,(VLOOKUP(A1024,'Discount Lookup'!J:K,2)*G1024*(1-$AC$1786)*(1+$AC$1788)),""),"")),"not NVP, by"))))))))</f>
        <v/>
      </c>
      <c r="AC1024" s="830"/>
      <c r="AD1024" s="375" t="str">
        <f t="shared" si="2539"/>
        <v/>
      </c>
      <c r="AE1024" s="833" t="str">
        <f t="shared" ref="AE1024" si="2626">IF(G1024&gt;0,(CONCATENATE((G1024)," quantity, ",(A1024)," ",B1024)),"")</f>
        <v/>
      </c>
      <c r="AF1024" s="833"/>
      <c r="AG1024" s="833"/>
      <c r="AH1024" s="91">
        <f>IF(AD1024="free",0,IF(AD1024="me",0,IF(G1024&gt;0,(VLOOKUP(A1024,'Discount Lookup'!J:K,2)*G1024),0)))</f>
        <v>0</v>
      </c>
      <c r="AI1024" s="92" t="str">
        <f t="shared" si="2599"/>
        <v/>
      </c>
      <c r="AJ1024" s="828" t="str">
        <f t="shared" ref="AJ1024" si="2627">IF(G1024=0,"",IF(AD1024="me","  delivery-only",IF($AD$8="me","  delivery-only",CONCATENATE(" $",ROUND(AI1024/G1024,2)," each"))))</f>
        <v/>
      </c>
      <c r="AK1024" s="828"/>
      <c r="AL1024" s="313" t="str">
        <f t="shared" si="2488"/>
        <v/>
      </c>
      <c r="AM1024" s="312"/>
      <c r="AN1024" s="101"/>
      <c r="AO1024" s="101"/>
      <c r="AP1024" s="101"/>
      <c r="AQ1024" s="101"/>
      <c r="AR1024" s="101"/>
      <c r="AS1024" s="101"/>
      <c r="AT1024" s="101"/>
    </row>
    <row r="1025" spans="1:46" ht="12.95" customHeight="1">
      <c r="A1025" s="419">
        <v>7</v>
      </c>
      <c r="B1025" s="87" t="s">
        <v>50</v>
      </c>
      <c r="C1025" s="128" t="s">
        <v>135</v>
      </c>
      <c r="D1025" s="129" t="s">
        <v>54</v>
      </c>
      <c r="E1025" s="98">
        <v>81.95</v>
      </c>
      <c r="F1025" s="705" t="s">
        <v>1306</v>
      </c>
      <c r="G1025" s="357">
        <v>0</v>
      </c>
      <c r="H1025" s="704" t="str">
        <f t="shared" si="2616"/>
        <v/>
      </c>
      <c r="I1025" s="98">
        <f t="shared" si="2617"/>
        <v>0</v>
      </c>
      <c r="J1025" s="98">
        <f>IF(H1025="warranty",0,(I1025*($J$1782)))</f>
        <v>0</v>
      </c>
      <c r="K1025" s="831">
        <f t="shared" si="2618"/>
        <v>0</v>
      </c>
      <c r="L1025" s="831"/>
      <c r="M1025" s="832" t="str">
        <f>IF($H$1784=0,"",IF(G1025=0,"",IF(F1025="Qty=",CONCATENATE("$",ROUND(K1025*(1-$H$1784),2)," with ",($H$1784*100),"% discount"),CONCATENATE("$",ROUND(K1025*(1-$H$1784),2)," with ",(($H$1784*100+F1025*100)-($H$1784*100*F1025)),IF(F1025&gt;0,"% discounts",IF($H$1781&gt;0,"% discounts","% discount"))))))</f>
        <v/>
      </c>
      <c r="N1025" s="832"/>
      <c r="O1025" s="832"/>
      <c r="P1025" s="832"/>
      <c r="Q1025" s="832"/>
      <c r="R1025" s="832"/>
      <c r="S1025" s="303">
        <f t="shared" ref="S1025" si="2628">E1025*G1025</f>
        <v>0</v>
      </c>
      <c r="T1025" s="541">
        <f>VLOOKUP(A1025,'Discount Lookup'!D:E,2,FALSE)*G1025</f>
        <v>0</v>
      </c>
      <c r="U1025" s="83">
        <f>VLOOKUP(A1025,'Discount Lookup'!G:H,2,FALSE)*G1025</f>
        <v>0</v>
      </c>
      <c r="V1025" s="100">
        <f>E1025*($J$1782)*G1025</f>
        <v>0</v>
      </c>
      <c r="W1025" s="100">
        <f t="shared" ref="W1025" si="2629">I1025</f>
        <v>0</v>
      </c>
      <c r="X1025" s="100" t="b">
        <f>IF(G1025&gt;0,IF(AD1025="me","",G1025))</f>
        <v>0</v>
      </c>
      <c r="Y1025" s="201"/>
      <c r="Z1025" s="829" t="str">
        <f t="shared" si="2567"/>
        <v/>
      </c>
      <c r="AA1025" s="829"/>
      <c r="AB1025" s="830" t="str">
        <f>IF(G1025=0,"",IF(AD1025="free","re-planting",IF(AD1025="me","not NVP, by",IF($AD$8="yes",(VLOOKUP(A1025,'Discount Lookup'!J:K,2)*G1025*(1-$AC$1786)*(1+$AC$1788)),IF(AD1025="NVP",(VLOOKUP(A1025,'Discount Lookup'!J:K,2)*G1025*(1-$AC$1786)*(1+$AC$1788)),IF(AD1025="free","re-planting",IF(G1025=0,"",IF($AD$8="",IF(AD1025="me","not NVP, by",IF(AD1025="",IF(G1025&gt;0,(VLOOKUP(A1025,'Discount Lookup'!J:K,2)*G1025*(1-$AC$1786)*(1+$AC$1788)),""),"")),"not NVP, by"))))))))</f>
        <v/>
      </c>
      <c r="AC1025" s="830"/>
      <c r="AD1025" s="375" t="str">
        <f t="shared" si="2539"/>
        <v/>
      </c>
      <c r="AE1025" s="833" t="str">
        <f t="shared" ref="AE1025" si="2630">IF(G1025&gt;0,(CONCATENATE((G1025)," quantity, ",(A1025)," ",B1025)),"")</f>
        <v/>
      </c>
      <c r="AF1025" s="833"/>
      <c r="AG1025" s="833"/>
      <c r="AH1025" s="91">
        <f>IF(AD1025="free",0,IF(AD1025="me",0,IF(G1025&gt;0,(VLOOKUP(A1025,'Discount Lookup'!J:K,2)*G1025),0)))</f>
        <v>0</v>
      </c>
      <c r="AI1025" s="92" t="str">
        <f t="shared" si="2599"/>
        <v/>
      </c>
      <c r="AJ1025" s="828" t="str">
        <f t="shared" si="2568"/>
        <v/>
      </c>
      <c r="AK1025" s="828"/>
      <c r="AL1025" s="313" t="str">
        <f t="shared" si="2488"/>
        <v/>
      </c>
      <c r="AM1025" s="312"/>
      <c r="AN1025" s="101"/>
      <c r="AO1025" s="101"/>
      <c r="AP1025" s="101"/>
      <c r="AQ1025" s="101"/>
      <c r="AR1025" s="101"/>
      <c r="AS1025" s="101"/>
      <c r="AT1025" s="101"/>
    </row>
    <row r="1026" spans="1:46" ht="12.95" customHeight="1">
      <c r="A1026" s="468"/>
      <c r="B1026" s="149" t="s">
        <v>585</v>
      </c>
      <c r="C1026" s="117"/>
      <c r="D1026" s="118"/>
      <c r="E1026" s="119"/>
      <c r="F1026" s="711"/>
      <c r="G1026" s="356"/>
      <c r="H1026" s="745"/>
      <c r="I1026" s="119"/>
      <c r="J1026" s="119"/>
      <c r="K1026" s="609"/>
      <c r="L1026" s="609"/>
      <c r="M1026" s="121"/>
      <c r="N1026" s="145"/>
      <c r="O1026" s="123"/>
      <c r="P1026" s="124"/>
      <c r="Q1026" s="124"/>
      <c r="R1026" s="83"/>
      <c r="S1026" s="82">
        <f>E1026*G1026</f>
        <v>0</v>
      </c>
      <c r="T1026" s="540"/>
      <c r="U1026" s="83"/>
      <c r="V1026" s="100" t="b">
        <f>IF(G1026&gt;0,IF(AD1026="me","",G1026))</f>
        <v>0</v>
      </c>
      <c r="W1026" s="100"/>
      <c r="X1026" s="100"/>
      <c r="Y1026" s="201"/>
      <c r="Z1026" s="829" t="str">
        <f t="shared" si="2567"/>
        <v/>
      </c>
      <c r="AA1026" s="829"/>
      <c r="AB1026" s="830" t="str">
        <f>IF(G1026=0,"",IF(AD1026="free","re-planting",IF(AD1026="me","not NVP, by",IF($AD$8="yes",(VLOOKUP(A1026,'Discount Lookup'!J:K,2)*G1026*(1-$AC$1786)*(1+$AC$1788)),IF(AD1026="NVP",(VLOOKUP(A1026,'Discount Lookup'!J:K,2)*G1026*(1-$AC$1786)*(1+$AC$1788)),IF(AD1026="free","re-planting",IF(G1026=0,"",IF($AD$8="",IF(AD1026="me","not NVP, by",IF(AD1026="",IF(G1026&gt;0,(VLOOKUP(A1026,'Discount Lookup'!J:K,2)*G1026*(1-$AC$1786)*(1+$AC$1788)),""),"")),"not NVP, by"))))))))</f>
        <v/>
      </c>
      <c r="AC1026" s="830"/>
      <c r="AD1026" s="375" t="str">
        <f t="shared" si="2539"/>
        <v/>
      </c>
      <c r="AE1026" s="833" t="str">
        <f t="shared" si="2479"/>
        <v/>
      </c>
      <c r="AF1026" s="833"/>
      <c r="AG1026" s="833"/>
      <c r="AH1026" s="91">
        <f>IF(AD1026="free",0,IF(AD1026="me",0,IF(G1026&gt;0,(VLOOKUP(A1026,'Discount Lookup'!J:K,2)*G1026),0)))</f>
        <v>0</v>
      </c>
      <c r="AI1026" s="92" t="str">
        <f t="shared" si="2599"/>
        <v/>
      </c>
      <c r="AJ1026" s="828" t="str">
        <f t="shared" si="2568"/>
        <v/>
      </c>
      <c r="AK1026" s="828"/>
      <c r="AL1026" s="313" t="str">
        <f t="shared" si="2488"/>
        <v/>
      </c>
      <c r="AM1026" s="312"/>
      <c r="AN1026" s="101"/>
      <c r="AO1026" s="101"/>
      <c r="AP1026" s="101"/>
      <c r="AQ1026" s="101"/>
      <c r="AR1026" s="101"/>
      <c r="AS1026" s="101"/>
      <c r="AT1026" s="101"/>
    </row>
    <row r="1027" spans="1:46" ht="12.95" customHeight="1">
      <c r="A1027" s="896" t="s">
        <v>586</v>
      </c>
      <c r="B1027" s="897"/>
      <c r="C1027" s="897"/>
      <c r="D1027" s="897"/>
      <c r="E1027" s="897"/>
      <c r="F1027" s="897"/>
      <c r="G1027" s="897"/>
      <c r="H1027" s="776" t="s">
        <v>582</v>
      </c>
      <c r="I1027" s="88" t="s">
        <v>79</v>
      </c>
      <c r="J1027" s="86"/>
      <c r="K1027" s="603" t="s">
        <v>45</v>
      </c>
      <c r="L1027" s="601" t="s">
        <v>46</v>
      </c>
      <c r="M1027" s="86"/>
      <c r="N1027" s="87" t="s">
        <v>130</v>
      </c>
      <c r="O1027" s="87"/>
      <c r="P1027" s="88"/>
      <c r="Q1027" s="88"/>
      <c r="R1027" s="86"/>
      <c r="S1027" s="125"/>
      <c r="T1027" s="543"/>
      <c r="U1027" s="89" t="s">
        <v>48</v>
      </c>
      <c r="V1027" s="100" t="b">
        <f>IF(G1027&gt;0,IF(AD1027="me","",G1027))</f>
        <v>0</v>
      </c>
      <c r="W1027" s="100"/>
      <c r="X1027" s="100"/>
      <c r="Y1027" s="201"/>
      <c r="Z1027" s="829" t="str">
        <f t="shared" si="2567"/>
        <v/>
      </c>
      <c r="AA1027" s="829"/>
      <c r="AB1027" s="830" t="str">
        <f>IF(G1027=0,"",IF(AD1027="free","re-planting",IF(AD1027="me","not NVP, by",IF($AD$8="yes",(VLOOKUP(A1027,'Discount Lookup'!J:K,2)*G1027*(1-$AC$1786)*(1+$AC$1788)),IF(AD1027="NVP",(VLOOKUP(A1027,'Discount Lookup'!J:K,2)*G1027*(1-$AC$1786)*(1+$AC$1788)),IF(AD1027="free","re-planting",IF(G1027=0,"",IF($AD$8="",IF(AD1027="me","not NVP, by",IF(AD1027="",IF(G1027&gt;0,(VLOOKUP(A1027,'Discount Lookup'!J:K,2)*G1027*(1-$AC$1786)*(1+$AC$1788)),""),"")),"not NVP, by"))))))))</f>
        <v/>
      </c>
      <c r="AC1027" s="830"/>
      <c r="AD1027" s="375" t="str">
        <f t="shared" si="2539"/>
        <v/>
      </c>
      <c r="AE1027" s="833" t="str">
        <f t="shared" si="2479"/>
        <v/>
      </c>
      <c r="AF1027" s="833"/>
      <c r="AG1027" s="833"/>
      <c r="AH1027" s="91">
        <f>IF(AD1027="free",0,IF(AD1027="me",0,IF(G1027&gt;0,(VLOOKUP(A1027,'Discount Lookup'!J:K,2)*G1027),0)))</f>
        <v>0</v>
      </c>
      <c r="AI1027" s="92" t="str">
        <f t="shared" si="2599"/>
        <v/>
      </c>
      <c r="AJ1027" s="828" t="str">
        <f t="shared" si="2568"/>
        <v/>
      </c>
      <c r="AK1027" s="828"/>
      <c r="AL1027" s="313" t="str">
        <f t="shared" si="2488"/>
        <v/>
      </c>
      <c r="AM1027" s="312"/>
      <c r="AN1027" s="101"/>
      <c r="AO1027" s="101"/>
      <c r="AP1027" s="101"/>
      <c r="AQ1027" s="101"/>
      <c r="AR1027" s="101"/>
      <c r="AS1027" s="101"/>
      <c r="AT1027" s="101"/>
    </row>
    <row r="1028" spans="1:46" ht="12.95" customHeight="1">
      <c r="A1028" s="419">
        <v>3</v>
      </c>
      <c r="B1028" s="87" t="s">
        <v>50</v>
      </c>
      <c r="C1028" s="399" t="s">
        <v>136</v>
      </c>
      <c r="D1028" s="129" t="s">
        <v>86</v>
      </c>
      <c r="E1028" s="98">
        <v>26.95</v>
      </c>
      <c r="F1028" s="705" t="s">
        <v>1306</v>
      </c>
      <c r="G1028" s="357">
        <v>0</v>
      </c>
      <c r="H1028" s="704" t="str">
        <f t="shared" ref="H1028" si="2631">IF(G1028=0,"",IF(F1028="Qty=",IF(G1028=1,"plant","plants"),IF(F1028&gt;0.0001,"warranty","Error")))</f>
        <v/>
      </c>
      <c r="I1028" s="98">
        <f t="shared" ref="I1028" si="2632">IF(F1028="Qty=",(E1028*G1028),((E1028*(1-F1028))*G1028))</f>
        <v>0</v>
      </c>
      <c r="J1028" s="98">
        <f>IF(H1028="warranty",0,(I1028*($J$1782)))</f>
        <v>0</v>
      </c>
      <c r="K1028" s="831">
        <f t="shared" ref="K1028" si="2633">I1028+J1028</f>
        <v>0</v>
      </c>
      <c r="L1028" s="831"/>
      <c r="M1028" s="832" t="str">
        <f>IF($H$1784=0,"",IF(G1028=0,"",IF(F1028="Qty=",CONCATENATE("$",ROUND(K1028*(1-$H$1784),2)," with ",($H$1784*100),"% discount"),CONCATENATE("$",ROUND(K1028*(1-$H$1784),2)," with ",(($H$1784*100+F1028*100)-($H$1784*100*F1028)),IF(F1028&gt;0,"% discounts",IF($H$1781&gt;0,"% discounts","% discount"))))))</f>
        <v/>
      </c>
      <c r="N1028" s="832"/>
      <c r="O1028" s="832"/>
      <c r="P1028" s="832"/>
      <c r="Q1028" s="832"/>
      <c r="R1028" s="832"/>
      <c r="S1028" s="303">
        <f t="shared" ref="S1028" si="2634">E1028*G1028</f>
        <v>0</v>
      </c>
      <c r="T1028" s="541">
        <f>VLOOKUP(A1028,'Discount Lookup'!D:E,2,FALSE)*G1028</f>
        <v>0</v>
      </c>
      <c r="U1028" s="83">
        <f>VLOOKUP(A1028,'Discount Lookup'!G:H,2,FALSE)*G1028</f>
        <v>0</v>
      </c>
      <c r="V1028" s="100">
        <f>E1028*($J$1782)*G1028</f>
        <v>0</v>
      </c>
      <c r="W1028" s="100">
        <f t="shared" ref="W1028" si="2635">I1028</f>
        <v>0</v>
      </c>
      <c r="X1028" s="100" t="b">
        <f>IF(G1028&gt;0,IF(AD1028="me","",G1028))</f>
        <v>0</v>
      </c>
      <c r="Y1028" s="201"/>
      <c r="Z1028" s="829" t="str">
        <f t="shared" ref="Z1028" si="2636">IF(G1028=0,"",IF(AD1028="me","",IF($AD$8="me","",IF(AD1028="free","warranty",IF($AD$8="yes","NVP planting:","to NVP install:")))))</f>
        <v/>
      </c>
      <c r="AA1028" s="829"/>
      <c r="AB1028" s="830" t="str">
        <f>IF(G1028=0,"",IF(AD1028="free","re-planting",IF(AD1028="me","not NVP, by",IF($AD$8="yes",(VLOOKUP(A1028,'Discount Lookup'!J:K,2)*G1028*(1-$AC$1786)*(1+$AC$1788)),IF(AD1028="NVP",(VLOOKUP(A1028,'Discount Lookup'!J:K,2)*G1028*(1-$AC$1786)*(1+$AC$1788)),IF(AD1028="free","re-planting",IF(G1028=0,"",IF($AD$8="",IF(AD1028="me","not NVP, by",IF(AD1028="",IF(G1028&gt;0,(VLOOKUP(A1028,'Discount Lookup'!J:K,2)*G1028*(1-$AC$1786)*(1+$AC$1788)),""),"")),"not NVP, by"))))))))</f>
        <v/>
      </c>
      <c r="AC1028" s="830"/>
      <c r="AD1028" s="375" t="str">
        <f t="shared" ref="AD1028" si="2637">IF(G1028=0,"",IF($AD$8="me","me",IF(H1028="warranty","free",IF($AD$8="yes","NVP",""))))</f>
        <v/>
      </c>
      <c r="AE1028" s="833" t="str">
        <f t="shared" ref="AE1028" si="2638">IF(G1028&gt;0,(CONCATENATE((G1028)," quantity, ",(A1028)," ",B1028)),"")</f>
        <v/>
      </c>
      <c r="AF1028" s="833"/>
      <c r="AG1028" s="833"/>
      <c r="AH1028" s="91">
        <f>IF(AD1028="free",0,IF(AD1028="me",0,IF(G1028&gt;0,(VLOOKUP(A1028,'Discount Lookup'!J:K,2)*G1028),0)))</f>
        <v>0</v>
      </c>
      <c r="AI1028" s="92" t="str">
        <f t="shared" si="2599"/>
        <v/>
      </c>
      <c r="AJ1028" s="828" t="str">
        <f t="shared" ref="AJ1028" si="2639">IF(G1028=0,"",IF(AD1028="me","  delivery-only",IF($AD$8="me","  delivery-only",CONCATENATE(" $",ROUND(AI1028/G1028,2)," each"))))</f>
        <v/>
      </c>
      <c r="AK1028" s="828"/>
      <c r="AL1028" s="313" t="str">
        <f t="shared" si="2488"/>
        <v/>
      </c>
      <c r="AM1028" s="312"/>
      <c r="AN1028" s="101"/>
      <c r="AO1028" s="101"/>
      <c r="AP1028" s="101"/>
      <c r="AQ1028" s="101"/>
      <c r="AR1028" s="101"/>
      <c r="AS1028" s="101"/>
      <c r="AT1028" s="101"/>
    </row>
    <row r="1029" spans="1:46" ht="12.95" customHeight="1">
      <c r="A1029" s="419">
        <v>3</v>
      </c>
      <c r="B1029" s="87" t="s">
        <v>50</v>
      </c>
      <c r="C1029" s="399" t="s">
        <v>136</v>
      </c>
      <c r="D1029" s="129" t="s">
        <v>94</v>
      </c>
      <c r="E1029" s="98">
        <v>31.95</v>
      </c>
      <c r="F1029" s="705" t="s">
        <v>1306</v>
      </c>
      <c r="G1029" s="357">
        <v>0</v>
      </c>
      <c r="H1029" s="704" t="str">
        <f t="shared" ref="H1029" si="2640">IF(G1029=0,"",IF(F1029="Qty=",IF(G1029=1,"plant","plants"),IF(F1029&gt;0.0001,"warranty","Error")))</f>
        <v/>
      </c>
      <c r="I1029" s="98">
        <f t="shared" ref="I1029" si="2641">IF(F1029="Qty=",(E1029*G1029),((E1029*(1-F1029))*G1029))</f>
        <v>0</v>
      </c>
      <c r="J1029" s="98">
        <f>IF(H1029="warranty",0,(I1029*($J$1782)))</f>
        <v>0</v>
      </c>
      <c r="K1029" s="831">
        <f t="shared" ref="K1029" si="2642">I1029+J1029</f>
        <v>0</v>
      </c>
      <c r="L1029" s="831"/>
      <c r="M1029" s="832" t="str">
        <f>IF($H$1784=0,"",IF(G1029=0,"",IF(F1029="Qty=",CONCATENATE("$",ROUND(K1029*(1-$H$1784),2)," with ",($H$1784*100),"% discount"),CONCATENATE("$",ROUND(K1029*(1-$H$1784),2)," with ",(($H$1784*100+F1029*100)-($H$1784*100*F1029)),IF(F1029&gt;0,"% discounts",IF($H$1781&gt;0,"% discounts","% discount"))))))</f>
        <v/>
      </c>
      <c r="N1029" s="832"/>
      <c r="O1029" s="832"/>
      <c r="P1029" s="832"/>
      <c r="Q1029" s="832"/>
      <c r="R1029" s="832"/>
      <c r="S1029" s="303">
        <f t="shared" ref="S1029" si="2643">E1029*G1029</f>
        <v>0</v>
      </c>
      <c r="T1029" s="541">
        <f>VLOOKUP(A1029,'Discount Lookup'!D:E,2,FALSE)*G1029</f>
        <v>0</v>
      </c>
      <c r="U1029" s="83">
        <f>VLOOKUP(A1029,'Discount Lookup'!G:H,2,FALSE)*G1029</f>
        <v>0</v>
      </c>
      <c r="V1029" s="100">
        <f>E1029*($J$1782)*G1029</f>
        <v>0</v>
      </c>
      <c r="W1029" s="100">
        <f t="shared" ref="W1029" si="2644">I1029</f>
        <v>0</v>
      </c>
      <c r="X1029" s="100" t="b">
        <f>IF(G1029&gt;0,IF(AD1029="me","",G1029))</f>
        <v>0</v>
      </c>
      <c r="Y1029" s="201"/>
      <c r="Z1029" s="829" t="str">
        <f t="shared" si="2567"/>
        <v/>
      </c>
      <c r="AA1029" s="829"/>
      <c r="AB1029" s="830" t="str">
        <f>IF(G1029=0,"",IF(AD1029="free","re-planting",IF(AD1029="me","not NVP, by",IF($AD$8="yes",(VLOOKUP(A1029,'Discount Lookup'!J:K,2)*G1029*(1-$AC$1786)*(1+$AC$1788)),IF(AD1029="NVP",(VLOOKUP(A1029,'Discount Lookup'!J:K,2)*G1029*(1-$AC$1786)*(1+$AC$1788)),IF(AD1029="free","re-planting",IF(G1029=0,"",IF($AD$8="",IF(AD1029="me","not NVP, by",IF(AD1029="",IF(G1029&gt;0,(VLOOKUP(A1029,'Discount Lookup'!J:K,2)*G1029*(1-$AC$1786)*(1+$AC$1788)),""),"")),"not NVP, by"))))))))</f>
        <v/>
      </c>
      <c r="AC1029" s="830"/>
      <c r="AD1029" s="375" t="str">
        <f t="shared" si="2539"/>
        <v/>
      </c>
      <c r="AE1029" s="833" t="str">
        <f t="shared" si="2479"/>
        <v/>
      </c>
      <c r="AF1029" s="833"/>
      <c r="AG1029" s="833"/>
      <c r="AH1029" s="91">
        <f>IF(AD1029="free",0,IF(AD1029="me",0,IF(G1029&gt;0,(VLOOKUP(A1029,'Discount Lookup'!J:K,2)*G1029),0)))</f>
        <v>0</v>
      </c>
      <c r="AI1029" s="92" t="str">
        <f t="shared" si="2599"/>
        <v/>
      </c>
      <c r="AJ1029" s="828" t="str">
        <f t="shared" si="2568"/>
        <v/>
      </c>
      <c r="AK1029" s="828"/>
      <c r="AL1029" s="313" t="str">
        <f t="shared" si="2488"/>
        <v/>
      </c>
      <c r="AM1029" s="312"/>
      <c r="AN1029" s="101"/>
      <c r="AO1029" s="101"/>
      <c r="AP1029" s="101"/>
      <c r="AQ1029" s="101"/>
      <c r="AR1029" s="101"/>
      <c r="AS1029" s="101"/>
      <c r="AT1029" s="101"/>
    </row>
    <row r="1030" spans="1:46" ht="12.95" customHeight="1">
      <c r="A1030" s="468"/>
      <c r="B1030" s="149" t="s">
        <v>587</v>
      </c>
      <c r="C1030" s="117"/>
      <c r="D1030" s="118"/>
      <c r="E1030" s="119"/>
      <c r="F1030" s="711"/>
      <c r="G1030" s="356"/>
      <c r="H1030" s="745"/>
      <c r="I1030" s="119"/>
      <c r="J1030" s="119"/>
      <c r="K1030" s="609"/>
      <c r="L1030" s="609"/>
      <c r="M1030" s="121"/>
      <c r="N1030" s="121"/>
      <c r="O1030" s="123"/>
      <c r="P1030" s="124"/>
      <c r="Q1030" s="124"/>
      <c r="R1030" s="83"/>
      <c r="S1030" s="82">
        <f>E1030*G1030</f>
        <v>0</v>
      </c>
      <c r="T1030" s="540"/>
      <c r="U1030" s="83"/>
      <c r="V1030" s="100" t="b">
        <f>IF(G1030&gt;0,IF(AD1030="me","",G1030))</f>
        <v>0</v>
      </c>
      <c r="W1030" s="100"/>
      <c r="X1030" s="100"/>
      <c r="Y1030" s="201"/>
      <c r="Z1030" s="829" t="str">
        <f t="shared" si="2567"/>
        <v/>
      </c>
      <c r="AA1030" s="829"/>
      <c r="AB1030" s="830" t="str">
        <f>IF(G1030=0,"",IF(AD1030="free","re-planting",IF(AD1030="me","not NVP, by",IF($AD$8="yes",(VLOOKUP(A1030,'Discount Lookup'!J:K,2)*G1030*(1-$AC$1786)*(1+$AC$1788)),IF(AD1030="NVP",(VLOOKUP(A1030,'Discount Lookup'!J:K,2)*G1030*(1-$AC$1786)*(1+$AC$1788)),IF(AD1030="free","re-planting",IF(G1030=0,"",IF($AD$8="",IF(AD1030="me","not NVP, by",IF(AD1030="",IF(G1030&gt;0,(VLOOKUP(A1030,'Discount Lookup'!J:K,2)*G1030*(1-$AC$1786)*(1+$AC$1788)),""),"")),"not NVP, by"))))))))</f>
        <v/>
      </c>
      <c r="AC1030" s="830"/>
      <c r="AD1030" s="375" t="str">
        <f t="shared" si="2539"/>
        <v/>
      </c>
      <c r="AE1030" s="833" t="str">
        <f t="shared" si="2479"/>
        <v/>
      </c>
      <c r="AF1030" s="833"/>
      <c r="AG1030" s="833"/>
      <c r="AH1030" s="91">
        <f>IF(AD1030="free",0,IF(AD1030="me",0,IF(G1030&gt;0,(VLOOKUP(A1030,'Discount Lookup'!J:K,2)*G1030),0)))</f>
        <v>0</v>
      </c>
      <c r="AI1030" s="92" t="str">
        <f t="shared" si="2599"/>
        <v/>
      </c>
      <c r="AJ1030" s="828" t="str">
        <f t="shared" si="2568"/>
        <v/>
      </c>
      <c r="AK1030" s="828"/>
      <c r="AL1030" s="313" t="str">
        <f t="shared" si="2488"/>
        <v/>
      </c>
      <c r="AM1030" s="312"/>
      <c r="AN1030" s="101"/>
      <c r="AO1030" s="101"/>
      <c r="AP1030" s="101"/>
      <c r="AQ1030" s="101"/>
      <c r="AR1030" s="101"/>
      <c r="AS1030" s="101"/>
      <c r="AT1030" s="101"/>
    </row>
    <row r="1031" spans="1:46" ht="12.95" customHeight="1">
      <c r="A1031" s="896" t="s">
        <v>1500</v>
      </c>
      <c r="B1031" s="897"/>
      <c r="C1031" s="897"/>
      <c r="D1031" s="897"/>
      <c r="E1031" s="897"/>
      <c r="F1031" s="897"/>
      <c r="G1031" s="897"/>
      <c r="H1031" s="776" t="s">
        <v>582</v>
      </c>
      <c r="I1031" s="88" t="s">
        <v>79</v>
      </c>
      <c r="J1031" s="86"/>
      <c r="K1031" s="603" t="s">
        <v>45</v>
      </c>
      <c r="L1031" s="601" t="s">
        <v>46</v>
      </c>
      <c r="M1031" s="86"/>
      <c r="N1031" s="87" t="s">
        <v>69</v>
      </c>
      <c r="O1031" s="87"/>
      <c r="P1031" s="88"/>
      <c r="Q1031" s="88"/>
      <c r="R1031" s="86"/>
      <c r="S1031" s="125"/>
      <c r="T1031" s="543"/>
      <c r="U1031" s="112"/>
      <c r="V1031" s="100" t="b">
        <f>IF(G1031&gt;0,IF(AD1031="me","",G1031))</f>
        <v>0</v>
      </c>
      <c r="W1031" s="100"/>
      <c r="X1031" s="100"/>
      <c r="Y1031" s="201"/>
      <c r="Z1031" s="829" t="str">
        <f t="shared" si="2567"/>
        <v/>
      </c>
      <c r="AA1031" s="829"/>
      <c r="AB1031" s="830" t="str">
        <f>IF(G1031=0,"",IF(AD1031="free","re-planting",IF(AD1031="me","not NVP, by",IF($AD$8="yes",(VLOOKUP(A1031,'Discount Lookup'!J:K,2)*G1031*(1-$AC$1786)*(1+$AC$1788)),IF(AD1031="NVP",(VLOOKUP(A1031,'Discount Lookup'!J:K,2)*G1031*(1-$AC$1786)*(1+$AC$1788)),IF(AD1031="free","re-planting",IF(G1031=0,"",IF($AD$8="",IF(AD1031="me","not NVP, by",IF(AD1031="",IF(G1031&gt;0,(VLOOKUP(A1031,'Discount Lookup'!J:K,2)*G1031*(1-$AC$1786)*(1+$AC$1788)),""),"")),"not NVP, by"))))))))</f>
        <v/>
      </c>
      <c r="AC1031" s="830"/>
      <c r="AD1031" s="375" t="str">
        <f t="shared" si="2539"/>
        <v/>
      </c>
      <c r="AE1031" s="833" t="str">
        <f t="shared" si="2479"/>
        <v/>
      </c>
      <c r="AF1031" s="833"/>
      <c r="AG1031" s="833"/>
      <c r="AH1031" s="91">
        <f>IF(AD1031="free",0,IF(AD1031="me",0,IF(G1031&gt;0,(VLOOKUP(A1031,'Discount Lookup'!J:K,2)*G1031),0)))</f>
        <v>0</v>
      </c>
      <c r="AI1031" s="92" t="str">
        <f t="shared" si="2599"/>
        <v/>
      </c>
      <c r="AJ1031" s="828" t="str">
        <f t="shared" si="2568"/>
        <v/>
      </c>
      <c r="AK1031" s="828"/>
      <c r="AL1031" s="313" t="str">
        <f t="shared" si="2488"/>
        <v/>
      </c>
      <c r="AM1031" s="312"/>
      <c r="AN1031" s="101"/>
      <c r="AO1031" s="101"/>
      <c r="AP1031" s="101"/>
      <c r="AQ1031" s="101"/>
      <c r="AR1031" s="101"/>
      <c r="AS1031" s="101"/>
      <c r="AT1031" s="101"/>
    </row>
    <row r="1032" spans="1:46" ht="12.95" customHeight="1">
      <c r="A1032" s="419">
        <v>3</v>
      </c>
      <c r="B1032" s="87" t="s">
        <v>50</v>
      </c>
      <c r="C1032" s="128" t="s">
        <v>1643</v>
      </c>
      <c r="D1032" s="129" t="s">
        <v>63</v>
      </c>
      <c r="E1032" s="98">
        <v>36.950000000000003</v>
      </c>
      <c r="F1032" s="705" t="s">
        <v>1306</v>
      </c>
      <c r="G1032" s="357">
        <v>0</v>
      </c>
      <c r="H1032" s="704" t="str">
        <f t="shared" ref="H1032" si="2645">IF(G1032=0,"",IF(F1032="Qty=",IF(G1032=1,"plant","plants"),IF(F1032&gt;0.0001,"warranty","Error")))</f>
        <v/>
      </c>
      <c r="I1032" s="98">
        <f t="shared" ref="I1032" si="2646">IF(F1032="Qty=",(E1032*G1032),((E1032*(1-F1032))*G1032))</f>
        <v>0</v>
      </c>
      <c r="J1032" s="98">
        <f>IF(H1032="warranty",0,(I1032*($J$1782)))</f>
        <v>0</v>
      </c>
      <c r="K1032" s="831">
        <f t="shared" ref="K1032" si="2647">I1032+J1032</f>
        <v>0</v>
      </c>
      <c r="L1032" s="831"/>
      <c r="M1032" s="832" t="str">
        <f>IF($H$1784=0,"",IF(G1032=0,"",IF(F1032="Qty=",CONCATENATE("$",ROUND(K1032*(1-$H$1784),2)," with ",($H$1784*100),"% discount"),CONCATENATE("$",ROUND(K1032*(1-$H$1784),2)," with ",(($H$1784*100+F1032*100)-($H$1784*100*F1032)),IF(F1032&gt;0,"% discounts",IF($H$1781&gt;0,"% discounts","% discount"))))))</f>
        <v/>
      </c>
      <c r="N1032" s="832"/>
      <c r="O1032" s="832"/>
      <c r="P1032" s="832"/>
      <c r="Q1032" s="832"/>
      <c r="R1032" s="832"/>
      <c r="S1032" s="303">
        <f t="shared" ref="S1032" si="2648">E1032*G1032</f>
        <v>0</v>
      </c>
      <c r="T1032" s="541">
        <f>VLOOKUP(A1032,'Discount Lookup'!D:E,2,FALSE)*G1032</f>
        <v>0</v>
      </c>
      <c r="U1032" s="83">
        <f>VLOOKUP(A1032,'Discount Lookup'!G:H,2,FALSE)*G1032</f>
        <v>0</v>
      </c>
      <c r="V1032" s="100">
        <f>E1032*($J$1782)*G1032</f>
        <v>0</v>
      </c>
      <c r="W1032" s="100">
        <f t="shared" ref="W1032" si="2649">I1032</f>
        <v>0</v>
      </c>
      <c r="X1032" s="100" t="b">
        <f>IF(G1032&gt;0,IF(AD1032="me","",G1032))</f>
        <v>0</v>
      </c>
      <c r="Y1032" s="201"/>
      <c r="Z1032" s="829" t="str">
        <f t="shared" ref="Z1032" si="2650">IF(G1032=0,"",IF(AD1032="me","",IF($AD$8="me","",IF(AD1032="free","warranty",IF($AD$8="yes","NVP planting:","to NVP install:")))))</f>
        <v/>
      </c>
      <c r="AA1032" s="829"/>
      <c r="AB1032" s="830" t="str">
        <f>IF(G1032=0,"",IF(AD1032="free","re-planting",IF(AD1032="me","not NVP, by",IF($AD$8="yes",(VLOOKUP(A1032,'Discount Lookup'!J:K,2)*G1032*(1-$AC$1786)*(1+$AC$1788)),IF(AD1032="NVP",(VLOOKUP(A1032,'Discount Lookup'!J:K,2)*G1032*(1-$AC$1786)*(1+$AC$1788)),IF(AD1032="free","re-planting",IF(G1032=0,"",IF($AD$8="",IF(AD1032="me","not NVP, by",IF(AD1032="",IF(G1032&gt;0,(VLOOKUP(A1032,'Discount Lookup'!J:K,2)*G1032*(1-$AC$1786)*(1+$AC$1788)),""),"")),"not NVP, by"))))))))</f>
        <v/>
      </c>
      <c r="AC1032" s="830"/>
      <c r="AD1032" s="375" t="str">
        <f t="shared" ref="AD1032" si="2651">IF(G1032=0,"",IF($AD$8="me","me",IF(H1032="warranty","free",IF($AD$8="yes","NVP",""))))</f>
        <v/>
      </c>
      <c r="AE1032" s="833" t="str">
        <f t="shared" ref="AE1032" si="2652">IF(G1032&gt;0,(CONCATENATE((G1032)," quantity, ",(A1032)," ",B1032)),"")</f>
        <v/>
      </c>
      <c r="AF1032" s="833"/>
      <c r="AG1032" s="833"/>
      <c r="AH1032" s="91">
        <f>IF(AD1032="free",0,IF(AD1032="me",0,IF(G1032&gt;0,(VLOOKUP(A1032,'Discount Lookup'!J:K,2)*G1032),0)))</f>
        <v>0</v>
      </c>
      <c r="AI1032" s="92" t="str">
        <f t="shared" si="2599"/>
        <v/>
      </c>
      <c r="AJ1032" s="828" t="str">
        <f t="shared" ref="AJ1032" si="2653">IF(G1032=0,"",IF(AD1032="me","  delivery-only",IF($AD$8="me","  delivery-only",CONCATENATE(" $",ROUND(AI1032/G1032,2)," each"))))</f>
        <v/>
      </c>
      <c r="AK1032" s="828"/>
      <c r="AL1032" s="313" t="str">
        <f t="shared" si="2488"/>
        <v/>
      </c>
      <c r="AM1032" s="312"/>
      <c r="AN1032" s="101"/>
      <c r="AO1032" s="101"/>
      <c r="AP1032" s="101"/>
      <c r="AQ1032" s="101"/>
      <c r="AR1032" s="101"/>
      <c r="AS1032" s="101"/>
      <c r="AT1032" s="101"/>
    </row>
    <row r="1033" spans="1:46" ht="12.95" customHeight="1">
      <c r="A1033" s="419">
        <v>3</v>
      </c>
      <c r="B1033" s="87" t="s">
        <v>50</v>
      </c>
      <c r="C1033" s="128" t="s">
        <v>99</v>
      </c>
      <c r="D1033" s="129" t="s">
        <v>94</v>
      </c>
      <c r="E1033" s="98">
        <v>30.95</v>
      </c>
      <c r="F1033" s="705" t="s">
        <v>1306</v>
      </c>
      <c r="G1033" s="357">
        <v>0</v>
      </c>
      <c r="H1033" s="704" t="str">
        <f t="shared" ref="H1033" si="2654">IF(G1033=0,"",IF(F1033="Qty=",IF(G1033=1,"plant","plants"),IF(F1033&gt;0.0001,"warranty","Error")))</f>
        <v/>
      </c>
      <c r="I1033" s="98">
        <f t="shared" ref="I1033" si="2655">IF(F1033="Qty=",(E1033*G1033),((E1033*(1-F1033))*G1033))</f>
        <v>0</v>
      </c>
      <c r="J1033" s="98">
        <f>IF(H1033="warranty",0,(I1033*($J$1782)))</f>
        <v>0</v>
      </c>
      <c r="K1033" s="831">
        <f t="shared" ref="K1033" si="2656">I1033+J1033</f>
        <v>0</v>
      </c>
      <c r="L1033" s="831"/>
      <c r="M1033" s="832" t="str">
        <f>IF($H$1784=0,"",IF(G1033=0,"",IF(F1033="Qty=",CONCATENATE("$",ROUND(K1033*(1-$H$1784),2)," with ",($H$1784*100),"% discount"),CONCATENATE("$",ROUND(K1033*(1-$H$1784),2)," with ",(($H$1784*100+F1033*100)-($H$1784*100*F1033)),IF(F1033&gt;0,"% discounts",IF($H$1781&gt;0,"% discounts","% discount"))))))</f>
        <v/>
      </c>
      <c r="N1033" s="832"/>
      <c r="O1033" s="832"/>
      <c r="P1033" s="832"/>
      <c r="Q1033" s="832"/>
      <c r="R1033" s="832"/>
      <c r="S1033" s="303">
        <f t="shared" ref="S1033" si="2657">E1033*G1033</f>
        <v>0</v>
      </c>
      <c r="T1033" s="541">
        <f>VLOOKUP(A1033,'Discount Lookup'!D:E,2,FALSE)*G1033</f>
        <v>0</v>
      </c>
      <c r="U1033" s="83">
        <f>VLOOKUP(A1033,'Discount Lookup'!G:H,2,FALSE)*G1033</f>
        <v>0</v>
      </c>
      <c r="V1033" s="100">
        <f>E1033*($J$1782)*G1033</f>
        <v>0</v>
      </c>
      <c r="W1033" s="100">
        <f t="shared" ref="W1033" si="2658">I1033</f>
        <v>0</v>
      </c>
      <c r="X1033" s="100" t="b">
        <f>IF(G1033&gt;0,IF(AD1033="me","",G1033))</f>
        <v>0</v>
      </c>
      <c r="Y1033" s="201"/>
      <c r="Z1033" s="829" t="str">
        <f t="shared" si="2567"/>
        <v/>
      </c>
      <c r="AA1033" s="829"/>
      <c r="AB1033" s="830" t="str">
        <f>IF(G1033=0,"",IF(AD1033="free","re-planting",IF(AD1033="me","not NVP, by",IF($AD$8="yes",(VLOOKUP(A1033,'Discount Lookup'!J:K,2)*G1033*(1-$AC$1786)*(1+$AC$1788)),IF(AD1033="NVP",(VLOOKUP(A1033,'Discount Lookup'!J:K,2)*G1033*(1-$AC$1786)*(1+$AC$1788)),IF(AD1033="free","re-planting",IF(G1033=0,"",IF($AD$8="",IF(AD1033="me","not NVP, by",IF(AD1033="",IF(G1033&gt;0,(VLOOKUP(A1033,'Discount Lookup'!J:K,2)*G1033*(1-$AC$1786)*(1+$AC$1788)),""),"")),"not NVP, by"))))))))</f>
        <v/>
      </c>
      <c r="AC1033" s="830"/>
      <c r="AD1033" s="375" t="str">
        <f t="shared" si="2539"/>
        <v/>
      </c>
      <c r="AE1033" s="833" t="str">
        <f t="shared" si="2479"/>
        <v/>
      </c>
      <c r="AF1033" s="833"/>
      <c r="AG1033" s="833"/>
      <c r="AH1033" s="91">
        <f>IF(AD1033="free",0,IF(AD1033="me",0,IF(G1033&gt;0,(VLOOKUP(A1033,'Discount Lookup'!J:K,2)*G1033),0)))</f>
        <v>0</v>
      </c>
      <c r="AI1033" s="92" t="str">
        <f t="shared" si="2599"/>
        <v/>
      </c>
      <c r="AJ1033" s="828" t="str">
        <f t="shared" si="2568"/>
        <v/>
      </c>
      <c r="AK1033" s="828"/>
      <c r="AL1033" s="313" t="str">
        <f t="shared" si="2488"/>
        <v/>
      </c>
      <c r="AM1033" s="312"/>
      <c r="AN1033" s="101"/>
      <c r="AO1033" s="101"/>
      <c r="AP1033" s="101"/>
      <c r="AQ1033" s="101"/>
      <c r="AR1033" s="101"/>
      <c r="AS1033" s="101"/>
      <c r="AT1033" s="101"/>
    </row>
    <row r="1034" spans="1:46" ht="12.95" customHeight="1">
      <c r="A1034" s="468"/>
      <c r="B1034" s="149" t="s">
        <v>588</v>
      </c>
      <c r="C1034" s="117"/>
      <c r="D1034" s="118"/>
      <c r="E1034" s="119"/>
      <c r="F1034" s="711"/>
      <c r="G1034" s="356"/>
      <c r="H1034" s="745"/>
      <c r="I1034" s="119"/>
      <c r="J1034" s="119"/>
      <c r="K1034" s="609"/>
      <c r="L1034" s="609"/>
      <c r="M1034" s="121"/>
      <c r="N1034" s="122" t="s">
        <v>115</v>
      </c>
      <c r="O1034" s="123"/>
      <c r="P1034" s="124"/>
      <c r="Q1034" s="124"/>
      <c r="R1034" s="83"/>
      <c r="S1034" s="82">
        <f>E1034*G1034</f>
        <v>0</v>
      </c>
      <c r="T1034" s="540"/>
      <c r="U1034" s="83"/>
      <c r="V1034" s="100" t="b">
        <f>IF(G1034&gt;0,IF(AD1034="me","",G1034))</f>
        <v>0</v>
      </c>
      <c r="W1034" s="100"/>
      <c r="X1034" s="100"/>
      <c r="Y1034" s="201"/>
      <c r="Z1034" s="829" t="str">
        <f t="shared" si="2567"/>
        <v/>
      </c>
      <c r="AA1034" s="829"/>
      <c r="AB1034" s="830" t="str">
        <f>IF(G1034=0,"",IF(AD1034="free","re-planting",IF(AD1034="me","not NVP, by",IF($AD$8="yes",(VLOOKUP(A1034,'Discount Lookup'!J:K,2)*G1034*(1-$AC$1786)*(1+$AC$1788)),IF(AD1034="NVP",(VLOOKUP(A1034,'Discount Lookup'!J:K,2)*G1034*(1-$AC$1786)*(1+$AC$1788)),IF(AD1034="free","re-planting",IF(G1034=0,"",IF($AD$8="",IF(AD1034="me","not NVP, by",IF(AD1034="",IF(G1034&gt;0,(VLOOKUP(A1034,'Discount Lookup'!J:K,2)*G1034*(1-$AC$1786)*(1+$AC$1788)),""),"")),"not NVP, by"))))))))</f>
        <v/>
      </c>
      <c r="AC1034" s="830"/>
      <c r="AD1034" s="375" t="str">
        <f t="shared" si="2539"/>
        <v/>
      </c>
      <c r="AE1034" s="833" t="str">
        <f t="shared" si="2479"/>
        <v/>
      </c>
      <c r="AF1034" s="833"/>
      <c r="AG1034" s="833"/>
      <c r="AH1034" s="91">
        <f>IF(AD1034="free",0,IF(AD1034="me",0,IF(G1034&gt;0,(VLOOKUP(A1034,'Discount Lookup'!J:K,2)*G1034),0)))</f>
        <v>0</v>
      </c>
      <c r="AI1034" s="92" t="str">
        <f t="shared" si="2599"/>
        <v/>
      </c>
      <c r="AJ1034" s="828" t="str">
        <f t="shared" si="2568"/>
        <v/>
      </c>
      <c r="AK1034" s="828"/>
      <c r="AL1034" s="313" t="str">
        <f t="shared" si="2488"/>
        <v/>
      </c>
      <c r="AM1034" s="312"/>
      <c r="AN1034" s="101"/>
      <c r="AO1034" s="101"/>
      <c r="AP1034" s="101"/>
      <c r="AQ1034" s="101"/>
      <c r="AR1034" s="101"/>
      <c r="AS1034" s="101"/>
      <c r="AT1034" s="101"/>
    </row>
    <row r="1035" spans="1:46" ht="12.95" customHeight="1">
      <c r="A1035" s="896" t="s">
        <v>589</v>
      </c>
      <c r="B1035" s="897"/>
      <c r="C1035" s="897"/>
      <c r="D1035" s="897"/>
      <c r="E1035" s="897"/>
      <c r="F1035" s="897"/>
      <c r="G1035" s="897"/>
      <c r="H1035" s="776" t="s">
        <v>582</v>
      </c>
      <c r="I1035" s="88" t="s">
        <v>79</v>
      </c>
      <c r="J1035" s="86"/>
      <c r="K1035" s="603" t="s">
        <v>45</v>
      </c>
      <c r="L1035" s="601" t="s">
        <v>46</v>
      </c>
      <c r="M1035" s="86"/>
      <c r="N1035" s="87" t="s">
        <v>69</v>
      </c>
      <c r="O1035" s="87"/>
      <c r="P1035" s="87"/>
      <c r="Q1035" s="87"/>
      <c r="R1035" s="86"/>
      <c r="S1035" s="125"/>
      <c r="T1035" s="543"/>
      <c r="U1035" s="112"/>
      <c r="V1035" s="100" t="b">
        <f>IF(G1035&gt;0,IF(AD1035="me","",G1035))</f>
        <v>0</v>
      </c>
      <c r="W1035" s="100"/>
      <c r="X1035" s="100"/>
      <c r="Y1035" s="201"/>
      <c r="Z1035" s="829" t="str">
        <f t="shared" si="2567"/>
        <v/>
      </c>
      <c r="AA1035" s="829"/>
      <c r="AB1035" s="830" t="str">
        <f>IF(G1035=0,"",IF(AD1035="free","re-planting",IF(AD1035="me","not NVP, by",IF($AD$8="yes",(VLOOKUP(A1035,'Discount Lookup'!J:K,2)*G1035*(1-$AC$1786)*(1+$AC$1788)),IF(AD1035="NVP",(VLOOKUP(A1035,'Discount Lookup'!J:K,2)*G1035*(1-$AC$1786)*(1+$AC$1788)),IF(AD1035="free","re-planting",IF(G1035=0,"",IF($AD$8="",IF(AD1035="me","not NVP, by",IF(AD1035="",IF(G1035&gt;0,(VLOOKUP(A1035,'Discount Lookup'!J:K,2)*G1035*(1-$AC$1786)*(1+$AC$1788)),""),"")),"not NVP, by"))))))))</f>
        <v/>
      </c>
      <c r="AC1035" s="830"/>
      <c r="AD1035" s="375" t="str">
        <f t="shared" si="2539"/>
        <v/>
      </c>
      <c r="AE1035" s="833" t="str">
        <f t="shared" si="2479"/>
        <v/>
      </c>
      <c r="AF1035" s="833"/>
      <c r="AG1035" s="833"/>
      <c r="AH1035" s="91">
        <f>IF(AD1035="free",0,IF(AD1035="me",0,IF(G1035&gt;0,(VLOOKUP(A1035,'Discount Lookup'!J:K,2)*G1035),0)))</f>
        <v>0</v>
      </c>
      <c r="AI1035" s="92" t="str">
        <f t="shared" si="2599"/>
        <v/>
      </c>
      <c r="AJ1035" s="828" t="str">
        <f t="shared" si="2568"/>
        <v/>
      </c>
      <c r="AK1035" s="828"/>
      <c r="AL1035" s="313" t="str">
        <f t="shared" ref="AL1035:AL1098" si="2659">IF(AD1035="free","      ~ discounts included, no tax or planting fee applies ~",IF(G1035=0,"",IF($AD$8="me",CONCATENATE(" $",ROUND(AI1035/G1035,2)," per plant, with tax &amp; discount"),IF(AD1035="me",CONCATENATE(" $",ROUND(AI1035/G1035,2)," per plant, with tax &amp; discount"),CONCATENATE("= $",ROUND((K1035*(1-$H$1784))/G1035,2)," per plant + $",AB1035/G1035,(" per planting      ~ includes tax &amp; discounts ~"))))))</f>
        <v/>
      </c>
      <c r="AM1035" s="312"/>
      <c r="AN1035" s="101"/>
      <c r="AO1035" s="101"/>
      <c r="AP1035" s="101"/>
      <c r="AQ1035" s="101"/>
      <c r="AR1035" s="101"/>
      <c r="AS1035" s="101"/>
      <c r="AT1035" s="101"/>
    </row>
    <row r="1036" spans="1:46" ht="12.95" customHeight="1">
      <c r="A1036" s="419">
        <v>3</v>
      </c>
      <c r="B1036" s="87" t="s">
        <v>50</v>
      </c>
      <c r="C1036" s="128" t="s">
        <v>548</v>
      </c>
      <c r="D1036" s="129" t="s">
        <v>62</v>
      </c>
      <c r="E1036" s="98">
        <v>22.95</v>
      </c>
      <c r="F1036" s="705" t="s">
        <v>1306</v>
      </c>
      <c r="G1036" s="357">
        <v>0</v>
      </c>
      <c r="H1036" s="704" t="str">
        <f t="shared" ref="H1036" si="2660">IF(G1036=0,"",IF(F1036="Qty=",IF(G1036=1,"plant","plants"),IF(F1036&gt;0.0001,"warranty","Error")))</f>
        <v/>
      </c>
      <c r="I1036" s="98">
        <f t="shared" ref="I1036" si="2661">IF(F1036="Qty=",(E1036*G1036),((E1036*(1-F1036))*G1036))</f>
        <v>0</v>
      </c>
      <c r="J1036" s="98">
        <f>IF(H1036="warranty",0,(I1036*($J$1782)))</f>
        <v>0</v>
      </c>
      <c r="K1036" s="831">
        <f t="shared" ref="K1036" si="2662">I1036+J1036</f>
        <v>0</v>
      </c>
      <c r="L1036" s="831"/>
      <c r="M1036" s="832" t="str">
        <f>IF($H$1784=0,"",IF(G1036=0,"",IF(F1036="Qty=",CONCATENATE("$",ROUND(K1036*(1-$H$1784),2)," with ",($H$1784*100),"% discount"),CONCATENATE("$",ROUND(K1036*(1-$H$1784),2)," with ",(($H$1784*100+F1036*100)-($H$1784*100*F1036)),IF(F1036&gt;0,"% discounts",IF($H$1781&gt;0,"% discounts","% discount"))))))</f>
        <v/>
      </c>
      <c r="N1036" s="832"/>
      <c r="O1036" s="832"/>
      <c r="P1036" s="832"/>
      <c r="Q1036" s="832"/>
      <c r="R1036" s="832"/>
      <c r="S1036" s="303">
        <f t="shared" ref="S1036" si="2663">E1036*G1036</f>
        <v>0</v>
      </c>
      <c r="T1036" s="541">
        <f>VLOOKUP(A1036,'Discount Lookup'!D:E,2,FALSE)*G1036</f>
        <v>0</v>
      </c>
      <c r="U1036" s="83">
        <f>VLOOKUP(A1036,'Discount Lookup'!G:H,2,FALSE)*G1036</f>
        <v>0</v>
      </c>
      <c r="V1036" s="100">
        <f>E1036*($J$1782)*G1036</f>
        <v>0</v>
      </c>
      <c r="W1036" s="100">
        <f t="shared" ref="W1036" si="2664">I1036</f>
        <v>0</v>
      </c>
      <c r="X1036" s="100" t="b">
        <f>IF(G1036&gt;0,IF(AD1036="me","",G1036))</f>
        <v>0</v>
      </c>
      <c r="Y1036" s="201"/>
      <c r="Z1036" s="829" t="str">
        <f t="shared" si="2567"/>
        <v/>
      </c>
      <c r="AA1036" s="829"/>
      <c r="AB1036" s="830" t="str">
        <f>IF(G1036=0,"",IF(AD1036="free","re-planting",IF(AD1036="me","not NVP, by",IF($AD$8="yes",(VLOOKUP(A1036,'Discount Lookup'!J:K,2)*G1036*(1-$AC$1786)*(1+$AC$1788)),IF(AD1036="NVP",(VLOOKUP(A1036,'Discount Lookup'!J:K,2)*G1036*(1-$AC$1786)*(1+$AC$1788)),IF(AD1036="free","re-planting",IF(G1036=0,"",IF($AD$8="",IF(AD1036="me","not NVP, by",IF(AD1036="",IF(G1036&gt;0,(VLOOKUP(A1036,'Discount Lookup'!J:K,2)*G1036*(1-$AC$1786)*(1+$AC$1788)),""),"")),"not NVP, by"))))))))</f>
        <v/>
      </c>
      <c r="AC1036" s="830"/>
      <c r="AD1036" s="375" t="str">
        <f t="shared" si="2539"/>
        <v/>
      </c>
      <c r="AE1036" s="833" t="str">
        <f t="shared" ref="AE1036" si="2665">IF(G1036&gt;0,(CONCATENATE((G1036)," quantity, ",(A1036)," ",B1036)),"")</f>
        <v/>
      </c>
      <c r="AF1036" s="833"/>
      <c r="AG1036" s="833"/>
      <c r="AH1036" s="91">
        <f>IF(AD1036="free",0,IF(AD1036="me",0,IF(G1036&gt;0,(VLOOKUP(A1036,'Discount Lookup'!J:K,2)*G1036),0)))</f>
        <v>0</v>
      </c>
      <c r="AI1036" s="92" t="str">
        <f t="shared" si="2599"/>
        <v/>
      </c>
      <c r="AJ1036" s="828" t="str">
        <f t="shared" si="2568"/>
        <v/>
      </c>
      <c r="AK1036" s="828"/>
      <c r="AL1036" s="313" t="str">
        <f t="shared" si="2659"/>
        <v/>
      </c>
      <c r="AM1036" s="312"/>
      <c r="AN1036" s="101"/>
      <c r="AO1036" s="101"/>
      <c r="AP1036" s="101"/>
      <c r="AQ1036" s="101"/>
      <c r="AR1036" s="101"/>
      <c r="AS1036" s="101"/>
      <c r="AT1036" s="101"/>
    </row>
    <row r="1037" spans="1:46" ht="12.95" customHeight="1">
      <c r="A1037" s="468"/>
      <c r="B1037" s="149" t="s">
        <v>591</v>
      </c>
      <c r="C1037" s="117"/>
      <c r="D1037" s="118"/>
      <c r="E1037" s="119"/>
      <c r="F1037" s="711"/>
      <c r="G1037" s="356"/>
      <c r="H1037" s="745"/>
      <c r="I1037" s="119"/>
      <c r="J1037" s="119"/>
      <c r="K1037" s="609"/>
      <c r="L1037" s="609"/>
      <c r="M1037" s="48"/>
      <c r="N1037" s="122" t="s">
        <v>115</v>
      </c>
      <c r="O1037" s="48"/>
      <c r="P1037" s="124"/>
      <c r="Q1037" s="124"/>
      <c r="R1037" s="83"/>
      <c r="S1037" s="82">
        <f>E1037*G1037</f>
        <v>0</v>
      </c>
      <c r="T1037" s="540"/>
      <c r="U1037" s="83"/>
      <c r="V1037" s="100" t="b">
        <f>IF(G1037&gt;0,IF(AD1037="me","",G1037))</f>
        <v>0</v>
      </c>
      <c r="W1037" s="100"/>
      <c r="X1037" s="100"/>
      <c r="Y1037" s="201"/>
      <c r="Z1037" s="829" t="str">
        <f t="shared" si="2567"/>
        <v/>
      </c>
      <c r="AA1037" s="829"/>
      <c r="AB1037" s="830" t="str">
        <f>IF(G1037=0,"",IF(AD1037="free","re-planting",IF(AD1037="me","not NVP, by",IF($AD$8="yes",(VLOOKUP(A1037,'Discount Lookup'!J:K,2)*G1037*(1-$AC$1786)*(1+$AC$1788)),IF(AD1037="NVP",(VLOOKUP(A1037,'Discount Lookup'!J:K,2)*G1037*(1-$AC$1786)*(1+$AC$1788)),IF(AD1037="free","re-planting",IF(G1037=0,"",IF($AD$8="",IF(AD1037="me","not NVP, by",IF(AD1037="",IF(G1037&gt;0,(VLOOKUP(A1037,'Discount Lookup'!J:K,2)*G1037*(1-$AC$1786)*(1+$AC$1788)),""),"")),"not NVP, by"))))))))</f>
        <v/>
      </c>
      <c r="AC1037" s="830"/>
      <c r="AD1037" s="375" t="str">
        <f t="shared" si="2539"/>
        <v/>
      </c>
      <c r="AE1037" s="833" t="str">
        <f t="shared" si="2479"/>
        <v/>
      </c>
      <c r="AF1037" s="833"/>
      <c r="AG1037" s="833"/>
      <c r="AH1037" s="91">
        <f>IF(AD1037="free",0,IF(AD1037="me",0,IF(G1037&gt;0,(VLOOKUP(A1037,'Discount Lookup'!J:K,2)*G1037),0)))</f>
        <v>0</v>
      </c>
      <c r="AI1037" s="92" t="str">
        <f t="shared" si="2599"/>
        <v/>
      </c>
      <c r="AJ1037" s="828" t="str">
        <f t="shared" si="2568"/>
        <v/>
      </c>
      <c r="AK1037" s="828"/>
      <c r="AL1037" s="313" t="str">
        <f t="shared" si="2659"/>
        <v/>
      </c>
      <c r="AM1037" s="312"/>
      <c r="AN1037" s="101"/>
      <c r="AO1037" s="101"/>
      <c r="AP1037" s="101"/>
      <c r="AQ1037" s="101"/>
      <c r="AR1037" s="101"/>
      <c r="AS1037" s="101"/>
      <c r="AT1037" s="101"/>
    </row>
    <row r="1038" spans="1:46" ht="12.95" customHeight="1">
      <c r="A1038" s="896" t="s">
        <v>592</v>
      </c>
      <c r="B1038" s="897"/>
      <c r="C1038" s="897"/>
      <c r="D1038" s="897"/>
      <c r="E1038" s="897"/>
      <c r="F1038" s="897"/>
      <c r="G1038" s="897"/>
      <c r="H1038" s="776" t="s">
        <v>582</v>
      </c>
      <c r="I1038" s="88" t="s">
        <v>127</v>
      </c>
      <c r="J1038" s="86"/>
      <c r="K1038" s="603" t="s">
        <v>45</v>
      </c>
      <c r="L1038" s="601" t="s">
        <v>46</v>
      </c>
      <c r="M1038" s="86"/>
      <c r="N1038" s="87" t="s">
        <v>128</v>
      </c>
      <c r="O1038" s="87"/>
      <c r="P1038" s="88"/>
      <c r="Q1038" s="88"/>
      <c r="R1038" s="86"/>
      <c r="S1038" s="125"/>
      <c r="T1038" s="543"/>
      <c r="U1038" s="112"/>
      <c r="V1038" s="100" t="b">
        <f>IF(G1038&gt;0,IF(AD1038="me","",G1038))</f>
        <v>0</v>
      </c>
      <c r="W1038" s="100"/>
      <c r="X1038" s="100"/>
      <c r="Y1038" s="201"/>
      <c r="Z1038" s="829" t="str">
        <f t="shared" si="2567"/>
        <v/>
      </c>
      <c r="AA1038" s="829"/>
      <c r="AB1038" s="830" t="str">
        <f>IF(G1038=0,"",IF(AD1038="free","re-planting",IF(AD1038="me","not NVP, by",IF($AD$8="yes",(VLOOKUP(A1038,'Discount Lookup'!J:K,2)*G1038*(1-$AC$1786)*(1+$AC$1788)),IF(AD1038="NVP",(VLOOKUP(A1038,'Discount Lookup'!J:K,2)*G1038*(1-$AC$1786)*(1+$AC$1788)),IF(AD1038="free","re-planting",IF(G1038=0,"",IF($AD$8="",IF(AD1038="me","not NVP, by",IF(AD1038="",IF(G1038&gt;0,(VLOOKUP(A1038,'Discount Lookup'!J:K,2)*G1038*(1-$AC$1786)*(1+$AC$1788)),""),"")),"not NVP, by"))))))))</f>
        <v/>
      </c>
      <c r="AC1038" s="830"/>
      <c r="AD1038" s="375" t="str">
        <f t="shared" si="2539"/>
        <v/>
      </c>
      <c r="AE1038" s="833" t="str">
        <f t="shared" si="2479"/>
        <v/>
      </c>
      <c r="AF1038" s="833"/>
      <c r="AG1038" s="833"/>
      <c r="AH1038" s="91">
        <f>IF(AD1038="free",0,IF(AD1038="me",0,IF(G1038&gt;0,(VLOOKUP(A1038,'Discount Lookup'!J:K,2)*G1038),0)))</f>
        <v>0</v>
      </c>
      <c r="AI1038" s="92" t="str">
        <f t="shared" si="2599"/>
        <v/>
      </c>
      <c r="AJ1038" s="828" t="str">
        <f t="shared" si="2568"/>
        <v/>
      </c>
      <c r="AK1038" s="828"/>
      <c r="AL1038" s="313" t="str">
        <f t="shared" si="2659"/>
        <v/>
      </c>
      <c r="AM1038" s="312"/>
      <c r="AN1038" s="101"/>
      <c r="AO1038" s="101"/>
      <c r="AP1038" s="101"/>
      <c r="AQ1038" s="101"/>
      <c r="AR1038" s="101"/>
      <c r="AS1038" s="101"/>
      <c r="AT1038" s="101"/>
    </row>
    <row r="1039" spans="1:46" ht="12.95" customHeight="1">
      <c r="A1039" s="419">
        <v>3</v>
      </c>
      <c r="B1039" s="87" t="s">
        <v>50</v>
      </c>
      <c r="C1039" s="399" t="s">
        <v>483</v>
      </c>
      <c r="D1039" s="129" t="s">
        <v>63</v>
      </c>
      <c r="E1039" s="98">
        <v>35.950000000000003</v>
      </c>
      <c r="F1039" s="705" t="s">
        <v>1306</v>
      </c>
      <c r="G1039" s="357">
        <v>0</v>
      </c>
      <c r="H1039" s="704" t="str">
        <f t="shared" ref="H1039" si="2666">IF(G1039=0,"",IF(F1039="Qty=",IF(G1039=1,"plant","plants"),IF(F1039&gt;0.0001,"warranty","Error")))</f>
        <v/>
      </c>
      <c r="I1039" s="98">
        <f t="shared" ref="I1039" si="2667">IF(F1039="Qty=",(E1039*G1039),((E1039*(1-F1039))*G1039))</f>
        <v>0</v>
      </c>
      <c r="J1039" s="98">
        <f>IF(H1039="warranty",0,(I1039*($J$1782)))</f>
        <v>0</v>
      </c>
      <c r="K1039" s="831">
        <f t="shared" ref="K1039:K1040" si="2668">I1039+J1039</f>
        <v>0</v>
      </c>
      <c r="L1039" s="831"/>
      <c r="M1039" s="832" t="str">
        <f>IF($H$1784=0,"",IF(G1039=0,"",IF(F1039="Qty=",CONCATENATE("$",ROUND(K1039*(1-$H$1784),2)," with ",($H$1784*100),"% discount"),CONCATENATE("$",ROUND(K1039*(1-$H$1784),2)," with ",(($H$1784*100+F1039*100)-($H$1784*100*F1039)),IF(F1039&gt;0,"% discounts",IF($H$1781&gt;0,"% discounts","% discount"))))))</f>
        <v/>
      </c>
      <c r="N1039" s="832"/>
      <c r="O1039" s="832"/>
      <c r="P1039" s="832"/>
      <c r="Q1039" s="832"/>
      <c r="R1039" s="832"/>
      <c r="S1039" s="303">
        <f t="shared" ref="S1039" si="2669">E1039*G1039</f>
        <v>0</v>
      </c>
      <c r="T1039" s="541">
        <f>VLOOKUP(A1039,'Discount Lookup'!D:E,2,FALSE)*G1039</f>
        <v>0</v>
      </c>
      <c r="U1039" s="83">
        <f>VLOOKUP(A1039,'Discount Lookup'!G:H,2,FALSE)*G1039</f>
        <v>0</v>
      </c>
      <c r="V1039" s="100">
        <f>E1039*($J$1782)*G1039</f>
        <v>0</v>
      </c>
      <c r="W1039" s="100">
        <f t="shared" ref="W1039" si="2670">I1039</f>
        <v>0</v>
      </c>
      <c r="X1039" s="100" t="b">
        <f t="shared" ref="X1039:X1040" si="2671">IF(G1039&gt;0,IF(AD1039="me","",G1039))</f>
        <v>0</v>
      </c>
      <c r="Y1039" s="201"/>
      <c r="Z1039" s="829" t="str">
        <f t="shared" ref="Z1039" si="2672">IF(G1039=0,"",IF(AD1039="me","",IF($AD$8="me","",IF(AD1039="free","warranty",IF($AD$8="yes","NVP planting:","to NVP install:")))))</f>
        <v/>
      </c>
      <c r="AA1039" s="829"/>
      <c r="AB1039" s="830" t="str">
        <f>IF(G1039=0,"",IF(AD1039="free","re-planting",IF(AD1039="me","not NVP, by",IF($AD$8="yes",(VLOOKUP(A1039,'Discount Lookup'!J:K,2)*G1039*(1-$AC$1786)*(1+$AC$1788)),IF(AD1039="NVP",(VLOOKUP(A1039,'Discount Lookup'!J:K,2)*G1039*(1-$AC$1786)*(1+$AC$1788)),IF(AD1039="free","re-planting",IF(G1039=0,"",IF($AD$8="",IF(AD1039="me","not NVP, by",IF(AD1039="",IF(G1039&gt;0,(VLOOKUP(A1039,'Discount Lookup'!J:K,2)*G1039*(1-$AC$1786)*(1+$AC$1788)),""),"")),"not NVP, by"))))))))</f>
        <v/>
      </c>
      <c r="AC1039" s="830"/>
      <c r="AD1039" s="375" t="str">
        <f t="shared" si="2539"/>
        <v/>
      </c>
      <c r="AE1039" s="833" t="str">
        <f t="shared" ref="AE1039" si="2673">IF(G1039&gt;0,(CONCATENATE((G1039)," quantity, ",(A1039)," ",B1039)),"")</f>
        <v/>
      </c>
      <c r="AF1039" s="833"/>
      <c r="AG1039" s="833"/>
      <c r="AH1039" s="91">
        <f>IF(AD1039="free",0,IF(AD1039="me",0,IF(G1039&gt;0,(VLOOKUP(A1039,'Discount Lookup'!J:K,2)*G1039),0)))</f>
        <v>0</v>
      </c>
      <c r="AI1039" s="92" t="str">
        <f t="shared" si="2599"/>
        <v/>
      </c>
      <c r="AJ1039" s="828" t="str">
        <f t="shared" ref="AJ1039" si="2674">IF(G1039=0,"",IF(AD1039="me","  delivery-only",IF($AD$8="me","  delivery-only",CONCATENATE(" $",ROUND(AI1039/G1039,2)," each"))))</f>
        <v/>
      </c>
      <c r="AK1039" s="828"/>
      <c r="AL1039" s="313" t="str">
        <f t="shared" si="2659"/>
        <v/>
      </c>
      <c r="AM1039" s="312"/>
      <c r="AN1039" s="101"/>
      <c r="AO1039" s="101"/>
      <c r="AP1039" s="101"/>
      <c r="AQ1039" s="101"/>
      <c r="AR1039" s="101"/>
      <c r="AS1039" s="101"/>
      <c r="AT1039" s="101"/>
    </row>
    <row r="1040" spans="1:46" ht="12.95" customHeight="1">
      <c r="A1040" s="419">
        <v>7</v>
      </c>
      <c r="B1040" s="87" t="s">
        <v>50</v>
      </c>
      <c r="C1040" s="128" t="s">
        <v>1274</v>
      </c>
      <c r="D1040" s="129" t="s">
        <v>54</v>
      </c>
      <c r="E1040" s="98">
        <v>104.95</v>
      </c>
      <c r="F1040" s="705" t="s">
        <v>1306</v>
      </c>
      <c r="G1040" s="357">
        <v>0</v>
      </c>
      <c r="H1040" s="704" t="str">
        <f t="shared" ref="H1040" si="2675">IF(G1040=0,"",IF(F1040="Qty=",IF(G1040=1,"plant","plants"),IF(F1040&gt;0.0001,"warranty","Error")))</f>
        <v/>
      </c>
      <c r="I1040" s="98">
        <f t="shared" ref="I1040" si="2676">IF(F1040="Qty=",(E1040*G1040),((E1040*(1-F1040))*G1040))</f>
        <v>0</v>
      </c>
      <c r="J1040" s="98">
        <f>IF(H1040="warranty",0,(I1040*($J$1782)))</f>
        <v>0</v>
      </c>
      <c r="K1040" s="831">
        <f t="shared" si="2668"/>
        <v>0</v>
      </c>
      <c r="L1040" s="831"/>
      <c r="M1040" s="832" t="str">
        <f>IF($H$1784=0,"",IF(G1040=0,"",IF(F1040="Qty=",CONCATENATE("$",ROUND(K1040*(1-$H$1784),2)," with ",($H$1784*100),"% discount"),CONCATENATE("$",ROUND(K1040*(1-$H$1784),2)," with ",(($H$1784*100+F1040*100)-($H$1784*100*F1040)),IF(F1040&gt;0,"% discounts",IF($H$1781&gt;0,"% discounts","% discount"))))))</f>
        <v/>
      </c>
      <c r="N1040" s="832"/>
      <c r="O1040" s="832"/>
      <c r="P1040" s="832"/>
      <c r="Q1040" s="832"/>
      <c r="R1040" s="832"/>
      <c r="S1040" s="303">
        <f t="shared" ref="S1040" si="2677">E1040*G1040</f>
        <v>0</v>
      </c>
      <c r="T1040" s="541">
        <f>VLOOKUP(A1040,'Discount Lookup'!D:E,2,FALSE)*G1040</f>
        <v>0</v>
      </c>
      <c r="U1040" s="83">
        <f>VLOOKUP(A1040,'Discount Lookup'!G:H,2,FALSE)*G1040</f>
        <v>0</v>
      </c>
      <c r="V1040" s="100">
        <f>E1040*($J$1782)*G1040</f>
        <v>0</v>
      </c>
      <c r="W1040" s="100">
        <f t="shared" ref="W1040" si="2678">I1040</f>
        <v>0</v>
      </c>
      <c r="X1040" s="100" t="b">
        <f t="shared" si="2671"/>
        <v>0</v>
      </c>
      <c r="Y1040" s="201"/>
      <c r="Z1040" s="829" t="str">
        <f t="shared" si="2567"/>
        <v/>
      </c>
      <c r="AA1040" s="829"/>
      <c r="AB1040" s="830" t="str">
        <f>IF(G1040=0,"",IF(AD1040="free","re-planting",IF(AD1040="me","not NVP, by",IF($AD$8="yes",(VLOOKUP(A1040,'Discount Lookup'!J:K,2)*G1040*(1-$AC$1786)*(1+$AC$1788)),IF(AD1040="NVP",(VLOOKUP(A1040,'Discount Lookup'!J:K,2)*G1040*(1-$AC$1786)*(1+$AC$1788)),IF(AD1040="free","re-planting",IF(G1040=0,"",IF($AD$8="",IF(AD1040="me","not NVP, by",IF(AD1040="",IF(G1040&gt;0,(VLOOKUP(A1040,'Discount Lookup'!J:K,2)*G1040*(1-$AC$1786)*(1+$AC$1788)),""),"")),"not NVP, by"))))))))</f>
        <v/>
      </c>
      <c r="AC1040" s="830"/>
      <c r="AD1040" s="375" t="str">
        <f t="shared" si="2539"/>
        <v/>
      </c>
      <c r="AE1040" s="833" t="str">
        <f t="shared" ref="AE1040" si="2679">IF(G1040&gt;0,(CONCATENATE((G1040)," quantity, ",(A1040)," ",B1040)),"")</f>
        <v/>
      </c>
      <c r="AF1040" s="833"/>
      <c r="AG1040" s="833"/>
      <c r="AH1040" s="91">
        <f>IF(AD1040="free",0,IF(AD1040="me",0,IF(G1040&gt;0,(VLOOKUP(A1040,'Discount Lookup'!J:K,2)*G1040),0)))</f>
        <v>0</v>
      </c>
      <c r="AI1040" s="92" t="str">
        <f t="shared" si="2599"/>
        <v/>
      </c>
      <c r="AJ1040" s="828" t="str">
        <f t="shared" si="2568"/>
        <v/>
      </c>
      <c r="AK1040" s="828"/>
      <c r="AL1040" s="313" t="str">
        <f t="shared" si="2659"/>
        <v/>
      </c>
      <c r="AM1040" s="312"/>
      <c r="AN1040" s="101"/>
      <c r="AO1040" s="101"/>
      <c r="AP1040" s="101"/>
      <c r="AQ1040" s="101"/>
      <c r="AR1040" s="101"/>
      <c r="AS1040" s="101"/>
      <c r="AT1040" s="101"/>
    </row>
    <row r="1041" spans="1:46" ht="12.95" customHeight="1">
      <c r="A1041" s="469"/>
      <c r="B1041" s="149" t="s">
        <v>593</v>
      </c>
      <c r="G1041" s="361"/>
      <c r="H1041" s="746"/>
      <c r="M1041" s="121"/>
      <c r="N1041" s="121"/>
      <c r="O1041" s="123">
        <f>VLOOKUP(A1041,'Discount Lookup'!D:E,2,FALSE)*G1041</f>
        <v>0</v>
      </c>
      <c r="P1041" s="124">
        <f>VLOOKUP(A1041,'Discount Lookup'!G:H,2,FALSE)*G1041</f>
        <v>0</v>
      </c>
      <c r="Q1041" s="124"/>
      <c r="R1041" s="83">
        <f>IF(F1041=0,E1041*($J$1782)*G1041,0)</f>
        <v>0</v>
      </c>
      <c r="S1041" s="82">
        <f t="shared" ref="S1041" si="2680">E1041*G1041</f>
        <v>0</v>
      </c>
      <c r="T1041" s="540"/>
      <c r="U1041" s="83"/>
      <c r="V1041" s="100" t="b">
        <f>IF(G1041&gt;0,IF(AD1041="me","",G1041))</f>
        <v>0</v>
      </c>
      <c r="W1041" s="100"/>
      <c r="X1041" s="100"/>
      <c r="Y1041" s="201"/>
      <c r="Z1041" s="829" t="str">
        <f t="shared" si="2567"/>
        <v/>
      </c>
      <c r="AA1041" s="829"/>
      <c r="AB1041" s="830" t="str">
        <f>IF(G1041=0,"",IF(AD1041="free","re-planting",IF(AD1041="me","not NVP, by",IF($AD$8="yes",(VLOOKUP(A1041,'Discount Lookup'!J:K,2)*G1041*(1-$AC$1786)*(1+$AC$1788)),IF(AD1041="NVP",(VLOOKUP(A1041,'Discount Lookup'!J:K,2)*G1041*(1-$AC$1786)*(1+$AC$1788)),IF(AD1041="free","re-planting",IF(G1041=0,"",IF($AD$8="",IF(AD1041="me","not NVP, by",IF(AD1041="",IF(G1041&gt;0,(VLOOKUP(A1041,'Discount Lookup'!J:K,2)*G1041*(1-$AC$1786)*(1+$AC$1788)),""),"")),"not NVP, by"))))))))</f>
        <v/>
      </c>
      <c r="AC1041" s="830"/>
      <c r="AD1041" s="375" t="str">
        <f t="shared" si="2539"/>
        <v/>
      </c>
      <c r="AE1041" s="833" t="str">
        <f t="shared" ref="AE1041:AE1099" si="2681">IF(G1041&gt;0,(CONCATENATE((G1041)," quantity, ",(A1041)," ",B1041)),"")</f>
        <v/>
      </c>
      <c r="AF1041" s="833"/>
      <c r="AG1041" s="833"/>
      <c r="AH1041" s="91">
        <f>IF(AD1041="free",0,IF(AD1041="me",0,IF(G1041&gt;0,(VLOOKUP(A1041,'Discount Lookup'!J:K,2)*G1041),0)))</f>
        <v>0</v>
      </c>
      <c r="AI1041" s="92" t="str">
        <f t="shared" si="2599"/>
        <v/>
      </c>
      <c r="AJ1041" s="828" t="str">
        <f t="shared" si="2568"/>
        <v/>
      </c>
      <c r="AK1041" s="828"/>
      <c r="AL1041" s="313" t="str">
        <f t="shared" si="2659"/>
        <v/>
      </c>
      <c r="AM1041" s="312"/>
      <c r="AN1041" s="101"/>
      <c r="AO1041" s="101"/>
      <c r="AP1041" s="101"/>
      <c r="AQ1041" s="101"/>
      <c r="AR1041" s="101"/>
      <c r="AS1041" s="101"/>
      <c r="AT1041" s="101"/>
    </row>
    <row r="1042" spans="1:46" ht="12.95" customHeight="1">
      <c r="A1042" s="896" t="s">
        <v>594</v>
      </c>
      <c r="B1042" s="897"/>
      <c r="C1042" s="897"/>
      <c r="D1042" s="897"/>
      <c r="E1042" s="897"/>
      <c r="F1042" s="897"/>
      <c r="G1042" s="897"/>
      <c r="H1042" s="776" t="s">
        <v>582</v>
      </c>
      <c r="I1042" s="88" t="s">
        <v>79</v>
      </c>
      <c r="J1042" s="86"/>
      <c r="K1042" s="603" t="s">
        <v>45</v>
      </c>
      <c r="L1042" s="601" t="s">
        <v>46</v>
      </c>
      <c r="M1042" s="86"/>
      <c r="N1042" s="87" t="s">
        <v>69</v>
      </c>
      <c r="O1042" s="87"/>
      <c r="P1042" s="88"/>
      <c r="Q1042" s="88"/>
      <c r="R1042" s="86"/>
      <c r="S1042" s="125"/>
      <c r="T1042" s="543"/>
      <c r="U1042" s="112"/>
      <c r="V1042" s="100" t="b">
        <f>IF(G1042&gt;0,IF(AD1042="me","",G1042))</f>
        <v>0</v>
      </c>
      <c r="W1042" s="100"/>
      <c r="X1042" s="100"/>
      <c r="Y1042" s="201"/>
      <c r="Z1042" s="829" t="str">
        <f t="shared" si="2567"/>
        <v/>
      </c>
      <c r="AA1042" s="829"/>
      <c r="AB1042" s="830" t="str">
        <f>IF(G1042=0,"",IF(AD1042="free","re-planting",IF(AD1042="me","not NVP, by",IF($AD$8="yes",(VLOOKUP(A1042,'Discount Lookup'!J:K,2)*G1042*(1-$AC$1786)*(1+$AC$1788)),IF(AD1042="NVP",(VLOOKUP(A1042,'Discount Lookup'!J:K,2)*G1042*(1-$AC$1786)*(1+$AC$1788)),IF(AD1042="free","re-planting",IF(G1042=0,"",IF($AD$8="",IF(AD1042="me","not NVP, by",IF(AD1042="",IF(G1042&gt;0,(VLOOKUP(A1042,'Discount Lookup'!J:K,2)*G1042*(1-$AC$1786)*(1+$AC$1788)),""),"")),"not NVP, by"))))))))</f>
        <v/>
      </c>
      <c r="AC1042" s="830"/>
      <c r="AD1042" s="375" t="str">
        <f t="shared" si="2539"/>
        <v/>
      </c>
      <c r="AE1042" s="833" t="str">
        <f t="shared" si="2681"/>
        <v/>
      </c>
      <c r="AF1042" s="833"/>
      <c r="AG1042" s="833"/>
      <c r="AH1042" s="91">
        <f>IF(AD1042="free",0,IF(AD1042="me",0,IF(G1042&gt;0,(VLOOKUP(A1042,'Discount Lookup'!J:K,2)*G1042),0)))</f>
        <v>0</v>
      </c>
      <c r="AI1042" s="92" t="str">
        <f t="shared" si="2599"/>
        <v/>
      </c>
      <c r="AJ1042" s="828" t="str">
        <f t="shared" si="2568"/>
        <v/>
      </c>
      <c r="AK1042" s="828"/>
      <c r="AL1042" s="313" t="str">
        <f t="shared" si="2659"/>
        <v/>
      </c>
      <c r="AM1042" s="312"/>
      <c r="AN1042" s="101"/>
      <c r="AO1042" s="101"/>
      <c r="AP1042" s="101"/>
      <c r="AQ1042" s="101"/>
      <c r="AR1042" s="101"/>
      <c r="AS1042" s="101"/>
      <c r="AT1042" s="101"/>
    </row>
    <row r="1043" spans="1:46" ht="12.95" customHeight="1">
      <c r="A1043" s="419">
        <v>5</v>
      </c>
      <c r="B1043" s="87" t="s">
        <v>50</v>
      </c>
      <c r="C1043" s="128" t="s">
        <v>1624</v>
      </c>
      <c r="D1043" s="129" t="s">
        <v>90</v>
      </c>
      <c r="E1043" s="98">
        <v>56.95</v>
      </c>
      <c r="F1043" s="705" t="s">
        <v>1306</v>
      </c>
      <c r="G1043" s="357">
        <v>0</v>
      </c>
      <c r="H1043" s="704" t="str">
        <f t="shared" ref="H1043" si="2682">IF(G1043=0,"",IF(F1043="Qty=",IF(G1043=1,"plant","plants"),IF(F1043&gt;0.0001,"warranty","Error")))</f>
        <v/>
      </c>
      <c r="I1043" s="98">
        <f t="shared" ref="I1043" si="2683">IF(F1043="Qty=",(E1043*G1043),((E1043*(1-F1043))*G1043))</f>
        <v>0</v>
      </c>
      <c r="J1043" s="98">
        <f>IF(H1043="warranty",0,(I1043*($J$1782)))</f>
        <v>0</v>
      </c>
      <c r="K1043" s="831">
        <f t="shared" ref="K1043" si="2684">I1043+J1043</f>
        <v>0</v>
      </c>
      <c r="L1043" s="831"/>
      <c r="M1043" s="832" t="str">
        <f>IF($H$1784=0,"",IF(G1043=0,"",IF(F1043="Qty=",CONCATENATE("$",ROUND(K1043*(1-$H$1784),2)," with ",($H$1784*100),"% discount"),CONCATENATE("$",ROUND(K1043*(1-$H$1784),2)," with ",(($H$1784*100+F1043*100)-($H$1784*100*F1043)),IF(F1043&gt;0,"% discounts",IF($H$1781&gt;0,"% discounts","% discount"))))))</f>
        <v/>
      </c>
      <c r="N1043" s="832"/>
      <c r="O1043" s="832"/>
      <c r="P1043" s="832"/>
      <c r="Q1043" s="832"/>
      <c r="R1043" s="832"/>
      <c r="S1043" s="303">
        <f t="shared" ref="S1043" si="2685">E1043*G1043</f>
        <v>0</v>
      </c>
      <c r="T1043" s="541">
        <f>VLOOKUP(A1043,'Discount Lookup'!D:E,2,FALSE)*G1043</f>
        <v>0</v>
      </c>
      <c r="U1043" s="83">
        <f>VLOOKUP(A1043,'Discount Lookup'!G:H,2,FALSE)*G1043</f>
        <v>0</v>
      </c>
      <c r="V1043" s="100">
        <f>E1043*($J$1782)*G1043</f>
        <v>0</v>
      </c>
      <c r="W1043" s="100">
        <f t="shared" ref="W1043" si="2686">I1043</f>
        <v>0</v>
      </c>
      <c r="X1043" s="100" t="b">
        <f>IF(G1043&gt;0,IF(AD1043="me","",G1043))</f>
        <v>0</v>
      </c>
      <c r="Y1043" s="201"/>
      <c r="Z1043" s="829" t="str">
        <f t="shared" si="2567"/>
        <v/>
      </c>
      <c r="AA1043" s="829"/>
      <c r="AB1043" s="830" t="str">
        <f>IF(G1043=0,"",IF(AD1043="free","re-planting",IF(AD1043="me","not NVP, by",IF($AD$8="yes",(VLOOKUP(A1043,'Discount Lookup'!J:K,2)*G1043*(1-$AC$1786)*(1+$AC$1788)),IF(AD1043="NVP",(VLOOKUP(A1043,'Discount Lookup'!J:K,2)*G1043*(1-$AC$1786)*(1+$AC$1788)),IF(AD1043="free","re-planting",IF(G1043=0,"",IF($AD$8="",IF(AD1043="me","not NVP, by",IF(AD1043="",IF(G1043&gt;0,(VLOOKUP(A1043,'Discount Lookup'!J:K,2)*G1043*(1-$AC$1786)*(1+$AC$1788)),""),"")),"not NVP, by"))))))))</f>
        <v/>
      </c>
      <c r="AC1043" s="830"/>
      <c r="AD1043" s="375" t="str">
        <f t="shared" si="2539"/>
        <v/>
      </c>
      <c r="AE1043" s="833" t="str">
        <f t="shared" si="2681"/>
        <v/>
      </c>
      <c r="AF1043" s="833"/>
      <c r="AG1043" s="833"/>
      <c r="AH1043" s="91">
        <f>IF(AD1043="free",0,IF(AD1043="me",0,IF(G1043&gt;0,(VLOOKUP(A1043,'Discount Lookup'!J:K,2)*G1043),0)))</f>
        <v>0</v>
      </c>
      <c r="AI1043" s="92" t="str">
        <f t="shared" si="2599"/>
        <v/>
      </c>
      <c r="AJ1043" s="828" t="str">
        <f t="shared" si="2568"/>
        <v/>
      </c>
      <c r="AK1043" s="828"/>
      <c r="AL1043" s="313" t="str">
        <f t="shared" si="2659"/>
        <v/>
      </c>
      <c r="AM1043" s="312"/>
      <c r="AN1043" s="101"/>
      <c r="AO1043" s="101"/>
      <c r="AP1043" s="101"/>
      <c r="AQ1043" s="101"/>
      <c r="AR1043" s="101"/>
      <c r="AS1043" s="101"/>
      <c r="AT1043" s="101"/>
    </row>
    <row r="1044" spans="1:46" ht="12.95" customHeight="1">
      <c r="A1044" s="468"/>
      <c r="B1044" s="149" t="s">
        <v>595</v>
      </c>
      <c r="C1044" s="117"/>
      <c r="D1044" s="118"/>
      <c r="E1044" s="119"/>
      <c r="F1044" s="711"/>
      <c r="G1044" s="356"/>
      <c r="H1044" s="745"/>
      <c r="I1044" s="119"/>
      <c r="J1044" s="840"/>
      <c r="K1044" s="840"/>
      <c r="L1044" s="840"/>
      <c r="M1044" s="840"/>
      <c r="N1044" s="840"/>
      <c r="O1044" s="123">
        <f>VLOOKUP(A1044,'Discount Lookup'!D:E,2,FALSE)*G1044</f>
        <v>0</v>
      </c>
      <c r="P1044" s="124">
        <f>VLOOKUP(A1044,'Discount Lookup'!G:H,2,FALSE)*G1044</f>
        <v>0</v>
      </c>
      <c r="Q1044" s="841" t="s">
        <v>125</v>
      </c>
      <c r="R1044" s="841"/>
      <c r="S1044" s="841"/>
      <c r="T1044" s="841"/>
      <c r="U1044" s="841"/>
      <c r="V1044" s="841"/>
      <c r="W1044" s="286"/>
      <c r="X1044" s="286"/>
      <c r="Y1044" s="794"/>
      <c r="Z1044" s="829" t="str">
        <f t="shared" si="2567"/>
        <v/>
      </c>
      <c r="AA1044" s="829"/>
      <c r="AB1044" s="830" t="str">
        <f>IF(G1044=0,"",IF(AD1044="free","re-planting",IF(AD1044="me","not NVP, by",IF($AD$8="yes",(VLOOKUP(A1044,'Discount Lookup'!J:K,2)*G1044*(1-$AC$1786)*(1+$AC$1788)),IF(AD1044="NVP",(VLOOKUP(A1044,'Discount Lookup'!J:K,2)*G1044*(1-$AC$1786)*(1+$AC$1788)),IF(AD1044="free","re-planting",IF(G1044=0,"",IF($AD$8="",IF(AD1044="me","not NVP, by",IF(AD1044="",IF(G1044&gt;0,(VLOOKUP(A1044,'Discount Lookup'!J:K,2)*G1044*(1-$AC$1786)*(1+$AC$1788)),""),"")),"not NVP, by"))))))))</f>
        <v/>
      </c>
      <c r="AC1044" s="830"/>
      <c r="AD1044" s="375" t="str">
        <f t="shared" si="2539"/>
        <v/>
      </c>
      <c r="AE1044" s="833" t="str">
        <f t="shared" si="2681"/>
        <v/>
      </c>
      <c r="AF1044" s="833"/>
      <c r="AG1044" s="833"/>
      <c r="AH1044" s="91">
        <f>IF(AD1044="free",0,IF(AD1044="me",0,IF(G1044&gt;0,(VLOOKUP(A1044,'Discount Lookup'!J:K,2)*G1044),0)))</f>
        <v>0</v>
      </c>
      <c r="AI1044" s="92" t="str">
        <f t="shared" si="2599"/>
        <v/>
      </c>
      <c r="AJ1044" s="828" t="str">
        <f t="shared" si="2568"/>
        <v/>
      </c>
      <c r="AK1044" s="828"/>
      <c r="AL1044" s="313" t="str">
        <f t="shared" si="2659"/>
        <v/>
      </c>
      <c r="AM1044" s="312"/>
      <c r="AN1044" s="101"/>
      <c r="AO1044" s="101"/>
      <c r="AP1044" s="101"/>
      <c r="AQ1044" s="101"/>
      <c r="AR1044" s="101"/>
      <c r="AS1044" s="101"/>
      <c r="AT1044" s="101"/>
    </row>
    <row r="1045" spans="1:46" ht="12.95" customHeight="1">
      <c r="A1045" s="896" t="s">
        <v>596</v>
      </c>
      <c r="B1045" s="897"/>
      <c r="C1045" s="897"/>
      <c r="D1045" s="897"/>
      <c r="E1045" s="897"/>
      <c r="F1045" s="897"/>
      <c r="G1045" s="897"/>
      <c r="H1045" s="776" t="s">
        <v>582</v>
      </c>
      <c r="I1045" s="88" t="s">
        <v>79</v>
      </c>
      <c r="J1045" s="86"/>
      <c r="K1045" s="603" t="s">
        <v>45</v>
      </c>
      <c r="L1045" s="601" t="s">
        <v>46</v>
      </c>
      <c r="M1045" s="86"/>
      <c r="N1045" s="87" t="s">
        <v>130</v>
      </c>
      <c r="O1045" s="87"/>
      <c r="P1045" s="88"/>
      <c r="Q1045" s="88"/>
      <c r="R1045" s="86"/>
      <c r="S1045" s="125"/>
      <c r="T1045" s="543"/>
      <c r="U1045" s="89" t="s">
        <v>48</v>
      </c>
      <c r="V1045" s="100" t="b">
        <f>IF(G1045&gt;0,IF(AD1045="me","",G1045))</f>
        <v>0</v>
      </c>
      <c r="W1045" s="100"/>
      <c r="X1045" s="100"/>
      <c r="Y1045" s="201"/>
      <c r="Z1045" s="829" t="str">
        <f t="shared" si="2567"/>
        <v/>
      </c>
      <c r="AA1045" s="829"/>
      <c r="AB1045" s="830" t="str">
        <f>IF(G1045=0,"",IF(AD1045="free","re-planting",IF(AD1045="me","not NVP, by",IF($AD$8="yes",(VLOOKUP(A1045,'Discount Lookup'!J:K,2)*G1045*(1-$AC$1786)*(1+$AC$1788)),IF(AD1045="NVP",(VLOOKUP(A1045,'Discount Lookup'!J:K,2)*G1045*(1-$AC$1786)*(1+$AC$1788)),IF(AD1045="free","re-planting",IF(G1045=0,"",IF($AD$8="",IF(AD1045="me","not NVP, by",IF(AD1045="",IF(G1045&gt;0,(VLOOKUP(A1045,'Discount Lookup'!J:K,2)*G1045*(1-$AC$1786)*(1+$AC$1788)),""),"")),"not NVP, by"))))))))</f>
        <v/>
      </c>
      <c r="AC1045" s="830"/>
      <c r="AD1045" s="375" t="str">
        <f t="shared" si="2539"/>
        <v/>
      </c>
      <c r="AE1045" s="833" t="str">
        <f t="shared" si="2681"/>
        <v/>
      </c>
      <c r="AF1045" s="833"/>
      <c r="AG1045" s="833"/>
      <c r="AH1045" s="91">
        <f>IF(AD1045="free",0,IF(AD1045="me",0,IF(G1045&gt;0,(VLOOKUP(A1045,'Discount Lookup'!J:K,2)*G1045),0)))</f>
        <v>0</v>
      </c>
      <c r="AI1045" s="92" t="str">
        <f t="shared" si="2599"/>
        <v/>
      </c>
      <c r="AJ1045" s="828" t="str">
        <f t="shared" si="2568"/>
        <v/>
      </c>
      <c r="AK1045" s="828"/>
      <c r="AL1045" s="313" t="str">
        <f t="shared" si="2659"/>
        <v/>
      </c>
      <c r="AM1045" s="312"/>
      <c r="AN1045" s="101"/>
      <c r="AO1045" s="101"/>
      <c r="AP1045" s="101"/>
      <c r="AQ1045" s="101"/>
      <c r="AR1045" s="101"/>
      <c r="AS1045" s="101"/>
      <c r="AT1045" s="101"/>
    </row>
    <row r="1046" spans="1:46" ht="12.95" customHeight="1">
      <c r="A1046" s="419">
        <v>3</v>
      </c>
      <c r="B1046" s="87" t="s">
        <v>50</v>
      </c>
      <c r="C1046" s="128" t="s">
        <v>1494</v>
      </c>
      <c r="D1046" s="129" t="s">
        <v>62</v>
      </c>
      <c r="E1046" s="98">
        <v>22.95</v>
      </c>
      <c r="F1046" s="705" t="s">
        <v>1306</v>
      </c>
      <c r="G1046" s="357">
        <v>0</v>
      </c>
      <c r="H1046" s="704" t="str">
        <f>IF(G1046=0,"",IF(F1046="Qty=",IF(G1046=1,"plant","plants"),IF(F1046&gt;0.0001,"warranty","Error")))</f>
        <v/>
      </c>
      <c r="I1046" s="98">
        <f>IF(F1046="Qty=",(E1046*G1046),((E1046*(1-F1046))*G1046))</f>
        <v>0</v>
      </c>
      <c r="J1046" s="98">
        <f>IF(H1046="warranty",0,(I1046*($J$1782)))</f>
        <v>0</v>
      </c>
      <c r="K1046" s="831">
        <f t="shared" ref="K1046:K1049" si="2687">I1046+J1046</f>
        <v>0</v>
      </c>
      <c r="L1046" s="831"/>
      <c r="M1046" s="832" t="str">
        <f>IF($H$1784=0,"",IF(G1046=0,"",IF(F1046="Qty=",CONCATENATE("$",ROUND(K1046*(1-$H$1784),2)," with ",($H$1784*100),"% discount"),CONCATENATE("$",ROUND(K1046*(1-$H$1784),2)," with ",(($H$1784*100+F1046*100)-($H$1784*100*F1046)),IF(F1046&gt;0,"% discounts",IF($H$1781&gt;0,"% discounts","% discount"))))))</f>
        <v/>
      </c>
      <c r="N1046" s="832"/>
      <c r="O1046" s="832"/>
      <c r="P1046" s="832"/>
      <c r="Q1046" s="832"/>
      <c r="R1046" s="832"/>
      <c r="S1046" s="303">
        <f t="shared" ref="S1046:S1047" si="2688">E1046*G1046</f>
        <v>0</v>
      </c>
      <c r="T1046" s="541">
        <f>VLOOKUP(A1046,'Discount Lookup'!D:E,2,FALSE)*G1046</f>
        <v>0</v>
      </c>
      <c r="U1046" s="83">
        <f>VLOOKUP(A1046,'Discount Lookup'!G:H,2,FALSE)*G1046</f>
        <v>0</v>
      </c>
      <c r="V1046" s="100">
        <f>E1046*($J$1782)*G1046</f>
        <v>0</v>
      </c>
      <c r="W1046" s="100">
        <f t="shared" ref="W1046:W1047" si="2689">I1046</f>
        <v>0</v>
      </c>
      <c r="X1046" s="100" t="b">
        <f>IF(G1046&gt;0,IF(AD1046="me","",G1046))</f>
        <v>0</v>
      </c>
      <c r="Y1046" s="201"/>
      <c r="Z1046" s="829" t="str">
        <f>IF(G1046=0,"",IF(AD1046="me","",IF($AD$8="me","",IF(AD1046="free","warranty",IF($AD$8="yes","NVP planting:","to NVP install:")))))</f>
        <v/>
      </c>
      <c r="AA1046" s="829"/>
      <c r="AB1046" s="830" t="str">
        <f>IF(G1046=0,"",IF(AD1046="free","re-planting",IF(AD1046="me","not NVP, by",IF($AD$8="yes",(VLOOKUP(A1046,'Discount Lookup'!J:K,2)*G1046*(1-$AC$1786)*(1+$AC$1788)),IF(AD1046="NVP",(VLOOKUP(A1046,'Discount Lookup'!J:K,2)*G1046*(1-$AC$1786)*(1+$AC$1788)),IF(AD1046="free","re-planting",IF(G1046=0,"",IF($AD$8="",IF(AD1046="me","not NVP, by",IF(AD1046="",IF(G1046&gt;0,(VLOOKUP(A1046,'Discount Lookup'!J:K,2)*G1046*(1-$AC$1786)*(1+$AC$1788)),""),"")),"not NVP, by"))))))))</f>
        <v/>
      </c>
      <c r="AC1046" s="830"/>
      <c r="AD1046" s="375" t="str">
        <f t="shared" si="2539"/>
        <v/>
      </c>
      <c r="AE1046" s="833" t="str">
        <f>IF(G1046&gt;0,(CONCATENATE((G1046)," quantity, ",(A1046)," ",B1046)),"")</f>
        <v/>
      </c>
      <c r="AF1046" s="833"/>
      <c r="AG1046" s="833"/>
      <c r="AH1046" s="91">
        <f>IF(AD1046="free",0,IF(AD1046="me",0,IF(G1046&gt;0,(VLOOKUP(A1046,'Discount Lookup'!J:K,2)*G1046),0)))</f>
        <v>0</v>
      </c>
      <c r="AI1046" s="92" t="str">
        <f t="shared" si="2599"/>
        <v/>
      </c>
      <c r="AJ1046" s="828" t="str">
        <f>IF(G1046=0,"",IF(AD1046="me","  delivery-only",IF($AD$8="me","  delivery-only",CONCATENATE(" $",ROUND(AI1046/G1046,2)," each"))))</f>
        <v/>
      </c>
      <c r="AK1046" s="828"/>
      <c r="AL1046" s="313" t="str">
        <f t="shared" si="2659"/>
        <v/>
      </c>
      <c r="AM1046" s="312"/>
      <c r="AN1046" s="101"/>
      <c r="AO1046" s="101"/>
      <c r="AP1046" s="101"/>
      <c r="AQ1046" s="101"/>
      <c r="AR1046" s="101"/>
      <c r="AS1046" s="101"/>
      <c r="AT1046" s="101"/>
    </row>
    <row r="1047" spans="1:46" ht="12.95" customHeight="1">
      <c r="A1047" s="419">
        <v>3</v>
      </c>
      <c r="B1047" s="87" t="s">
        <v>50</v>
      </c>
      <c r="C1047" s="128" t="s">
        <v>483</v>
      </c>
      <c r="D1047" s="129" t="s">
        <v>87</v>
      </c>
      <c r="E1047" s="98">
        <v>25.95</v>
      </c>
      <c r="F1047" s="705" t="s">
        <v>1306</v>
      </c>
      <c r="G1047" s="357">
        <v>0</v>
      </c>
      <c r="H1047" s="704" t="str">
        <f>IF(G1047=0,"",IF(F1047="Qty=",IF(G1047=1,"plant","plants"),IF(F1047&gt;0.0001,"warranty","Error")))</f>
        <v/>
      </c>
      <c r="I1047" s="98">
        <f>IF(F1047="Qty=",(E1047*G1047),((E1047*(1-F1047))*G1047))</f>
        <v>0</v>
      </c>
      <c r="J1047" s="98">
        <f>IF(H1047="warranty",0,(I1047*($J$1782)))</f>
        <v>0</v>
      </c>
      <c r="K1047" s="831">
        <f t="shared" si="2687"/>
        <v>0</v>
      </c>
      <c r="L1047" s="831"/>
      <c r="M1047" s="832" t="str">
        <f>IF($H$1784=0,"",IF(G1047=0,"",IF(F1047="Qty=",CONCATENATE("$",ROUND(K1047*(1-$H$1784),2)," with ",($H$1784*100),"% discount"),CONCATENATE("$",ROUND(K1047*(1-$H$1784),2)," with ",(($H$1784*100+F1047*100)-($H$1784*100*F1047)),IF(F1047&gt;0,"% discounts",IF($H$1781&gt;0,"% discounts","% discount"))))))</f>
        <v/>
      </c>
      <c r="N1047" s="832"/>
      <c r="O1047" s="832"/>
      <c r="P1047" s="832"/>
      <c r="Q1047" s="832"/>
      <c r="R1047" s="832"/>
      <c r="S1047" s="303">
        <f t="shared" si="2688"/>
        <v>0</v>
      </c>
      <c r="T1047" s="541">
        <f>VLOOKUP(A1047,'Discount Lookup'!D:E,2,FALSE)*G1047</f>
        <v>0</v>
      </c>
      <c r="U1047" s="83">
        <f>VLOOKUP(A1047,'Discount Lookup'!G:H,2,FALSE)*G1047</f>
        <v>0</v>
      </c>
      <c r="V1047" s="100">
        <f>E1047*($J$1782)*G1047</f>
        <v>0</v>
      </c>
      <c r="W1047" s="100">
        <f t="shared" si="2689"/>
        <v>0</v>
      </c>
      <c r="X1047" s="100" t="b">
        <f>IF(G1047&gt;0,IF(AD1047="me","",G1047))</f>
        <v>0</v>
      </c>
      <c r="Y1047" s="201"/>
      <c r="Z1047" s="829" t="str">
        <f>IF(G1047=0,"",IF(AD1047="me","",IF($AD$8="me","",IF(AD1047="free","warranty",IF($AD$8="yes","NVP planting:","to NVP install:")))))</f>
        <v/>
      </c>
      <c r="AA1047" s="829"/>
      <c r="AB1047" s="830" t="str">
        <f>IF(G1047=0,"",IF(AD1047="free","re-planting",IF(AD1047="me","not NVP, by",IF($AD$8="yes",(VLOOKUP(A1047,'Discount Lookup'!J:K,2)*G1047*(1-$AC$1786)*(1+$AC$1788)),IF(AD1047="NVP",(VLOOKUP(A1047,'Discount Lookup'!J:K,2)*G1047*(1-$AC$1786)*(1+$AC$1788)),IF(AD1047="free","re-planting",IF(G1047=0,"",IF($AD$8="",IF(AD1047="me","not NVP, by",IF(AD1047="",IF(G1047&gt;0,(VLOOKUP(A1047,'Discount Lookup'!J:K,2)*G1047*(1-$AC$1786)*(1+$AC$1788)),""),"")),"not NVP, by"))))))))</f>
        <v/>
      </c>
      <c r="AC1047" s="830"/>
      <c r="AD1047" s="375" t="str">
        <f t="shared" si="2539"/>
        <v/>
      </c>
      <c r="AE1047" s="833" t="str">
        <f>IF(G1047&gt;0,(CONCATENATE((G1047)," quantity, ",(A1047)," ",B1047)),"")</f>
        <v/>
      </c>
      <c r="AF1047" s="833"/>
      <c r="AG1047" s="833"/>
      <c r="AH1047" s="91">
        <f>IF(AD1047="free",0,IF(AD1047="me",0,IF(G1047&gt;0,(VLOOKUP(A1047,'Discount Lookup'!J:K,2)*G1047),0)))</f>
        <v>0</v>
      </c>
      <c r="AI1047" s="92" t="str">
        <f t="shared" si="2599"/>
        <v/>
      </c>
      <c r="AJ1047" s="828" t="str">
        <f>IF(G1047=0,"",IF(AD1047="me","  delivery-only",IF($AD$8="me","  delivery-only",CONCATENATE(" $",ROUND(AI1047/G1047,2)," each"))))</f>
        <v/>
      </c>
      <c r="AK1047" s="828"/>
      <c r="AL1047" s="313" t="str">
        <f t="shared" si="2659"/>
        <v/>
      </c>
      <c r="AM1047" s="312"/>
      <c r="AN1047" s="101"/>
      <c r="AO1047" s="101"/>
      <c r="AP1047" s="101"/>
      <c r="AQ1047" s="101"/>
      <c r="AR1047" s="101"/>
      <c r="AS1047" s="101"/>
      <c r="AT1047" s="101"/>
    </row>
    <row r="1048" spans="1:46" ht="12.95" customHeight="1">
      <c r="A1048" s="419">
        <v>3</v>
      </c>
      <c r="B1048" s="87" t="s">
        <v>50</v>
      </c>
      <c r="C1048" s="128" t="s">
        <v>1174</v>
      </c>
      <c r="D1048" s="129" t="s">
        <v>54</v>
      </c>
      <c r="E1048" s="98">
        <v>28.95</v>
      </c>
      <c r="F1048" s="705" t="s">
        <v>1306</v>
      </c>
      <c r="G1048" s="357">
        <v>0</v>
      </c>
      <c r="H1048" s="704" t="str">
        <f>IF(G1048=0,"",IF(F1048="Qty=",IF(G1048=1,"plant","plants"),IF(F1048&gt;0.0001,"warranty","Error")))</f>
        <v/>
      </c>
      <c r="I1048" s="98">
        <f>IF(F1048="Qty=",(E1048*G1048),((E1048*(1-F1048))*G1048))</f>
        <v>0</v>
      </c>
      <c r="J1048" s="98">
        <f>IF(H1048="warranty",0,(I1048*($J$1782)))</f>
        <v>0</v>
      </c>
      <c r="K1048" s="831">
        <f t="shared" si="2687"/>
        <v>0</v>
      </c>
      <c r="L1048" s="831"/>
      <c r="M1048" s="832" t="str">
        <f>IF($H$1784=0,"",IF(G1048=0,"",IF(F1048="Qty=",CONCATENATE("$",ROUND(K1048*(1-$H$1784),2)," with ",($H$1784*100),"% discount"),CONCATENATE("$",ROUND(K1048*(1-$H$1784),2)," with ",(($H$1784*100+F1048*100)-($H$1784*100*F1048)),IF(F1048&gt;0,"% discounts",IF($H$1781&gt;0,"% discounts","% discount"))))))</f>
        <v/>
      </c>
      <c r="N1048" s="832"/>
      <c r="O1048" s="832"/>
      <c r="P1048" s="832"/>
      <c r="Q1048" s="832"/>
      <c r="R1048" s="832"/>
      <c r="S1048" s="303">
        <f t="shared" ref="S1048" si="2690">E1048*G1048</f>
        <v>0</v>
      </c>
      <c r="T1048" s="541">
        <f>VLOOKUP(A1048,'Discount Lookup'!D:E,2,FALSE)*G1048</f>
        <v>0</v>
      </c>
      <c r="U1048" s="83">
        <f>VLOOKUP(A1048,'Discount Lookup'!G:H,2,FALSE)*G1048</f>
        <v>0</v>
      </c>
      <c r="V1048" s="100">
        <f>E1048*($J$1782)*G1048</f>
        <v>0</v>
      </c>
      <c r="W1048" s="100">
        <f t="shared" ref="W1048" si="2691">I1048</f>
        <v>0</v>
      </c>
      <c r="X1048" s="100" t="b">
        <f>IF(G1048&gt;0,IF(AD1048="me","",G1048))</f>
        <v>0</v>
      </c>
      <c r="Y1048" s="201"/>
      <c r="Z1048" s="829" t="str">
        <f>IF(G1048=0,"",IF(AD1048="me","",IF($AD$8="me","",IF(AD1048="free","warranty",IF($AD$8="yes","NVP planting:","to NVP install:")))))</f>
        <v/>
      </c>
      <c r="AA1048" s="829"/>
      <c r="AB1048" s="830" t="str">
        <f>IF(G1048=0,"",IF(AD1048="free","re-planting",IF(AD1048="me","not NVP, by",IF($AD$8="yes",(VLOOKUP(A1048,'Discount Lookup'!J:K,2)*G1048*(1-$AC$1786)*(1+$AC$1788)),IF(AD1048="NVP",(VLOOKUP(A1048,'Discount Lookup'!J:K,2)*G1048*(1-$AC$1786)*(1+$AC$1788)),IF(AD1048="free","re-planting",IF(G1048=0,"",IF($AD$8="",IF(AD1048="me","not NVP, by",IF(AD1048="",IF(G1048&gt;0,(VLOOKUP(A1048,'Discount Lookup'!J:K,2)*G1048*(1-$AC$1786)*(1+$AC$1788)),""),"")),"not NVP, by"))))))))</f>
        <v/>
      </c>
      <c r="AC1048" s="830"/>
      <c r="AD1048" s="375" t="str">
        <f t="shared" si="2539"/>
        <v/>
      </c>
      <c r="AE1048" s="833" t="str">
        <f>IF(G1048&gt;0,(CONCATENATE((G1048)," quantity, ",(A1048)," ",B1048)),"")</f>
        <v/>
      </c>
      <c r="AF1048" s="833"/>
      <c r="AG1048" s="833"/>
      <c r="AH1048" s="91">
        <f>IF(AD1048="free",0,IF(AD1048="me",0,IF(G1048&gt;0,(VLOOKUP(A1048,'Discount Lookup'!J:K,2)*G1048),0)))</f>
        <v>0</v>
      </c>
      <c r="AI1048" s="92" t="str">
        <f t="shared" ref="AI1048:AI1079" si="2692">IF(G1048=0,"",IF(AD1048="free",(K1048*(1-$H$1784)),IF($AD$8="me",(K1048*(1-$H$1784)),IF(AD1048="me",(K1048*(1-$H$1784)),(K1048*(1-$H$1784))+AB1048))))</f>
        <v/>
      </c>
      <c r="AJ1048" s="828" t="str">
        <f>IF(G1048=0,"",IF(AD1048="me","  delivery-only",IF($AD$8="me","  delivery-only",CONCATENATE(" $",ROUND(AI1048/G1048,2)," each"))))</f>
        <v/>
      </c>
      <c r="AK1048" s="828"/>
      <c r="AL1048" s="313" t="str">
        <f t="shared" si="2659"/>
        <v/>
      </c>
      <c r="AM1048" s="312"/>
      <c r="AN1048" s="101"/>
      <c r="AO1048" s="101"/>
      <c r="AP1048" s="101"/>
      <c r="AQ1048" s="101"/>
      <c r="AR1048" s="101"/>
      <c r="AS1048" s="101"/>
      <c r="AT1048" s="101"/>
    </row>
    <row r="1049" spans="1:46" ht="12.95" customHeight="1">
      <c r="A1049" s="419">
        <v>5</v>
      </c>
      <c r="B1049" s="87" t="s">
        <v>50</v>
      </c>
      <c r="C1049" s="128" t="s">
        <v>549</v>
      </c>
      <c r="D1049" s="129" t="s">
        <v>62</v>
      </c>
      <c r="E1049" s="98">
        <v>40.950000000000003</v>
      </c>
      <c r="F1049" s="705" t="s">
        <v>1306</v>
      </c>
      <c r="G1049" s="357">
        <v>0</v>
      </c>
      <c r="H1049" s="704" t="str">
        <f t="shared" ref="H1049" si="2693">IF(G1049=0,"",IF(F1049="Qty=",IF(G1049=1,"plant","plants"),IF(F1049&gt;0.0001,"warranty","Error")))</f>
        <v/>
      </c>
      <c r="I1049" s="98">
        <f t="shared" ref="I1049" si="2694">IF(F1049="Qty=",(E1049*G1049),((E1049*(1-F1049))*G1049))</f>
        <v>0</v>
      </c>
      <c r="J1049" s="98">
        <f>IF(H1049="warranty",0,(I1049*($J$1782)))</f>
        <v>0</v>
      </c>
      <c r="K1049" s="831">
        <f t="shared" si="2687"/>
        <v>0</v>
      </c>
      <c r="L1049" s="831"/>
      <c r="M1049" s="832" t="str">
        <f>IF($H$1784=0,"",IF(G1049=0,"",IF(F1049="Qty=",CONCATENATE("$",ROUND(K1049*(1-$H$1784),2)," with ",($H$1784*100),"% discount"),CONCATENATE("$",ROUND(K1049*(1-$H$1784),2)," with ",(($H$1784*100+F1049*100)-($H$1784*100*F1049)),IF(F1049&gt;0,"% discounts",IF($H$1781&gt;0,"% discounts","% discount"))))))</f>
        <v/>
      </c>
      <c r="N1049" s="832"/>
      <c r="O1049" s="832"/>
      <c r="P1049" s="832"/>
      <c r="Q1049" s="832"/>
      <c r="R1049" s="832"/>
      <c r="S1049" s="303">
        <f t="shared" ref="S1049" si="2695">E1049*G1049</f>
        <v>0</v>
      </c>
      <c r="T1049" s="541">
        <f>VLOOKUP(A1049,'Discount Lookup'!D:E,2,FALSE)*G1049</f>
        <v>0</v>
      </c>
      <c r="U1049" s="83">
        <f>VLOOKUP(A1049,'Discount Lookup'!G:H,2,FALSE)*G1049</f>
        <v>0</v>
      </c>
      <c r="V1049" s="100">
        <f>E1049*($J$1782)*G1049</f>
        <v>0</v>
      </c>
      <c r="W1049" s="100">
        <f t="shared" ref="W1049" si="2696">I1049</f>
        <v>0</v>
      </c>
      <c r="X1049" s="100" t="b">
        <f t="shared" ref="X1049" si="2697">IF(G1049&gt;0,IF(AD1049="me","",G1049))</f>
        <v>0</v>
      </c>
      <c r="Y1049" s="201"/>
      <c r="Z1049" s="829" t="str">
        <f t="shared" si="2567"/>
        <v/>
      </c>
      <c r="AA1049" s="829"/>
      <c r="AB1049" s="830" t="str">
        <f>IF(G1049=0,"",IF(AD1049="free","re-planting",IF(AD1049="me","not NVP, by",IF($AD$8="yes",(VLOOKUP(A1049,'Discount Lookup'!J:K,2)*G1049*(1-$AC$1786)*(1+$AC$1788)),IF(AD1049="NVP",(VLOOKUP(A1049,'Discount Lookup'!J:K,2)*G1049*(1-$AC$1786)*(1+$AC$1788)),IF(AD1049="free","re-planting",IF(G1049=0,"",IF($AD$8="",IF(AD1049="me","not NVP, by",IF(AD1049="",IF(G1049&gt;0,(VLOOKUP(A1049,'Discount Lookup'!J:K,2)*G1049*(1-$AC$1786)*(1+$AC$1788)),""),"")),"not NVP, by"))))))))</f>
        <v/>
      </c>
      <c r="AC1049" s="830"/>
      <c r="AD1049" s="375" t="str">
        <f t="shared" si="2539"/>
        <v/>
      </c>
      <c r="AE1049" s="833" t="str">
        <f t="shared" si="2681"/>
        <v/>
      </c>
      <c r="AF1049" s="833"/>
      <c r="AG1049" s="833"/>
      <c r="AH1049" s="91">
        <f>IF(AD1049="free",0,IF(AD1049="me",0,IF(G1049&gt;0,(VLOOKUP(A1049,'Discount Lookup'!J:K,2)*G1049),0)))</f>
        <v>0</v>
      </c>
      <c r="AI1049" s="92" t="str">
        <f t="shared" si="2692"/>
        <v/>
      </c>
      <c r="AJ1049" s="828" t="str">
        <f t="shared" si="2568"/>
        <v/>
      </c>
      <c r="AK1049" s="828"/>
      <c r="AL1049" s="313" t="str">
        <f t="shared" si="2659"/>
        <v/>
      </c>
      <c r="AM1049" s="312"/>
      <c r="AN1049" s="101"/>
      <c r="AO1049" s="101"/>
      <c r="AP1049" s="101"/>
      <c r="AQ1049" s="101"/>
      <c r="AR1049" s="101"/>
      <c r="AS1049" s="101"/>
      <c r="AT1049" s="101"/>
    </row>
    <row r="1050" spans="1:46" ht="12.95" customHeight="1">
      <c r="A1050" s="468"/>
      <c r="B1050" s="149" t="s">
        <v>597</v>
      </c>
      <c r="C1050" s="118"/>
      <c r="D1050" s="118"/>
      <c r="E1050" s="119"/>
      <c r="F1050" s="711"/>
      <c r="G1050" s="358"/>
      <c r="H1050" s="745"/>
      <c r="I1050" s="119"/>
      <c r="J1050" s="119"/>
      <c r="K1050" s="609"/>
      <c r="L1050" s="609"/>
      <c r="M1050" s="121"/>
      <c r="N1050" s="121"/>
      <c r="O1050" s="123"/>
      <c r="P1050" s="124"/>
      <c r="Q1050" s="124"/>
      <c r="R1050" s="83"/>
      <c r="S1050" s="82">
        <f>E1050*G1050</f>
        <v>0</v>
      </c>
      <c r="T1050" s="540"/>
      <c r="U1050" s="83"/>
      <c r="V1050" s="100" t="b">
        <f>IF(G1050&gt;0,IF(AD1050="me","",G1050))</f>
        <v>0</v>
      </c>
      <c r="W1050" s="100"/>
      <c r="X1050" s="100"/>
      <c r="Y1050" s="201"/>
      <c r="Z1050" s="829" t="str">
        <f t="shared" si="2567"/>
        <v/>
      </c>
      <c r="AA1050" s="829"/>
      <c r="AB1050" s="830" t="str">
        <f>IF(G1050=0,"",IF(AD1050="free","re-planting",IF(AD1050="me","not NVP, by",IF($AD$8="yes",(VLOOKUP(A1050,'Discount Lookup'!J:K,2)*G1050*(1-$AC$1786)*(1+$AC$1788)),IF(AD1050="NVP",(VLOOKUP(A1050,'Discount Lookup'!J:K,2)*G1050*(1-$AC$1786)*(1+$AC$1788)),IF(AD1050="free","re-planting",IF(G1050=0,"",IF($AD$8="",IF(AD1050="me","not NVP, by",IF(AD1050="",IF(G1050&gt;0,(VLOOKUP(A1050,'Discount Lookup'!J:K,2)*G1050*(1-$AC$1786)*(1+$AC$1788)),""),"")),"not NVP, by"))))))))</f>
        <v/>
      </c>
      <c r="AC1050" s="830"/>
      <c r="AD1050" s="375" t="str">
        <f t="shared" si="2539"/>
        <v/>
      </c>
      <c r="AE1050" s="833" t="str">
        <f t="shared" si="2681"/>
        <v/>
      </c>
      <c r="AF1050" s="833"/>
      <c r="AG1050" s="833"/>
      <c r="AH1050" s="91">
        <f>IF(AD1050="free",0,IF(AD1050="me",0,IF(G1050&gt;0,(VLOOKUP(A1050,'Discount Lookup'!J:K,2)*G1050),0)))</f>
        <v>0</v>
      </c>
      <c r="AI1050" s="92" t="str">
        <f t="shared" si="2692"/>
        <v/>
      </c>
      <c r="AJ1050" s="828" t="str">
        <f t="shared" si="2568"/>
        <v/>
      </c>
      <c r="AK1050" s="828"/>
      <c r="AL1050" s="313" t="str">
        <f t="shared" si="2659"/>
        <v/>
      </c>
      <c r="AM1050" s="312"/>
      <c r="AN1050" s="101"/>
      <c r="AO1050" s="101"/>
      <c r="AP1050" s="101"/>
      <c r="AQ1050" s="101"/>
      <c r="AR1050" s="101"/>
      <c r="AS1050" s="101"/>
      <c r="AT1050" s="101"/>
    </row>
    <row r="1051" spans="1:46" ht="12.95" customHeight="1">
      <c r="A1051" s="898" t="s">
        <v>598</v>
      </c>
      <c r="B1051" s="897"/>
      <c r="C1051" s="897"/>
      <c r="D1051" s="897"/>
      <c r="E1051" s="897"/>
      <c r="F1051" s="897"/>
      <c r="G1051" s="897"/>
      <c r="H1051" s="776" t="s">
        <v>582</v>
      </c>
      <c r="I1051" s="88" t="s">
        <v>79</v>
      </c>
      <c r="J1051" s="86"/>
      <c r="K1051" s="603" t="s">
        <v>45</v>
      </c>
      <c r="L1051" s="601" t="s">
        <v>46</v>
      </c>
      <c r="M1051" s="86"/>
      <c r="N1051" s="210" t="s">
        <v>446</v>
      </c>
      <c r="O1051" s="87"/>
      <c r="P1051" s="88"/>
      <c r="Q1051" s="88"/>
      <c r="R1051" s="86"/>
      <c r="S1051" s="125"/>
      <c r="T1051" s="543"/>
      <c r="U1051" s="89" t="s">
        <v>221</v>
      </c>
      <c r="V1051" s="100" t="b">
        <f>IF(G1051&gt;0,IF(AD1051="me","",G1051))</f>
        <v>0</v>
      </c>
      <c r="W1051" s="100"/>
      <c r="X1051" s="100"/>
      <c r="Y1051" s="201"/>
      <c r="Z1051" s="829" t="str">
        <f>IF(G1051=0,"",IF(AD1051="me","",IF($AD$8="me","",IF(AD1051="free","warranty",IF($AD$8="yes","NVP planting:","to NVP install:")))))</f>
        <v/>
      </c>
      <c r="AA1051" s="829"/>
      <c r="AB1051" s="830" t="str">
        <f>IF(G1051=0,"",IF(AD1051="free","re-planting",IF(AD1051="me","not NVP, by",IF($AD$8="yes",(VLOOKUP(A1051,'Discount Lookup'!J:K,2)*G1051*(1-$AC$1786)*(1+$AC$1788)),IF(AD1051="NVP",(VLOOKUP(A1051,'Discount Lookup'!J:K,2)*G1051*(1-$AC$1786)*(1+$AC$1788)),IF(AD1051="free","re-planting",IF(G1051=0,"",IF($AD$8="",IF(AD1051="me","not NVP, by",IF(AD1051="",IF(G1051&gt;0,(VLOOKUP(A1051,'Discount Lookup'!J:K,2)*G1051*(1-$AC$1786)*(1+$AC$1788)),""),"")),"not NVP, by"))))))))</f>
        <v/>
      </c>
      <c r="AC1051" s="830"/>
      <c r="AD1051" s="375" t="str">
        <f t="shared" si="2539"/>
        <v/>
      </c>
      <c r="AE1051" s="833" t="str">
        <f>IF(G1051&gt;0,(CONCATENATE((G1051)," quantity, ",(A1051)," ",B1051)),"")</f>
        <v/>
      </c>
      <c r="AF1051" s="833"/>
      <c r="AG1051" s="833"/>
      <c r="AH1051" s="91" t="s">
        <v>109</v>
      </c>
      <c r="AI1051" s="92" t="str">
        <f t="shared" si="2692"/>
        <v/>
      </c>
      <c r="AJ1051" s="828" t="str">
        <f>IF(G1051=0,"",IF(AD1051="me","  delivery-only",CONCATENATE(" $",ROUND(AI1051/G1051,2)," each")))</f>
        <v/>
      </c>
      <c r="AK1051" s="828"/>
      <c r="AL1051" s="313" t="str">
        <f t="shared" si="2659"/>
        <v/>
      </c>
      <c r="AM1051" s="312"/>
      <c r="AN1051" s="101"/>
      <c r="AO1051" s="101"/>
      <c r="AP1051" s="101"/>
      <c r="AQ1051" s="101"/>
      <c r="AR1051" s="101"/>
      <c r="AS1051" s="101"/>
      <c r="AT1051" s="101"/>
    </row>
    <row r="1052" spans="1:46" ht="12.95" customHeight="1">
      <c r="A1052" s="447">
        <v>3</v>
      </c>
      <c r="B1052" s="87" t="s">
        <v>50</v>
      </c>
      <c r="C1052" s="399" t="s">
        <v>482</v>
      </c>
      <c r="D1052" s="129" t="s">
        <v>62</v>
      </c>
      <c r="E1052" s="98">
        <v>22.95</v>
      </c>
      <c r="F1052" s="705" t="s">
        <v>1306</v>
      </c>
      <c r="G1052" s="357">
        <v>0</v>
      </c>
      <c r="H1052" s="704" t="str">
        <f t="shared" ref="H1052" si="2698">IF(G1052=0,"",IF(F1052="Qty=",IF(G1052=1,"plant","plants"),IF(F1052&gt;0.0001,"warranty","Error")))</f>
        <v/>
      </c>
      <c r="I1052" s="98">
        <f t="shared" ref="I1052" si="2699">IF(F1052="Qty=",(E1052*G1052),((E1052*(1-F1052))*G1052))</f>
        <v>0</v>
      </c>
      <c r="J1052" s="98">
        <f>IF(H1052="warranty",0,(I1052*($J$1782)))</f>
        <v>0</v>
      </c>
      <c r="K1052" s="831">
        <f t="shared" ref="K1052" si="2700">I1052+J1052</f>
        <v>0</v>
      </c>
      <c r="L1052" s="831"/>
      <c r="M1052" s="832" t="str">
        <f>IF($H$1784=0,"",IF(G1052=0,"",IF(F1052="Qty=",CONCATENATE("$",ROUND(K1052*(1-$H$1784),2)," with ",($H$1784*100),"% discount"),CONCATENATE("$",ROUND(K1052*(1-$H$1784),2)," with ",(($H$1784*100+F1052*100)-($H$1784*100*F1052)),IF(F1052&gt;0,"% discounts",IF($H$1781&gt;0,"% discounts","% discount"))))))</f>
        <v/>
      </c>
      <c r="N1052" s="832"/>
      <c r="O1052" s="832"/>
      <c r="P1052" s="832"/>
      <c r="Q1052" s="832"/>
      <c r="R1052" s="832"/>
      <c r="S1052" s="303">
        <f t="shared" ref="S1052" si="2701">E1052*G1052</f>
        <v>0</v>
      </c>
      <c r="T1052" s="541">
        <f>VLOOKUP(A1052,'Discount Lookup'!D:E,2,FALSE)*G1052</f>
        <v>0</v>
      </c>
      <c r="U1052" s="83">
        <f>VLOOKUP(A1052,'Discount Lookup'!G:H,2,FALSE)*G1052</f>
        <v>0</v>
      </c>
      <c r="V1052" s="100">
        <f>E1052*($J$1782)*G1052</f>
        <v>0</v>
      </c>
      <c r="W1052" s="100">
        <f t="shared" ref="W1052" si="2702">I1052</f>
        <v>0</v>
      </c>
      <c r="X1052" s="100" t="b">
        <f>IF(G1052&gt;0,IF(AD1052="me","",G1052))</f>
        <v>0</v>
      </c>
      <c r="Y1052" s="201"/>
      <c r="Z1052" s="829" t="str">
        <f>IF(G1052=0,"",IF(AD1052="me","",IF($AD$8="me","",IF(AD1052="free","warranty",IF($AD$8="yes","NVP planting:","to NVP install:")))))</f>
        <v/>
      </c>
      <c r="AA1052" s="829"/>
      <c r="AB1052" s="830" t="str">
        <f>IF(G1052=0,"",IF(AD1052="free","re-planting",IF(AD1052="me","not NVP, by",IF($AD$8="yes",(VLOOKUP(A1052,'Discount Lookup'!J:K,2)*G1052*(1-$AC$1786)*(1+$AC$1788)),IF(AD1052="NVP",(VLOOKUP(A1052,'Discount Lookup'!J:K,2)*G1052*(1-$AC$1786)*(1+$AC$1788)),IF(AD1052="free","re-planting",IF(G1052=0,"",IF($AD$8="",IF(AD1052="me","not NVP, by",IF(AD1052="",IF(G1052&gt;0,(VLOOKUP(A1052,'Discount Lookup'!J:K,2)*G1052*(1-$AC$1786)*(1+$AC$1788)),""),"")),"not NVP, by"))))))))</f>
        <v/>
      </c>
      <c r="AC1052" s="830"/>
      <c r="AD1052" s="375" t="str">
        <f t="shared" ref="AD1052:AD1099" si="2703">IF(G1052=0,"",IF($AD$8="me","me",IF(H1052="warranty","free",IF($AD$8="yes","NVP",""))))</f>
        <v/>
      </c>
      <c r="AE1052" s="833" t="str">
        <f>IF(G1052&gt;0,(CONCATENATE((G1052)," quantity, ",(A1052)," ",B1052)),"")</f>
        <v/>
      </c>
      <c r="AF1052" s="833"/>
      <c r="AG1052" s="833"/>
      <c r="AH1052" s="91" t="str">
        <f>IF(AD1052="free",0,IF(AD1052="me","",IF(G1052&gt;0,(VLOOKUP(A1052,'Discount Lookup'!J:K,2)*G1052),"")))</f>
        <v/>
      </c>
      <c r="AI1052" s="92" t="str">
        <f t="shared" si="2692"/>
        <v/>
      </c>
      <c r="AJ1052" s="828" t="str">
        <f>IF(G1052=0,"",IF(AD1052="me","  delivery-only",CONCATENATE(" $",ROUND(AI1052/G1052,2)," each")))</f>
        <v/>
      </c>
      <c r="AK1052" s="828"/>
      <c r="AL1052" s="313" t="str">
        <f t="shared" si="2659"/>
        <v/>
      </c>
      <c r="AM1052" s="312"/>
      <c r="AN1052" s="101"/>
      <c r="AO1052" s="101"/>
      <c r="AP1052" s="101"/>
      <c r="AQ1052" s="101"/>
      <c r="AR1052" s="101"/>
      <c r="AS1052" s="101"/>
      <c r="AT1052" s="101"/>
    </row>
    <row r="1053" spans="1:46" ht="12.95" customHeight="1">
      <c r="A1053" s="466"/>
      <c r="B1053" s="149" t="s">
        <v>599</v>
      </c>
      <c r="G1053" s="361"/>
      <c r="H1053" s="746"/>
      <c r="M1053" s="48"/>
      <c r="N1053" s="197" t="s">
        <v>600</v>
      </c>
      <c r="O1053" s="48"/>
      <c r="P1053" s="111"/>
      <c r="Q1053" s="111"/>
      <c r="R1053" s="48"/>
      <c r="S1053" s="82"/>
      <c r="T1053" s="540"/>
      <c r="U1053" s="83"/>
      <c r="V1053" s="100"/>
      <c r="W1053" s="100"/>
      <c r="X1053" s="100"/>
      <c r="Y1053" s="201"/>
      <c r="Z1053" s="829" t="str">
        <f>IF(G1053=0,"",IF(AD1053="me","",IF($AD$8="me","",IF(AD1053="free","warranty",IF($AD$8="yes","NVP planting:","to NVP install:")))))</f>
        <v/>
      </c>
      <c r="AA1053" s="829"/>
      <c r="AB1053" s="830" t="str">
        <f>IF(G1053=0,"",IF(AD1053="free","re-planting",IF(AD1053="me","not NVP, by",IF($AD$8="yes",(VLOOKUP(A1053,'Discount Lookup'!J:K,2)*G1053*(1-$AC$1786)*(1+$AC$1788)),IF(AD1053="NVP",(VLOOKUP(A1053,'Discount Lookup'!J:K,2)*G1053*(1-$AC$1786)*(1+$AC$1788)),IF(AD1053="free","re-planting",IF(G1053=0,"",IF($AD$8="",IF(AD1053="me","not NVP, by",IF(AD1053="",IF(G1053&gt;0,(VLOOKUP(A1053,'Discount Lookup'!J:K,2)*G1053*(1-$AC$1786)*(1+$AC$1788)),""),"")),"not NVP, by"))))))))</f>
        <v/>
      </c>
      <c r="AC1053" s="830"/>
      <c r="AD1053" s="375" t="str">
        <f t="shared" si="2703"/>
        <v/>
      </c>
      <c r="AE1053" s="833" t="str">
        <f>IF(G1053&gt;0,(CONCATENATE((G1053)," quantity, ",(A1053)," ",B1053)),"")</f>
        <v/>
      </c>
      <c r="AF1053" s="833"/>
      <c r="AG1053" s="833"/>
      <c r="AH1053" s="91" t="s">
        <v>109</v>
      </c>
      <c r="AI1053" s="92" t="str">
        <f t="shared" si="2692"/>
        <v/>
      </c>
      <c r="AJ1053" s="828" t="str">
        <f>IF(G1053=0,"",IF(AD1053="me","  delivery-only",CONCATENATE(" $",ROUND(AI1053/G1053,2)," each")))</f>
        <v/>
      </c>
      <c r="AK1053" s="828"/>
      <c r="AL1053" s="313" t="str">
        <f t="shared" si="2659"/>
        <v/>
      </c>
      <c r="AM1053" s="312"/>
      <c r="AN1053" s="101"/>
      <c r="AO1053" s="101"/>
      <c r="AP1053" s="101"/>
      <c r="AQ1053" s="101"/>
      <c r="AR1053" s="101"/>
      <c r="AS1053" s="101"/>
      <c r="AT1053" s="101"/>
    </row>
    <row r="1054" spans="1:46" ht="12.95" customHeight="1">
      <c r="A1054" s="896" t="s">
        <v>601</v>
      </c>
      <c r="B1054" s="897"/>
      <c r="C1054" s="897"/>
      <c r="D1054" s="897"/>
      <c r="E1054" s="897"/>
      <c r="F1054" s="897"/>
      <c r="G1054" s="897"/>
      <c r="H1054" s="776" t="s">
        <v>602</v>
      </c>
      <c r="I1054" s="88" t="s">
        <v>79</v>
      </c>
      <c r="J1054" s="86"/>
      <c r="K1054" s="603" t="s">
        <v>45</v>
      </c>
      <c r="L1054" s="601" t="s">
        <v>46</v>
      </c>
      <c r="M1054" s="86"/>
      <c r="N1054" s="87" t="s">
        <v>128</v>
      </c>
      <c r="O1054" s="87"/>
      <c r="P1054" s="88"/>
      <c r="Q1054" s="88"/>
      <c r="R1054" s="86"/>
      <c r="S1054" s="125"/>
      <c r="T1054" s="543"/>
      <c r="U1054" s="89" t="s">
        <v>48</v>
      </c>
      <c r="V1054" s="100" t="b">
        <f>IF(G1054&gt;0,IF(AD1054="me","",G1054))</f>
        <v>0</v>
      </c>
      <c r="W1054" s="100"/>
      <c r="X1054" s="100"/>
      <c r="Y1054" s="201"/>
      <c r="Z1054" s="829" t="str">
        <f t="shared" si="2567"/>
        <v/>
      </c>
      <c r="AA1054" s="829"/>
      <c r="AB1054" s="830" t="str">
        <f>IF(G1054=0,"",IF(AD1054="free","re-planting",IF(AD1054="me","not NVP, by",IF($AD$8="yes",(VLOOKUP(A1054,'Discount Lookup'!J:K,2)*G1054*(1-$AC$1786)*(1+$AC$1788)),IF(AD1054="NVP",(VLOOKUP(A1054,'Discount Lookup'!J:K,2)*G1054*(1-$AC$1786)*(1+$AC$1788)),IF(AD1054="free","re-planting",IF(G1054=0,"",IF($AD$8="",IF(AD1054="me","not NVP, by",IF(AD1054="",IF(G1054&gt;0,(VLOOKUP(A1054,'Discount Lookup'!J:K,2)*G1054*(1-$AC$1786)*(1+$AC$1788)),""),"")),"not NVP, by"))))))))</f>
        <v/>
      </c>
      <c r="AC1054" s="830"/>
      <c r="AD1054" s="375" t="str">
        <f t="shared" si="2703"/>
        <v/>
      </c>
      <c r="AE1054" s="833" t="str">
        <f t="shared" si="2681"/>
        <v/>
      </c>
      <c r="AF1054" s="833"/>
      <c r="AG1054" s="833"/>
      <c r="AH1054" s="91">
        <f>IF(AD1054="free",0,IF(AD1054="me",0,IF(G1054&gt;0,(VLOOKUP(A1054,'Discount Lookup'!J:K,2)*G1054),0)))</f>
        <v>0</v>
      </c>
      <c r="AI1054" s="92" t="str">
        <f t="shared" si="2692"/>
        <v/>
      </c>
      <c r="AJ1054" s="828" t="str">
        <f t="shared" si="2568"/>
        <v/>
      </c>
      <c r="AK1054" s="828"/>
      <c r="AL1054" s="313" t="str">
        <f t="shared" si="2659"/>
        <v/>
      </c>
      <c r="AM1054" s="312"/>
      <c r="AN1054" s="101"/>
      <c r="AO1054" s="101"/>
      <c r="AP1054" s="101"/>
      <c r="AQ1054" s="101"/>
      <c r="AR1054" s="101"/>
      <c r="AS1054" s="101"/>
      <c r="AT1054" s="101"/>
    </row>
    <row r="1055" spans="1:46" ht="12.95" customHeight="1">
      <c r="A1055" s="419">
        <v>7</v>
      </c>
      <c r="B1055" s="87" t="s">
        <v>50</v>
      </c>
      <c r="C1055" s="128" t="s">
        <v>135</v>
      </c>
      <c r="D1055" s="129" t="s">
        <v>94</v>
      </c>
      <c r="E1055" s="98">
        <v>59.95</v>
      </c>
      <c r="F1055" s="705" t="s">
        <v>1306</v>
      </c>
      <c r="G1055" s="357">
        <v>0</v>
      </c>
      <c r="H1055" s="704" t="str">
        <f t="shared" ref="H1055" si="2704">IF(G1055=0,"",IF(F1055="Qty=",IF(G1055=1,"plant","plants"),IF(F1055&gt;0.0001,"warranty","Error")))</f>
        <v/>
      </c>
      <c r="I1055" s="98">
        <f t="shared" ref="I1055" si="2705">IF(F1055="Qty=",(E1055*G1055),((E1055*(1-F1055))*G1055))</f>
        <v>0</v>
      </c>
      <c r="J1055" s="98">
        <f>IF(H1055="warranty",0,(I1055*($J$1782)))</f>
        <v>0</v>
      </c>
      <c r="K1055" s="831">
        <f t="shared" ref="K1055" si="2706">I1055+J1055</f>
        <v>0</v>
      </c>
      <c r="L1055" s="831"/>
      <c r="M1055" s="832" t="str">
        <f>IF($H$1784=0,"",IF(G1055=0,"",IF(F1055="Qty=",CONCATENATE("$",ROUND(K1055*(1-$H$1784),2)," with ",($H$1784*100),"% discount"),CONCATENATE("$",ROUND(K1055*(1-$H$1784),2)," with ",(($H$1784*100+F1055*100)-($H$1784*100*F1055)),IF(F1055&gt;0,"% discounts",IF($H$1781&gt;0,"% discounts","% discount"))))))</f>
        <v/>
      </c>
      <c r="N1055" s="832"/>
      <c r="O1055" s="832"/>
      <c r="P1055" s="832"/>
      <c r="Q1055" s="832"/>
      <c r="R1055" s="832"/>
      <c r="S1055" s="303">
        <f t="shared" ref="S1055" si="2707">E1055*G1055</f>
        <v>0</v>
      </c>
      <c r="T1055" s="541">
        <f>VLOOKUP(A1055,'Discount Lookup'!D:E,2,FALSE)*G1055</f>
        <v>0</v>
      </c>
      <c r="U1055" s="83">
        <f>VLOOKUP(A1055,'Discount Lookup'!G:H,2,FALSE)*G1055</f>
        <v>0</v>
      </c>
      <c r="V1055" s="100">
        <f>E1055*($J$1782)*G1055</f>
        <v>0</v>
      </c>
      <c r="W1055" s="100">
        <f t="shared" ref="W1055" si="2708">I1055</f>
        <v>0</v>
      </c>
      <c r="X1055" s="100" t="b">
        <f>IF(G1055&gt;0,IF(AD1055="me","",G1055))</f>
        <v>0</v>
      </c>
      <c r="Y1055" s="201"/>
      <c r="Z1055" s="829" t="str">
        <f t="shared" si="2567"/>
        <v/>
      </c>
      <c r="AA1055" s="829"/>
      <c r="AB1055" s="830" t="str">
        <f>IF(G1055=0,"",IF(AD1055="free","re-planting",IF(AD1055="me","not NVP, by",IF($AD$8="yes",(VLOOKUP(A1055,'Discount Lookup'!J:K,2)*G1055*(1-$AC$1786)*(1+$AC$1788)),IF(AD1055="NVP",(VLOOKUP(A1055,'Discount Lookup'!J:K,2)*G1055*(1-$AC$1786)*(1+$AC$1788)),IF(AD1055="free","re-planting",IF(G1055=0,"",IF($AD$8="",IF(AD1055="me","not NVP, by",IF(AD1055="",IF(G1055&gt;0,(VLOOKUP(A1055,'Discount Lookup'!J:K,2)*G1055*(1-$AC$1786)*(1+$AC$1788)),""),"")),"not NVP, by"))))))))</f>
        <v/>
      </c>
      <c r="AC1055" s="830"/>
      <c r="AD1055" s="375" t="str">
        <f t="shared" si="2703"/>
        <v/>
      </c>
      <c r="AE1055" s="833" t="str">
        <f t="shared" si="2681"/>
        <v/>
      </c>
      <c r="AF1055" s="833"/>
      <c r="AG1055" s="833"/>
      <c r="AH1055" s="91">
        <f>IF(AD1055="free",0,IF(AD1055="me",0,IF(G1055&gt;0,(VLOOKUP(A1055,'Discount Lookup'!J:K,2)*G1055),0)))</f>
        <v>0</v>
      </c>
      <c r="AI1055" s="92" t="str">
        <f t="shared" si="2692"/>
        <v/>
      </c>
      <c r="AJ1055" s="828" t="str">
        <f t="shared" si="2568"/>
        <v/>
      </c>
      <c r="AK1055" s="828"/>
      <c r="AL1055" s="313" t="str">
        <f t="shared" si="2659"/>
        <v/>
      </c>
      <c r="AM1055" s="312"/>
      <c r="AN1055" s="101"/>
      <c r="AO1055" s="101"/>
      <c r="AP1055" s="101"/>
      <c r="AQ1055" s="101"/>
      <c r="AR1055" s="101"/>
      <c r="AS1055" s="101"/>
      <c r="AT1055" s="101"/>
    </row>
    <row r="1056" spans="1:46" ht="12.95" customHeight="1">
      <c r="A1056" s="469"/>
      <c r="B1056" s="149" t="s">
        <v>603</v>
      </c>
      <c r="G1056" s="361"/>
      <c r="H1056" s="746"/>
      <c r="M1056" s="121"/>
      <c r="N1056" s="121"/>
      <c r="O1056" s="123">
        <f>VLOOKUP(A1056,'Discount Lookup'!D:E,2,FALSE)*G1056</f>
        <v>0</v>
      </c>
      <c r="P1056" s="124">
        <f>VLOOKUP(A1056,'Discount Lookup'!G:H,2,FALSE)*G1056</f>
        <v>0</v>
      </c>
      <c r="Q1056" s="124"/>
      <c r="R1056" s="83">
        <f>IF(F1056=0,E1056*($J$1782)*G1056,0)</f>
        <v>0</v>
      </c>
      <c r="S1056" s="82">
        <f>E1056*G1056</f>
        <v>0</v>
      </c>
      <c r="T1056" s="540"/>
      <c r="U1056" s="83"/>
      <c r="V1056" s="100" t="b">
        <f>IF(G1056&gt;0,IF(AD1056="me","",G1056))</f>
        <v>0</v>
      </c>
      <c r="W1056" s="100"/>
      <c r="X1056" s="100"/>
      <c r="Y1056" s="201"/>
      <c r="Z1056" s="829" t="str">
        <f t="shared" si="2567"/>
        <v/>
      </c>
      <c r="AA1056" s="829"/>
      <c r="AB1056" s="830" t="str">
        <f>IF(G1056=0,"",IF(AD1056="free","re-planting",IF(AD1056="me","not NVP, by",IF($AD$8="yes",(VLOOKUP(A1056,'Discount Lookup'!J:K,2)*G1056*(1-$AC$1786)*(1+$AC$1788)),IF(AD1056="NVP",(VLOOKUP(A1056,'Discount Lookup'!J:K,2)*G1056*(1-$AC$1786)*(1+$AC$1788)),IF(AD1056="free","re-planting",IF(G1056=0,"",IF($AD$8="",IF(AD1056="me","not NVP, by",IF(AD1056="",IF(G1056&gt;0,(VLOOKUP(A1056,'Discount Lookup'!J:K,2)*G1056*(1-$AC$1786)*(1+$AC$1788)),""),"")),"not NVP, by"))))))))</f>
        <v/>
      </c>
      <c r="AC1056" s="830"/>
      <c r="AD1056" s="375" t="str">
        <f t="shared" si="2703"/>
        <v/>
      </c>
      <c r="AE1056" s="833" t="str">
        <f t="shared" si="2681"/>
        <v/>
      </c>
      <c r="AF1056" s="833"/>
      <c r="AG1056" s="833"/>
      <c r="AH1056" s="91">
        <f>IF(AD1056="free",0,IF(AD1056="me",0,IF(G1056&gt;0,(VLOOKUP(A1056,'Discount Lookup'!J:K,2)*G1056),0)))</f>
        <v>0</v>
      </c>
      <c r="AI1056" s="92" t="str">
        <f t="shared" si="2692"/>
        <v/>
      </c>
      <c r="AJ1056" s="828" t="str">
        <f t="shared" si="2568"/>
        <v/>
      </c>
      <c r="AK1056" s="828"/>
      <c r="AL1056" s="313" t="str">
        <f t="shared" si="2659"/>
        <v/>
      </c>
      <c r="AM1056" s="312"/>
      <c r="AN1056" s="101"/>
      <c r="AO1056" s="101"/>
      <c r="AP1056" s="101"/>
      <c r="AQ1056" s="101"/>
      <c r="AR1056" s="101"/>
      <c r="AS1056" s="101"/>
      <c r="AT1056" s="101"/>
    </row>
    <row r="1057" spans="1:46" ht="12.95" customHeight="1">
      <c r="A1057" s="896" t="s">
        <v>604</v>
      </c>
      <c r="B1057" s="897"/>
      <c r="C1057" s="897"/>
      <c r="D1057" s="897"/>
      <c r="E1057" s="897"/>
      <c r="F1057" s="897"/>
      <c r="G1057" s="897"/>
      <c r="H1057" s="776" t="s">
        <v>602</v>
      </c>
      <c r="I1057" s="439" t="s">
        <v>280</v>
      </c>
      <c r="J1057" s="93"/>
      <c r="K1057" s="603" t="s">
        <v>45</v>
      </c>
      <c r="L1057" s="601" t="s">
        <v>46</v>
      </c>
      <c r="M1057" s="86"/>
      <c r="N1057" s="87" t="s">
        <v>128</v>
      </c>
      <c r="O1057" s="87"/>
      <c r="P1057" s="88"/>
      <c r="Q1057" s="88"/>
      <c r="R1057" s="86"/>
      <c r="S1057" s="125"/>
      <c r="T1057" s="543"/>
      <c r="U1057" s="89" t="s">
        <v>48</v>
      </c>
      <c r="V1057" s="100" t="b">
        <f>IF(G1057&gt;0,IF(AD1057="me","",G1057))</f>
        <v>0</v>
      </c>
      <c r="W1057" s="100"/>
      <c r="X1057" s="100"/>
      <c r="Y1057" s="201"/>
      <c r="Z1057" s="829" t="str">
        <f t="shared" si="2567"/>
        <v/>
      </c>
      <c r="AA1057" s="829"/>
      <c r="AB1057" s="830" t="str">
        <f>IF(G1057=0,"",IF(AD1057="free","re-planting",IF(AD1057="me","not NVP, by",IF($AD$8="yes",(VLOOKUP(A1057,'Discount Lookup'!J:K,2)*G1057*(1-$AC$1786)*(1+$AC$1788)),IF(AD1057="NVP",(VLOOKUP(A1057,'Discount Lookup'!J:K,2)*G1057*(1-$AC$1786)*(1+$AC$1788)),IF(AD1057="free","re-planting",IF(G1057=0,"",IF($AD$8="",IF(AD1057="me","not NVP, by",IF(AD1057="",IF(G1057&gt;0,(VLOOKUP(A1057,'Discount Lookup'!J:K,2)*G1057*(1-$AC$1786)*(1+$AC$1788)),""),"")),"not NVP, by"))))))))</f>
        <v/>
      </c>
      <c r="AC1057" s="830"/>
      <c r="AD1057" s="375" t="str">
        <f t="shared" si="2703"/>
        <v/>
      </c>
      <c r="AE1057" s="833" t="str">
        <f t="shared" si="2681"/>
        <v/>
      </c>
      <c r="AF1057" s="833"/>
      <c r="AG1057" s="833"/>
      <c r="AH1057" s="91">
        <f>IF(AD1057="free",0,IF(AD1057="me",0,IF(G1057&gt;0,(VLOOKUP(A1057,'Discount Lookup'!J:K,2)*G1057),0)))</f>
        <v>0</v>
      </c>
      <c r="AI1057" s="92" t="str">
        <f t="shared" si="2692"/>
        <v/>
      </c>
      <c r="AJ1057" s="828" t="str">
        <f t="shared" si="2568"/>
        <v/>
      </c>
      <c r="AK1057" s="828"/>
      <c r="AL1057" s="313" t="str">
        <f t="shared" si="2659"/>
        <v/>
      </c>
      <c r="AM1057" s="312"/>
      <c r="AN1057" s="101"/>
      <c r="AO1057" s="101"/>
      <c r="AP1057" s="101"/>
      <c r="AQ1057" s="101"/>
      <c r="AR1057" s="101"/>
      <c r="AS1057" s="101"/>
      <c r="AT1057" s="101"/>
    </row>
    <row r="1058" spans="1:46" ht="12.95" customHeight="1">
      <c r="A1058" s="419">
        <v>3</v>
      </c>
      <c r="B1058" s="87" t="s">
        <v>50</v>
      </c>
      <c r="C1058" s="399" t="s">
        <v>136</v>
      </c>
      <c r="D1058" s="129" t="s">
        <v>90</v>
      </c>
      <c r="E1058" s="98">
        <v>40.950000000000003</v>
      </c>
      <c r="F1058" s="705" t="s">
        <v>1306</v>
      </c>
      <c r="G1058" s="357">
        <v>0</v>
      </c>
      <c r="H1058" s="704" t="str">
        <f t="shared" ref="H1058" si="2709">IF(G1058=0,"",IF(F1058="Qty=",IF(G1058=1,"plant","plants"),IF(F1058&gt;0.0001,"warranty","Error")))</f>
        <v/>
      </c>
      <c r="I1058" s="98">
        <f t="shared" ref="I1058" si="2710">IF(F1058="Qty=",(E1058*G1058),((E1058*(1-F1058))*G1058))</f>
        <v>0</v>
      </c>
      <c r="J1058" s="98">
        <f>IF(H1058="warranty",0,(I1058*($J$1782)))</f>
        <v>0</v>
      </c>
      <c r="K1058" s="831">
        <f t="shared" ref="K1058" si="2711">I1058+J1058</f>
        <v>0</v>
      </c>
      <c r="L1058" s="831"/>
      <c r="M1058" s="832" t="str">
        <f>IF($H$1784=0,"",IF(G1058=0,"",IF(F1058="Qty=",CONCATENATE("$",ROUND(K1058*(1-$H$1784),2)," with ",($H$1784*100),"% discount"),CONCATENATE("$",ROUND(K1058*(1-$H$1784),2)," with ",(($H$1784*100+F1058*100)-($H$1784*100*F1058)),IF(F1058&gt;0,"% discounts",IF($H$1781&gt;0,"% discounts","% discount"))))))</f>
        <v/>
      </c>
      <c r="N1058" s="832"/>
      <c r="O1058" s="832"/>
      <c r="P1058" s="832"/>
      <c r="Q1058" s="832"/>
      <c r="R1058" s="832"/>
      <c r="S1058" s="303">
        <f t="shared" ref="S1058" si="2712">E1058*G1058</f>
        <v>0</v>
      </c>
      <c r="T1058" s="541">
        <f>VLOOKUP(A1058,'Discount Lookup'!D:E,2,FALSE)*G1058</f>
        <v>0</v>
      </c>
      <c r="U1058" s="83">
        <f>VLOOKUP(A1058,'Discount Lookup'!G:H,2,FALSE)*G1058</f>
        <v>0</v>
      </c>
      <c r="V1058" s="100">
        <f>E1058*($J$1782)*G1058</f>
        <v>0</v>
      </c>
      <c r="W1058" s="100">
        <f t="shared" ref="W1058" si="2713">I1058</f>
        <v>0</v>
      </c>
      <c r="X1058" s="100" t="b">
        <f>IF(G1058&gt;0,IF(AD1058="me","",G1058))</f>
        <v>0</v>
      </c>
      <c r="Y1058" s="201"/>
      <c r="Z1058" s="829" t="str">
        <f t="shared" si="2567"/>
        <v/>
      </c>
      <c r="AA1058" s="829"/>
      <c r="AB1058" s="830" t="str">
        <f>IF(G1058=0,"",IF(AD1058="free","re-planting",IF(AD1058="me","not NVP, by",IF($AD$8="yes",(VLOOKUP(A1058,'Discount Lookup'!J:K,2)*G1058*(1-$AC$1786)*(1+$AC$1788)),IF(AD1058="NVP",(VLOOKUP(A1058,'Discount Lookup'!J:K,2)*G1058*(1-$AC$1786)*(1+$AC$1788)),IF(AD1058="free","re-planting",IF(G1058=0,"",IF($AD$8="",IF(AD1058="me","not NVP, by",IF(AD1058="",IF(G1058&gt;0,(VLOOKUP(A1058,'Discount Lookup'!J:K,2)*G1058*(1-$AC$1786)*(1+$AC$1788)),""),"")),"not NVP, by"))))))))</f>
        <v/>
      </c>
      <c r="AC1058" s="830"/>
      <c r="AD1058" s="375" t="str">
        <f t="shared" si="2703"/>
        <v/>
      </c>
      <c r="AE1058" s="833" t="str">
        <f t="shared" si="2681"/>
        <v/>
      </c>
      <c r="AF1058" s="833"/>
      <c r="AG1058" s="833"/>
      <c r="AH1058" s="91">
        <f>IF(AD1058="free",0,IF(AD1058="me",0,IF(G1058&gt;0,(VLOOKUP(A1058,'Discount Lookup'!J:K,2)*G1058),0)))</f>
        <v>0</v>
      </c>
      <c r="AI1058" s="92" t="str">
        <f t="shared" si="2692"/>
        <v/>
      </c>
      <c r="AJ1058" s="828" t="str">
        <f t="shared" si="2568"/>
        <v/>
      </c>
      <c r="AK1058" s="828"/>
      <c r="AL1058" s="313" t="str">
        <f t="shared" si="2659"/>
        <v/>
      </c>
      <c r="AM1058" s="312"/>
      <c r="AN1058" s="101"/>
      <c r="AO1058" s="101"/>
      <c r="AP1058" s="101"/>
      <c r="AQ1058" s="101"/>
      <c r="AR1058" s="101"/>
      <c r="AS1058" s="101"/>
      <c r="AT1058" s="101"/>
    </row>
    <row r="1059" spans="1:46" ht="12.95" customHeight="1">
      <c r="A1059" s="468"/>
      <c r="B1059" s="149" t="s">
        <v>605</v>
      </c>
      <c r="C1059" s="117"/>
      <c r="D1059" s="118"/>
      <c r="E1059" s="119"/>
      <c r="F1059" s="711"/>
      <c r="G1059" s="356"/>
      <c r="H1059" s="745"/>
      <c r="I1059" s="119"/>
      <c r="J1059" s="119"/>
      <c r="K1059" s="609"/>
      <c r="L1059" s="609"/>
      <c r="M1059" s="121"/>
      <c r="N1059" s="121"/>
      <c r="O1059" s="123"/>
      <c r="P1059" s="124"/>
      <c r="Q1059" s="124"/>
      <c r="R1059" s="83"/>
      <c r="S1059" s="82">
        <f>E1059*G1059</f>
        <v>0</v>
      </c>
      <c r="T1059" s="540"/>
      <c r="U1059" s="83"/>
      <c r="V1059" s="100" t="b">
        <f>IF(G1059&gt;0,IF(AD1059="me","",G1059))</f>
        <v>0</v>
      </c>
      <c r="W1059" s="100"/>
      <c r="X1059" s="100"/>
      <c r="Y1059" s="201"/>
      <c r="Z1059" s="829" t="str">
        <f t="shared" si="2567"/>
        <v/>
      </c>
      <c r="AA1059" s="829"/>
      <c r="AB1059" s="830" t="str">
        <f>IF(G1059=0,"",IF(AD1059="free","re-planting",IF(AD1059="me","not NVP, by",IF($AD$8="yes",(VLOOKUP(A1059,'Discount Lookup'!J:K,2)*G1059*(1-$AC$1786)*(1+$AC$1788)),IF(AD1059="NVP",(VLOOKUP(A1059,'Discount Lookup'!J:K,2)*G1059*(1-$AC$1786)*(1+$AC$1788)),IF(AD1059="free","re-planting",IF(G1059=0,"",IF($AD$8="",IF(AD1059="me","not NVP, by",IF(AD1059="",IF(G1059&gt;0,(VLOOKUP(A1059,'Discount Lookup'!J:K,2)*G1059*(1-$AC$1786)*(1+$AC$1788)),""),"")),"not NVP, by"))))))))</f>
        <v/>
      </c>
      <c r="AC1059" s="830"/>
      <c r="AD1059" s="375" t="str">
        <f t="shared" si="2703"/>
        <v/>
      </c>
      <c r="AE1059" s="833" t="str">
        <f t="shared" si="2681"/>
        <v/>
      </c>
      <c r="AF1059" s="833"/>
      <c r="AG1059" s="833"/>
      <c r="AH1059" s="91">
        <f>IF(AD1059="free",0,IF(AD1059="me",0,IF(G1059&gt;0,(VLOOKUP(A1059,'Discount Lookup'!J:K,2)*G1059),0)))</f>
        <v>0</v>
      </c>
      <c r="AI1059" s="92" t="str">
        <f t="shared" si="2692"/>
        <v/>
      </c>
      <c r="AJ1059" s="828" t="str">
        <f t="shared" si="2568"/>
        <v/>
      </c>
      <c r="AK1059" s="828"/>
      <c r="AL1059" s="313" t="str">
        <f t="shared" si="2659"/>
        <v/>
      </c>
      <c r="AM1059" s="312"/>
      <c r="AN1059" s="101"/>
      <c r="AO1059" s="101"/>
      <c r="AP1059" s="101"/>
      <c r="AQ1059" s="101"/>
      <c r="AR1059" s="101"/>
      <c r="AS1059" s="101"/>
      <c r="AT1059" s="101"/>
    </row>
    <row r="1060" spans="1:46" ht="12.95" customHeight="1">
      <c r="A1060" s="896" t="s">
        <v>606</v>
      </c>
      <c r="B1060" s="897"/>
      <c r="C1060" s="897"/>
      <c r="D1060" s="897"/>
      <c r="E1060" s="897"/>
      <c r="F1060" s="897"/>
      <c r="G1060" s="897"/>
      <c r="H1060" s="776" t="s">
        <v>602</v>
      </c>
      <c r="I1060" s="88" t="s">
        <v>79</v>
      </c>
      <c r="J1060" s="86"/>
      <c r="K1060" s="603" t="s">
        <v>45</v>
      </c>
      <c r="L1060" s="601" t="s">
        <v>46</v>
      </c>
      <c r="M1060" s="86"/>
      <c r="N1060" s="87" t="s">
        <v>69</v>
      </c>
      <c r="O1060" s="87"/>
      <c r="P1060" s="88"/>
      <c r="Q1060" s="88"/>
      <c r="R1060" s="86"/>
      <c r="S1060" s="125"/>
      <c r="T1060" s="543"/>
      <c r="U1060" s="112"/>
      <c r="V1060" s="100" t="b">
        <f>IF(G1060&gt;0,IF(AD1060="me","",G1060))</f>
        <v>0</v>
      </c>
      <c r="W1060" s="100"/>
      <c r="X1060" s="100"/>
      <c r="Y1060" s="201"/>
      <c r="Z1060" s="829" t="str">
        <f t="shared" si="2567"/>
        <v/>
      </c>
      <c r="AA1060" s="829"/>
      <c r="AB1060" s="830" t="str">
        <f>IF(G1060=0,"",IF(AD1060="free","re-planting",IF(AD1060="me","not NVP, by",IF($AD$8="yes",(VLOOKUP(A1060,'Discount Lookup'!J:K,2)*G1060*(1-$AC$1786)*(1+$AC$1788)),IF(AD1060="NVP",(VLOOKUP(A1060,'Discount Lookup'!J:K,2)*G1060*(1-$AC$1786)*(1+$AC$1788)),IF(AD1060="free","re-planting",IF(G1060=0,"",IF($AD$8="",IF(AD1060="me","not NVP, by",IF(AD1060="",IF(G1060&gt;0,(VLOOKUP(A1060,'Discount Lookup'!J:K,2)*G1060*(1-$AC$1786)*(1+$AC$1788)),""),"")),"not NVP, by"))))))))</f>
        <v/>
      </c>
      <c r="AC1060" s="830"/>
      <c r="AD1060" s="375" t="str">
        <f t="shared" si="2703"/>
        <v/>
      </c>
      <c r="AE1060" s="833" t="str">
        <f t="shared" si="2681"/>
        <v/>
      </c>
      <c r="AF1060" s="833"/>
      <c r="AG1060" s="833"/>
      <c r="AH1060" s="91">
        <f>IF(AD1060="free",0,IF(AD1060="me",0,IF(G1060&gt;0,(VLOOKUP(A1060,'Discount Lookup'!J:K,2)*G1060),0)))</f>
        <v>0</v>
      </c>
      <c r="AI1060" s="92" t="str">
        <f t="shared" si="2692"/>
        <v/>
      </c>
      <c r="AJ1060" s="828" t="str">
        <f t="shared" si="2568"/>
        <v/>
      </c>
      <c r="AK1060" s="828"/>
      <c r="AL1060" s="313" t="str">
        <f t="shared" si="2659"/>
        <v/>
      </c>
      <c r="AM1060" s="312"/>
      <c r="AN1060" s="101"/>
      <c r="AO1060" s="101"/>
      <c r="AP1060" s="101"/>
      <c r="AQ1060" s="101"/>
      <c r="AR1060" s="101"/>
      <c r="AS1060" s="101"/>
      <c r="AT1060" s="101"/>
    </row>
    <row r="1061" spans="1:46" ht="12.95" customHeight="1">
      <c r="A1061" s="419">
        <v>3</v>
      </c>
      <c r="B1061" s="87" t="s">
        <v>50</v>
      </c>
      <c r="C1061" s="399" t="s">
        <v>1406</v>
      </c>
      <c r="D1061" s="129" t="s">
        <v>87</v>
      </c>
      <c r="E1061" s="98">
        <v>39.950000000000003</v>
      </c>
      <c r="F1061" s="705" t="s">
        <v>1306</v>
      </c>
      <c r="G1061" s="357">
        <v>0</v>
      </c>
      <c r="H1061" s="704" t="str">
        <f t="shared" ref="H1061" si="2714">IF(G1061=0,"",IF(F1061="Qty=",IF(G1061=1,"plant","plants"),IF(F1061&gt;0.0001,"warranty","Error")))</f>
        <v/>
      </c>
      <c r="I1061" s="98">
        <f t="shared" ref="I1061" si="2715">IF(F1061="Qty=",(E1061*G1061),((E1061*(1-F1061))*G1061))</f>
        <v>0</v>
      </c>
      <c r="J1061" s="98">
        <f>IF(H1061="warranty",0,(I1061*($J$1782)))</f>
        <v>0</v>
      </c>
      <c r="K1061" s="831">
        <f t="shared" ref="K1061" si="2716">I1061+J1061</f>
        <v>0</v>
      </c>
      <c r="L1061" s="831"/>
      <c r="M1061" s="832" t="str">
        <f>IF($H$1784=0,"",IF(G1061=0,"",IF(F1061="Qty=",CONCATENATE("$",ROUND(K1061*(1-$H$1784),2)," with ",($H$1784*100),"% discount"),CONCATENATE("$",ROUND(K1061*(1-$H$1784),2)," with ",(($H$1784*100+F1061*100)-($H$1784*100*F1061)),IF(F1061&gt;0,"% discounts",IF($H$1781&gt;0,"% discounts","% discount"))))))</f>
        <v/>
      </c>
      <c r="N1061" s="832"/>
      <c r="O1061" s="832"/>
      <c r="P1061" s="832"/>
      <c r="Q1061" s="832"/>
      <c r="R1061" s="832"/>
      <c r="S1061" s="303">
        <f t="shared" ref="S1061" si="2717">E1061*G1061</f>
        <v>0</v>
      </c>
      <c r="T1061" s="541">
        <f>VLOOKUP(A1061,'Discount Lookup'!D:E,2,FALSE)*G1061</f>
        <v>0</v>
      </c>
      <c r="U1061" s="83">
        <f>VLOOKUP(A1061,'Discount Lookup'!G:H,2,FALSE)*G1061</f>
        <v>0</v>
      </c>
      <c r="V1061" s="100">
        <f>E1061*($J$1782)*G1061</f>
        <v>0</v>
      </c>
      <c r="W1061" s="100">
        <f t="shared" ref="W1061" si="2718">I1061</f>
        <v>0</v>
      </c>
      <c r="X1061" s="100" t="b">
        <f>IF(G1061&gt;0,IF(AD1061="me","",G1061))</f>
        <v>0</v>
      </c>
      <c r="Y1061" s="201"/>
      <c r="Z1061" s="829" t="str">
        <f t="shared" ref="Z1061:Z1134" si="2719">IF(G1061=0,"",IF(AD1061="me","",IF($AD$8="me","",IF(AD1061="free","warranty",IF($AD$8="yes","NVP planting:","to NVP install:")))))</f>
        <v/>
      </c>
      <c r="AA1061" s="829"/>
      <c r="AB1061" s="830" t="str">
        <f>IF(G1061=0,"",IF(AD1061="free","re-planting",IF(AD1061="me","not NVP, by",IF($AD$8="yes",(VLOOKUP(A1061,'Discount Lookup'!J:K,2)*G1061*(1-$AC$1786)*(1+$AC$1788)),IF(AD1061="NVP",(VLOOKUP(A1061,'Discount Lookup'!J:K,2)*G1061*(1-$AC$1786)*(1+$AC$1788)),IF(AD1061="free","re-planting",IF(G1061=0,"",IF($AD$8="",IF(AD1061="me","not NVP, by",IF(AD1061="",IF(G1061&gt;0,(VLOOKUP(A1061,'Discount Lookup'!J:K,2)*G1061*(1-$AC$1786)*(1+$AC$1788)),""),"")),"not NVP, by"))))))))</f>
        <v/>
      </c>
      <c r="AC1061" s="830"/>
      <c r="AD1061" s="375" t="str">
        <f t="shared" si="2703"/>
        <v/>
      </c>
      <c r="AE1061" s="833" t="str">
        <f t="shared" ref="AE1061" si="2720">IF(G1061&gt;0,(CONCATENATE((G1061)," quantity, ",(A1061)," ",B1061)),"")</f>
        <v/>
      </c>
      <c r="AF1061" s="833"/>
      <c r="AG1061" s="833"/>
      <c r="AH1061" s="91">
        <f>IF(AD1061="free",0,IF(AD1061="me",0,IF(G1061&gt;0,(VLOOKUP(A1061,'Discount Lookup'!J:K,2)*G1061),0)))</f>
        <v>0</v>
      </c>
      <c r="AI1061" s="92" t="str">
        <f t="shared" si="2692"/>
        <v/>
      </c>
      <c r="AJ1061" s="828" t="str">
        <f t="shared" ref="AJ1061:AJ1134" si="2721">IF(G1061=0,"",IF(AD1061="me","  delivery-only",IF($AD$8="me","  delivery-only",CONCATENATE(" $",ROUND(AI1061/G1061,2)," each"))))</f>
        <v/>
      </c>
      <c r="AK1061" s="828"/>
      <c r="AL1061" s="313" t="str">
        <f t="shared" si="2659"/>
        <v/>
      </c>
      <c r="AM1061" s="312"/>
      <c r="AN1061" s="101"/>
      <c r="AO1061" s="101"/>
      <c r="AP1061" s="101"/>
      <c r="AQ1061" s="101"/>
      <c r="AR1061" s="101"/>
      <c r="AS1061" s="101"/>
      <c r="AT1061" s="101"/>
    </row>
    <row r="1062" spans="1:46" ht="12.95" customHeight="1">
      <c r="A1062" s="468"/>
      <c r="B1062" s="149" t="s">
        <v>607</v>
      </c>
      <c r="C1062" s="117"/>
      <c r="D1062" s="118"/>
      <c r="E1062" s="119"/>
      <c r="F1062" s="711"/>
      <c r="G1062" s="356"/>
      <c r="H1062" s="745"/>
      <c r="I1062" s="119"/>
      <c r="J1062" s="119"/>
      <c r="K1062" s="609"/>
      <c r="L1062" s="609"/>
      <c r="M1062" s="121"/>
      <c r="N1062" s="121"/>
      <c r="O1062" s="123"/>
      <c r="P1062" s="124"/>
      <c r="Q1062" s="124"/>
      <c r="R1062" s="83"/>
      <c r="S1062" s="82">
        <f>E1062*G1062</f>
        <v>0</v>
      </c>
      <c r="T1062" s="540"/>
      <c r="U1062" s="83"/>
      <c r="V1062" s="100" t="b">
        <f>IF(G1062&gt;0,IF(AD1062="me","",G1062))</f>
        <v>0</v>
      </c>
      <c r="W1062" s="100"/>
      <c r="X1062" s="100"/>
      <c r="Y1062" s="201"/>
      <c r="Z1062" s="829" t="str">
        <f t="shared" si="2719"/>
        <v/>
      </c>
      <c r="AA1062" s="829"/>
      <c r="AB1062" s="830" t="str">
        <f>IF(G1062=0,"",IF(AD1062="free","re-planting",IF(AD1062="me","not NVP, by",IF($AD$8="yes",(VLOOKUP(A1062,'Discount Lookup'!J:K,2)*G1062*(1-$AC$1786)*(1+$AC$1788)),IF(AD1062="NVP",(VLOOKUP(A1062,'Discount Lookup'!J:K,2)*G1062*(1-$AC$1786)*(1+$AC$1788)),IF(AD1062="free","re-planting",IF(G1062=0,"",IF($AD$8="",IF(AD1062="me","not NVP, by",IF(AD1062="",IF(G1062&gt;0,(VLOOKUP(A1062,'Discount Lookup'!J:K,2)*G1062*(1-$AC$1786)*(1+$AC$1788)),""),"")),"not NVP, by"))))))))</f>
        <v/>
      </c>
      <c r="AC1062" s="830"/>
      <c r="AD1062" s="375" t="str">
        <f t="shared" si="2703"/>
        <v/>
      </c>
      <c r="AE1062" s="833" t="str">
        <f t="shared" si="2681"/>
        <v/>
      </c>
      <c r="AF1062" s="833"/>
      <c r="AG1062" s="833"/>
      <c r="AH1062" s="91">
        <f>IF(AD1062="free",0,IF(AD1062="me",0,IF(G1062&gt;0,(VLOOKUP(A1062,'Discount Lookup'!J:K,2)*G1062),0)))</f>
        <v>0</v>
      </c>
      <c r="AI1062" s="92" t="str">
        <f t="shared" si="2692"/>
        <v/>
      </c>
      <c r="AJ1062" s="828" t="str">
        <f t="shared" si="2721"/>
        <v/>
      </c>
      <c r="AK1062" s="828"/>
      <c r="AL1062" s="313" t="str">
        <f t="shared" si="2659"/>
        <v/>
      </c>
      <c r="AM1062" s="312"/>
      <c r="AN1062" s="101"/>
      <c r="AO1062" s="101"/>
      <c r="AP1062" s="101"/>
      <c r="AQ1062" s="101"/>
      <c r="AR1062" s="101"/>
      <c r="AS1062" s="101"/>
      <c r="AT1062" s="101"/>
    </row>
    <row r="1063" spans="1:46" ht="12.95" customHeight="1">
      <c r="A1063" s="898" t="s">
        <v>623</v>
      </c>
      <c r="B1063" s="897"/>
      <c r="C1063" s="897"/>
      <c r="D1063" s="897"/>
      <c r="E1063" s="897"/>
      <c r="F1063" s="897"/>
      <c r="G1063" s="897"/>
      <c r="H1063" s="776" t="s">
        <v>602</v>
      </c>
      <c r="I1063" s="88" t="s">
        <v>79</v>
      </c>
      <c r="J1063" s="86"/>
      <c r="K1063" s="603" t="s">
        <v>45</v>
      </c>
      <c r="L1063" s="601" t="s">
        <v>46</v>
      </c>
      <c r="M1063" s="86"/>
      <c r="N1063" s="87" t="s">
        <v>69</v>
      </c>
      <c r="O1063" s="87"/>
      <c r="P1063" s="88"/>
      <c r="Q1063" s="88"/>
      <c r="R1063" s="86"/>
      <c r="S1063" s="125"/>
      <c r="T1063" s="543"/>
      <c r="U1063" s="112"/>
      <c r="V1063" s="100" t="b">
        <f>IF(G1063&gt;0,IF(AD1063="me","",G1063))</f>
        <v>0</v>
      </c>
      <c r="W1063" s="100"/>
      <c r="X1063" s="100"/>
      <c r="Y1063" s="201"/>
      <c r="Z1063" s="829" t="str">
        <f>IF(G1063=0,"",IF(AD1063="me","",IF($AD$8="me","",IF(AD1063="free","warranty",IF($AD$8="yes","NVP planting:","to NVP install:")))))</f>
        <v/>
      </c>
      <c r="AA1063" s="829"/>
      <c r="AB1063" s="830" t="str">
        <f>IF(G1063=0,"",IF(AD1063="free","re-planting",IF(AD1063="me","not NVP, by",IF($AD$8="yes",(VLOOKUP(A1063,'Discount Lookup'!J:K,2)*G1063*(1-$AC$1786)*(1+$AC$1788)),IF(AD1063="NVP",(VLOOKUP(A1063,'Discount Lookup'!J:K,2)*G1063*(1-$AC$1786)*(1+$AC$1788)),IF(AD1063="free","re-planting",IF(G1063=0,"",IF($AD$8="",IF(AD1063="me","not NVP, by",IF(AD1063="",IF(G1063&gt;0,(VLOOKUP(A1063,'Discount Lookup'!J:K,2)*G1063*(1-$AC$1786)*(1+$AC$1788)),""),"")),"not NVP, by"))))))))</f>
        <v/>
      </c>
      <c r="AC1063" s="830"/>
      <c r="AD1063" s="375" t="str">
        <f t="shared" ref="AD1063:AD1067" si="2722">IF(G1063=0,"",IF($AD$8="me","me",IF(H1063="warranty","free",IF($AD$8="yes","NVP",""))))</f>
        <v/>
      </c>
      <c r="AE1063" s="833" t="str">
        <f>IF(G1063&gt;0,(CONCATENATE((G1063)," quantity, ",(A1063)," ",B1063)),"")</f>
        <v/>
      </c>
      <c r="AF1063" s="833"/>
      <c r="AG1063" s="833"/>
      <c r="AH1063" s="91">
        <f>IF(AD1063="free",0,IF(AD1063="me",0,IF(G1063&gt;0,(VLOOKUP(A1063,'Discount Lookup'!J:K,2)*G1063),0)))</f>
        <v>0</v>
      </c>
      <c r="AI1063" s="92" t="str">
        <f t="shared" si="2692"/>
        <v/>
      </c>
      <c r="AJ1063" s="828" t="str">
        <f>IF(G1063=0,"",IF(AD1063="me","  delivery-only",IF($AD$8="me","  delivery-only",CONCATENATE(" $",ROUND(AI1063/G1063,2)," each"))))</f>
        <v/>
      </c>
      <c r="AK1063" s="828"/>
      <c r="AL1063" s="313" t="str">
        <f t="shared" si="2659"/>
        <v/>
      </c>
      <c r="AM1063" s="312"/>
      <c r="AN1063" s="101"/>
      <c r="AO1063" s="101"/>
      <c r="AP1063" s="101"/>
      <c r="AQ1063" s="101"/>
      <c r="AR1063" s="101"/>
      <c r="AS1063" s="101"/>
      <c r="AT1063" s="101"/>
    </row>
    <row r="1064" spans="1:46" ht="12.95" customHeight="1">
      <c r="A1064" s="447">
        <v>1</v>
      </c>
      <c r="B1064" s="87" t="s">
        <v>50</v>
      </c>
      <c r="C1064" s="399" t="s">
        <v>136</v>
      </c>
      <c r="D1064" s="129" t="s">
        <v>86</v>
      </c>
      <c r="E1064" s="98">
        <v>7.95</v>
      </c>
      <c r="F1064" s="705" t="s">
        <v>1306</v>
      </c>
      <c r="G1064" s="357">
        <v>0</v>
      </c>
      <c r="H1064" s="704" t="str">
        <f t="shared" ref="H1064" si="2723">IF(G1064=0,"",IF(F1064="Qty=",IF(G1064=1,"plant","plants"),IF(F1064&gt;0.0001,"warranty","Error")))</f>
        <v/>
      </c>
      <c r="I1064" s="98">
        <f t="shared" ref="I1064" si="2724">IF(F1064="Qty=",(E1064*G1064),((E1064*(1-F1064))*G1064))</f>
        <v>0</v>
      </c>
      <c r="J1064" s="98">
        <f>IF(H1064="warranty",0,(I1064*($J$1782)))</f>
        <v>0</v>
      </c>
      <c r="K1064" s="831">
        <f t="shared" ref="K1064:K1066" si="2725">I1064+J1064</f>
        <v>0</v>
      </c>
      <c r="L1064" s="831"/>
      <c r="M1064" s="832" t="str">
        <f>IF($H$1784=0,"",IF(G1064=0,"",IF(F1064="Qty=",CONCATENATE("$",ROUND(K1064*(1-$H$1784),2)," with ",($H$1784*100),"% discount"),CONCATENATE("$",ROUND(K1064*(1-$H$1784),2)," with ",(($H$1784*100+F1064*100)-($H$1784*100*F1064)),IF(F1064&gt;0,"% discounts",IF($H$1781&gt;0,"% discounts","% discount"))))))</f>
        <v/>
      </c>
      <c r="N1064" s="832"/>
      <c r="O1064" s="832"/>
      <c r="P1064" s="832"/>
      <c r="Q1064" s="832"/>
      <c r="R1064" s="832"/>
      <c r="S1064" s="303">
        <f t="shared" ref="S1064" si="2726">E1064*G1064</f>
        <v>0</v>
      </c>
      <c r="T1064" s="541">
        <f>VLOOKUP(A1064,'Discount Lookup'!D:E,2,FALSE)*G1064</f>
        <v>0</v>
      </c>
      <c r="U1064" s="83">
        <f>VLOOKUP(A1064,'Discount Lookup'!G:H,2,FALSE)*G1064</f>
        <v>0</v>
      </c>
      <c r="V1064" s="100">
        <f>E1064*($J$1782)*G1064</f>
        <v>0</v>
      </c>
      <c r="W1064" s="100">
        <f t="shared" ref="W1064" si="2727">I1064</f>
        <v>0</v>
      </c>
      <c r="X1064" s="100" t="b">
        <f>IF(G1064&gt;0,IF(AD1064="me","",G1064))</f>
        <v>0</v>
      </c>
      <c r="Y1064" s="201"/>
      <c r="Z1064" s="829" t="str">
        <f t="shared" ref="Z1064" si="2728">IF(G1064=0,"",IF(AD1064="me","",IF($AD$8="me","",IF(AD1064="free","warranty",IF($AD$8="yes","NVP planting:","to NVP install:")))))</f>
        <v/>
      </c>
      <c r="AA1064" s="829"/>
      <c r="AB1064" s="830" t="str">
        <f>IF(G1064=0,"",IF(AD1064="free","re-planting",IF(AD1064="me","not NVP, by",IF($AD$8="yes",(VLOOKUP(A1064,'Discount Lookup'!J:K,2)*G1064*(1-$AC$1786)*(1+$AC$1788)),IF(AD1064="NVP",(VLOOKUP(A1064,'Discount Lookup'!J:K,2)*G1064*(1-$AC$1786)*(1+$AC$1788)),IF(AD1064="free","re-planting",IF(G1064=0,"",IF($AD$8="",IF(AD1064="me","not NVP, by",IF(AD1064="",IF(G1064&gt;0,(VLOOKUP(A1064,'Discount Lookup'!J:K,2)*G1064*(1-$AC$1786)*(1+$AC$1788)),""),"")),"not NVP, by"))))))))</f>
        <v/>
      </c>
      <c r="AC1064" s="830"/>
      <c r="AD1064" s="375" t="str">
        <f t="shared" si="2722"/>
        <v/>
      </c>
      <c r="AE1064" s="833" t="str">
        <f t="shared" ref="AE1064" si="2729">IF(G1064&gt;0,(CONCATENATE((G1064)," quantity, ",(A1064)," ",B1064)),"")</f>
        <v/>
      </c>
      <c r="AF1064" s="833"/>
      <c r="AG1064" s="833"/>
      <c r="AH1064" s="91">
        <f>IF(AD1064="free",0,IF(AD1064="me",0,IF(G1064&gt;0,(VLOOKUP(A1064,'Discount Lookup'!J:K,2)*G1064),0)))</f>
        <v>0</v>
      </c>
      <c r="AI1064" s="92" t="str">
        <f t="shared" si="2692"/>
        <v/>
      </c>
      <c r="AJ1064" s="828" t="str">
        <f t="shared" ref="AJ1064" si="2730">IF(G1064=0,"",IF(AD1064="me","  delivery-only",IF($AD$8="me","  delivery-only",CONCATENATE(" $",ROUND(AI1064/G1064,2)," each"))))</f>
        <v/>
      </c>
      <c r="AK1064" s="828"/>
      <c r="AL1064" s="313" t="str">
        <f t="shared" si="2659"/>
        <v/>
      </c>
      <c r="AM1064" s="312"/>
      <c r="AN1064" s="101"/>
      <c r="AO1064" s="101"/>
      <c r="AP1064" s="101"/>
      <c r="AQ1064" s="101"/>
      <c r="AR1064" s="101"/>
      <c r="AS1064" s="101"/>
      <c r="AT1064" s="101"/>
    </row>
    <row r="1065" spans="1:46" ht="12.95" customHeight="1">
      <c r="A1065" s="447">
        <v>3</v>
      </c>
      <c r="B1065" s="87" t="s">
        <v>50</v>
      </c>
      <c r="C1065" s="399" t="s">
        <v>136</v>
      </c>
      <c r="D1065" s="129" t="s">
        <v>86</v>
      </c>
      <c r="E1065" s="98">
        <v>25.95</v>
      </c>
      <c r="F1065" s="705" t="s">
        <v>1306</v>
      </c>
      <c r="G1065" s="357">
        <v>0</v>
      </c>
      <c r="H1065" s="704" t="str">
        <f t="shared" ref="H1065:H1066" si="2731">IF(G1065=0,"",IF(F1065="Qty=",IF(G1065=1,"plant","plants"),IF(F1065&gt;0.0001,"warranty","Error")))</f>
        <v/>
      </c>
      <c r="I1065" s="98">
        <f t="shared" ref="I1065:I1066" si="2732">IF(F1065="Qty=",(E1065*G1065),((E1065*(1-F1065))*G1065))</f>
        <v>0</v>
      </c>
      <c r="J1065" s="98">
        <f>IF(H1065="warranty",0,(I1065*($J$1782)))</f>
        <v>0</v>
      </c>
      <c r="K1065" s="831">
        <f t="shared" si="2725"/>
        <v>0</v>
      </c>
      <c r="L1065" s="831"/>
      <c r="M1065" s="832" t="str">
        <f>IF($H$1784=0,"",IF(G1065=0,"",IF(F1065="Qty=",CONCATENATE("$",ROUND(K1065*(1-$H$1784),2)," with ",($H$1784*100),"% discount"),CONCATENATE("$",ROUND(K1065*(1-$H$1784),2)," with ",(($H$1784*100+F1065*100)-($H$1784*100*F1065)),IF(F1065&gt;0,"% discounts",IF($H$1781&gt;0,"% discounts","% discount"))))))</f>
        <v/>
      </c>
      <c r="N1065" s="832"/>
      <c r="O1065" s="832"/>
      <c r="P1065" s="832"/>
      <c r="Q1065" s="832"/>
      <c r="R1065" s="832"/>
      <c r="S1065" s="303">
        <f t="shared" ref="S1065" si="2733">E1065*G1065</f>
        <v>0</v>
      </c>
      <c r="T1065" s="541">
        <f>VLOOKUP(A1065,'Discount Lookup'!D:E,2,FALSE)*G1065</f>
        <v>0</v>
      </c>
      <c r="U1065" s="83">
        <f>VLOOKUP(A1065,'Discount Lookup'!G:H,2,FALSE)*G1065</f>
        <v>0</v>
      </c>
      <c r="V1065" s="100">
        <f>E1065*($J$1782)*G1065</f>
        <v>0</v>
      </c>
      <c r="W1065" s="100">
        <f t="shared" ref="W1065" si="2734">I1065</f>
        <v>0</v>
      </c>
      <c r="X1065" s="100" t="b">
        <f>IF(G1065&gt;0,IF(AD1065="me","",G1065))</f>
        <v>0</v>
      </c>
      <c r="Y1065" s="201"/>
      <c r="Z1065" s="829" t="str">
        <f>IF(G1065=0,"",IF(AD1065="me","",IF($AD$8="me","",IF(AD1065="free","warranty",IF($AD$8="yes","NVP planting:","to NVP install:")))))</f>
        <v/>
      </c>
      <c r="AA1065" s="829"/>
      <c r="AB1065" s="830" t="str">
        <f>IF(G1065=0,"",IF(AD1065="free","re-planting",IF(AD1065="me","not NVP, by",IF($AD$8="yes",(VLOOKUP(A1065,'Discount Lookup'!J:K,2)*G1065*(1-$AC$1786)*(1+$AC$1788)),IF(AD1065="NVP",(VLOOKUP(A1065,'Discount Lookup'!J:K,2)*G1065*(1-$AC$1786)*(1+$AC$1788)),IF(AD1065="free","re-planting",IF(G1065=0,"",IF($AD$8="",IF(AD1065="me","not NVP, by",IF(AD1065="",IF(G1065&gt;0,(VLOOKUP(A1065,'Discount Lookup'!J:K,2)*G1065*(1-$AC$1786)*(1+$AC$1788)),""),"")),"not NVP, by"))))))))</f>
        <v/>
      </c>
      <c r="AC1065" s="830"/>
      <c r="AD1065" s="375" t="str">
        <f t="shared" si="2722"/>
        <v/>
      </c>
      <c r="AE1065" s="833" t="str">
        <f>IF(G1065&gt;0,(CONCATENATE((G1065)," quantity, ",(A1065)," ",B1065)),"")</f>
        <v/>
      </c>
      <c r="AF1065" s="833"/>
      <c r="AG1065" s="833"/>
      <c r="AH1065" s="91">
        <f>IF(AD1065="free",0,IF(AD1065="me",0,IF(G1065&gt;0,(VLOOKUP(A1065,'Discount Lookup'!J:K,2)*G1065),0)))</f>
        <v>0</v>
      </c>
      <c r="AI1065" s="92" t="str">
        <f t="shared" si="2692"/>
        <v/>
      </c>
      <c r="AJ1065" s="828" t="str">
        <f>IF(G1065=0,"",IF(AD1065="me","  delivery-only",IF($AD$8="me","  delivery-only",CONCATENATE(" $",ROUND(AI1065/G1065,2)," each"))))</f>
        <v/>
      </c>
      <c r="AK1065" s="828"/>
      <c r="AL1065" s="313" t="str">
        <f t="shared" si="2659"/>
        <v/>
      </c>
      <c r="AM1065" s="312"/>
      <c r="AN1065" s="101"/>
      <c r="AO1065" s="101"/>
      <c r="AP1065" s="101"/>
      <c r="AQ1065" s="101"/>
      <c r="AR1065" s="101"/>
      <c r="AS1065" s="101"/>
      <c r="AT1065" s="101"/>
    </row>
    <row r="1066" spans="1:46" ht="12.95" customHeight="1">
      <c r="A1066" s="447">
        <v>3</v>
      </c>
      <c r="B1066" s="87" t="s">
        <v>50</v>
      </c>
      <c r="C1066" s="399" t="s">
        <v>136</v>
      </c>
      <c r="D1066" s="129" t="s">
        <v>87</v>
      </c>
      <c r="E1066" s="98">
        <v>26.95</v>
      </c>
      <c r="F1066" s="705" t="s">
        <v>1306</v>
      </c>
      <c r="G1066" s="357">
        <v>0</v>
      </c>
      <c r="H1066" s="704" t="str">
        <f t="shared" si="2731"/>
        <v/>
      </c>
      <c r="I1066" s="98">
        <f t="shared" si="2732"/>
        <v>0</v>
      </c>
      <c r="J1066" s="98">
        <f>IF(H1066="warranty",0,(I1066*($J$1782)))</f>
        <v>0</v>
      </c>
      <c r="K1066" s="831">
        <f t="shared" si="2725"/>
        <v>0</v>
      </c>
      <c r="L1066" s="831"/>
      <c r="M1066" s="832" t="str">
        <f>IF($H$1784=0,"",IF(G1066=0,"",IF(F1066="Qty=",CONCATENATE("$",ROUND(K1066*(1-$H$1784),2)," with ",($H$1784*100),"% discount"),CONCATENATE("$",ROUND(K1066*(1-$H$1784),2)," with ",(($H$1784*100+F1066*100)-($H$1784*100*F1066)),IF(F1066&gt;0,"% discounts",IF($H$1781&gt;0,"% discounts","% discount"))))))</f>
        <v/>
      </c>
      <c r="N1066" s="832"/>
      <c r="O1066" s="832"/>
      <c r="P1066" s="832"/>
      <c r="Q1066" s="832"/>
      <c r="R1066" s="832"/>
      <c r="S1066" s="303">
        <f t="shared" ref="S1066" si="2735">E1066*G1066</f>
        <v>0</v>
      </c>
      <c r="T1066" s="541">
        <f>VLOOKUP(A1066,'Discount Lookup'!D:E,2,FALSE)*G1066</f>
        <v>0</v>
      </c>
      <c r="U1066" s="83">
        <f>VLOOKUP(A1066,'Discount Lookup'!G:H,2,FALSE)*G1066</f>
        <v>0</v>
      </c>
      <c r="V1066" s="100">
        <f>E1066*($J$1782)*G1066</f>
        <v>0</v>
      </c>
      <c r="W1066" s="100">
        <f t="shared" ref="W1066" si="2736">I1066</f>
        <v>0</v>
      </c>
      <c r="X1066" s="100" t="b">
        <f>IF(G1066&gt;0,IF(AD1066="me","",G1066))</f>
        <v>0</v>
      </c>
      <c r="Y1066" s="201"/>
      <c r="Z1066" s="829" t="str">
        <f>IF(G1066=0,"",IF(AD1066="me","",IF($AD$8="me","",IF(AD1066="free","warranty",IF($AD$8="yes","NVP planting:","to NVP install:")))))</f>
        <v/>
      </c>
      <c r="AA1066" s="829"/>
      <c r="AB1066" s="830" t="str">
        <f>IF(G1066=0,"",IF(AD1066="free","re-planting",IF(AD1066="me","not NVP, by",IF($AD$8="yes",(VLOOKUP(A1066,'Discount Lookup'!J:K,2)*G1066*(1-$AC$1786)*(1+$AC$1788)),IF(AD1066="NVP",(VLOOKUP(A1066,'Discount Lookup'!J:K,2)*G1066*(1-$AC$1786)*(1+$AC$1788)),IF(AD1066="free","re-planting",IF(G1066=0,"",IF($AD$8="",IF(AD1066="me","not NVP, by",IF(AD1066="",IF(G1066&gt;0,(VLOOKUP(A1066,'Discount Lookup'!J:K,2)*G1066*(1-$AC$1786)*(1+$AC$1788)),""),"")),"not NVP, by"))))))))</f>
        <v/>
      </c>
      <c r="AC1066" s="830"/>
      <c r="AD1066" s="375" t="str">
        <f t="shared" si="2722"/>
        <v/>
      </c>
      <c r="AE1066" s="833" t="str">
        <f>IF(G1066&gt;0,(CONCATENATE((G1066)," quantity, ",(A1066)," ",B1066)),"")</f>
        <v/>
      </c>
      <c r="AF1066" s="833"/>
      <c r="AG1066" s="833"/>
      <c r="AH1066" s="91">
        <f>IF(AD1066="free",0,IF(AD1066="me",0,IF(G1066&gt;0,(VLOOKUP(A1066,'Discount Lookup'!J:K,2)*G1066),0)))</f>
        <v>0</v>
      </c>
      <c r="AI1066" s="92" t="str">
        <f t="shared" si="2692"/>
        <v/>
      </c>
      <c r="AJ1066" s="828" t="str">
        <f>IF(G1066=0,"",IF(AD1066="me","  delivery-only",IF($AD$8="me","  delivery-only",CONCATENATE(" $",ROUND(AI1066/G1066,2)," each"))))</f>
        <v/>
      </c>
      <c r="AK1066" s="828"/>
      <c r="AL1066" s="313" t="str">
        <f t="shared" si="2659"/>
        <v/>
      </c>
      <c r="AM1066" s="312"/>
      <c r="AN1066" s="101"/>
      <c r="AO1066" s="101"/>
      <c r="AP1066" s="101"/>
      <c r="AQ1066" s="101"/>
      <c r="AR1066" s="101"/>
      <c r="AS1066" s="101"/>
      <c r="AT1066" s="101"/>
    </row>
    <row r="1067" spans="1:46" ht="12.95" customHeight="1">
      <c r="A1067" s="508"/>
      <c r="B1067" s="149" t="s">
        <v>625</v>
      </c>
      <c r="C1067" s="117"/>
      <c r="D1067" s="118"/>
      <c r="E1067" s="119"/>
      <c r="F1067" s="711"/>
      <c r="G1067" s="356"/>
      <c r="H1067" s="745"/>
      <c r="I1067" s="119"/>
      <c r="J1067" s="119"/>
      <c r="K1067" s="609"/>
      <c r="L1067" s="609"/>
      <c r="M1067" s="121"/>
      <c r="N1067" s="121"/>
      <c r="O1067" s="123"/>
      <c r="P1067" s="124"/>
      <c r="Q1067" s="124"/>
      <c r="R1067" s="83"/>
      <c r="S1067" s="82"/>
      <c r="T1067" s="540"/>
      <c r="U1067" s="83"/>
      <c r="V1067" s="100" t="b">
        <f>IF(G1067&gt;0,IF(AD1067="me","",G1067))</f>
        <v>0</v>
      </c>
      <c r="W1067" s="100"/>
      <c r="X1067" s="100"/>
      <c r="Y1067" s="201"/>
      <c r="Z1067" s="829" t="str">
        <f>IF(G1067=0,"",IF(AD1067="me","",IF($AD$8="me","",IF(AD1067="free","warranty",IF($AD$8="yes","NVP planting:","to NVP install:")))))</f>
        <v/>
      </c>
      <c r="AA1067" s="829"/>
      <c r="AB1067" s="830" t="str">
        <f>IF(G1067=0,"",IF(AD1067="free","re-planting",IF(AD1067="me","not NVP, by",IF($AD$8="yes",(VLOOKUP(A1067,'Discount Lookup'!J:K,2)*G1067*(1-$AC$1786)*(1+$AC$1788)),IF(AD1067="NVP",(VLOOKUP(A1067,'Discount Lookup'!J:K,2)*G1067*(1-$AC$1786)*(1+$AC$1788)),IF(AD1067="free","re-planting",IF(G1067=0,"",IF($AD$8="",IF(AD1067="me","not NVP, by",IF(AD1067="",IF(G1067&gt;0,(VLOOKUP(A1067,'Discount Lookup'!J:K,2)*G1067*(1-$AC$1786)*(1+$AC$1788)),""),"")),"not NVP, by"))))))))</f>
        <v/>
      </c>
      <c r="AC1067" s="830"/>
      <c r="AD1067" s="375" t="str">
        <f t="shared" si="2722"/>
        <v/>
      </c>
      <c r="AE1067" s="833" t="str">
        <f>IF(G1067&gt;0,(CONCATENATE((G1067)," quantity, ",(A1067)," ",B1067)),"")</f>
        <v/>
      </c>
      <c r="AF1067" s="833"/>
      <c r="AG1067" s="833"/>
      <c r="AH1067" s="91">
        <f>IF(AD1067="free",0,IF(AD1067="me",0,IF(G1067&gt;0,(VLOOKUP(A1067,'Discount Lookup'!J:K,2)*G1067),0)))</f>
        <v>0</v>
      </c>
      <c r="AI1067" s="92" t="str">
        <f t="shared" si="2692"/>
        <v/>
      </c>
      <c r="AJ1067" s="828" t="str">
        <f>IF(G1067=0,"",IF(AD1067="me","  delivery-only",IF($AD$8="me","  delivery-only",CONCATENATE(" $",ROUND(AI1067/G1067,2)," each"))))</f>
        <v/>
      </c>
      <c r="AK1067" s="828"/>
      <c r="AL1067" s="313" t="str">
        <f t="shared" si="2659"/>
        <v/>
      </c>
      <c r="AM1067" s="312"/>
      <c r="AN1067" s="101"/>
      <c r="AO1067" s="101"/>
      <c r="AP1067" s="101"/>
      <c r="AQ1067" s="101"/>
      <c r="AR1067" s="101"/>
      <c r="AS1067" s="101"/>
      <c r="AT1067" s="101"/>
    </row>
    <row r="1068" spans="1:46" ht="12.95" customHeight="1">
      <c r="A1068" s="896" t="s">
        <v>608</v>
      </c>
      <c r="B1068" s="897"/>
      <c r="C1068" s="897"/>
      <c r="D1068" s="897"/>
      <c r="E1068" s="897"/>
      <c r="F1068" s="897"/>
      <c r="G1068" s="897"/>
      <c r="H1068" s="776" t="s">
        <v>602</v>
      </c>
      <c r="I1068" s="88" t="s">
        <v>79</v>
      </c>
      <c r="J1068" s="86"/>
      <c r="K1068" s="603" t="s">
        <v>45</v>
      </c>
      <c r="L1068" s="601" t="s">
        <v>46</v>
      </c>
      <c r="M1068" s="86"/>
      <c r="N1068" s="87" t="s">
        <v>128</v>
      </c>
      <c r="O1068" s="87"/>
      <c r="P1068" s="88"/>
      <c r="Q1068" s="88"/>
      <c r="R1068" s="86"/>
      <c r="S1068" s="125"/>
      <c r="T1068" s="543"/>
      <c r="U1068" s="112"/>
      <c r="V1068" s="100" t="b">
        <f>IF(G1068&gt;0,IF(AD1068="me","",G1068))</f>
        <v>0</v>
      </c>
      <c r="W1068" s="100"/>
      <c r="X1068" s="100"/>
      <c r="Y1068" s="201"/>
      <c r="Z1068" s="829" t="str">
        <f t="shared" si="2719"/>
        <v/>
      </c>
      <c r="AA1068" s="829"/>
      <c r="AB1068" s="830" t="str">
        <f>IF(G1068=0,"",IF(AD1068="free","re-planting",IF(AD1068="me","not NVP, by",IF($AD$8="yes",(VLOOKUP(A1068,'Discount Lookup'!J:K,2)*G1068*(1-$AC$1786)*(1+$AC$1788)),IF(AD1068="NVP",(VLOOKUP(A1068,'Discount Lookup'!J:K,2)*G1068*(1-$AC$1786)*(1+$AC$1788)),IF(AD1068="free","re-planting",IF(G1068=0,"",IF($AD$8="",IF(AD1068="me","not NVP, by",IF(AD1068="",IF(G1068&gt;0,(VLOOKUP(A1068,'Discount Lookup'!J:K,2)*G1068*(1-$AC$1786)*(1+$AC$1788)),""),"")),"not NVP, by"))))))))</f>
        <v/>
      </c>
      <c r="AC1068" s="830"/>
      <c r="AD1068" s="375" t="str">
        <f t="shared" si="2703"/>
        <v/>
      </c>
      <c r="AE1068" s="833" t="str">
        <f t="shared" si="2681"/>
        <v/>
      </c>
      <c r="AF1068" s="833"/>
      <c r="AG1068" s="833"/>
      <c r="AH1068" s="91">
        <f>IF(AD1068="free",0,IF(AD1068="me",0,IF(G1068&gt;0,(VLOOKUP(A1068,'Discount Lookup'!J:K,2)*G1068),0)))</f>
        <v>0</v>
      </c>
      <c r="AI1068" s="92" t="str">
        <f t="shared" si="2692"/>
        <v/>
      </c>
      <c r="AJ1068" s="828" t="str">
        <f t="shared" si="2721"/>
        <v/>
      </c>
      <c r="AK1068" s="828"/>
      <c r="AL1068" s="313" t="str">
        <f t="shared" si="2659"/>
        <v/>
      </c>
      <c r="AM1068" s="312"/>
      <c r="AN1068" s="101"/>
      <c r="AO1068" s="101"/>
      <c r="AP1068" s="101"/>
      <c r="AQ1068" s="101"/>
      <c r="AR1068" s="101"/>
      <c r="AS1068" s="101"/>
      <c r="AT1068" s="101"/>
    </row>
    <row r="1069" spans="1:46" ht="12.95" customHeight="1">
      <c r="A1069" s="419">
        <v>3</v>
      </c>
      <c r="B1069" s="87" t="s">
        <v>50</v>
      </c>
      <c r="C1069" s="399" t="s">
        <v>1641</v>
      </c>
      <c r="D1069" s="129" t="s">
        <v>87</v>
      </c>
      <c r="E1069" s="98">
        <v>28.95</v>
      </c>
      <c r="F1069" s="705" t="s">
        <v>1306</v>
      </c>
      <c r="G1069" s="357">
        <v>0</v>
      </c>
      <c r="H1069" s="704" t="str">
        <f>IF(G1069=0,"",IF(F1069="Qty=",IF(G1069=1,"plant","plants"),IF(F1069&gt;0.0001,"warranty","Error")))</f>
        <v/>
      </c>
      <c r="I1069" s="98">
        <f>IF(F1069="Qty=",(E1069*G1069),((E1069*(1-F1069))*G1069))</f>
        <v>0</v>
      </c>
      <c r="J1069" s="98">
        <f>IF(H1069="warranty",0,(I1069*($J$1782)))</f>
        <v>0</v>
      </c>
      <c r="K1069" s="831">
        <f t="shared" ref="K1069" si="2737">I1069+J1069</f>
        <v>0</v>
      </c>
      <c r="L1069" s="831"/>
      <c r="M1069" s="832" t="str">
        <f>IF($H$1784=0,"",IF(G1069=0,"",IF(F1069="Qty=",CONCATENATE("$",ROUND(K1069*(1-$H$1784),2)," with ",($H$1784*100),"% discount"),CONCATENATE("$",ROUND(K1069*(1-$H$1784),2)," with ",(($H$1784*100+F1069*100)-($H$1784*100*F1069)),IF(F1069&gt;0,"% discounts",IF($H$1781&gt;0,"% discounts","% discount"))))))</f>
        <v/>
      </c>
      <c r="N1069" s="832"/>
      <c r="O1069" s="832"/>
      <c r="P1069" s="832"/>
      <c r="Q1069" s="832"/>
      <c r="R1069" s="832"/>
      <c r="S1069" s="303">
        <f>E1069*G1069</f>
        <v>0</v>
      </c>
      <c r="T1069" s="541">
        <f>VLOOKUP(A1069,'Discount Lookup'!D:E,2,FALSE)*G1069</f>
        <v>0</v>
      </c>
      <c r="U1069" s="83">
        <f>VLOOKUP(A1069,'Discount Lookup'!G:H,2,FALSE)*G1069</f>
        <v>0</v>
      </c>
      <c r="V1069" s="100">
        <f>E1069*($J$1782)*G1069</f>
        <v>0</v>
      </c>
      <c r="W1069" s="100">
        <f>I1069</f>
        <v>0</v>
      </c>
      <c r="X1069" s="100" t="b">
        <f>IF(G1069&gt;0,IF(AD1069="me","",G1069))</f>
        <v>0</v>
      </c>
      <c r="Y1069" s="201"/>
      <c r="Z1069" s="829" t="str">
        <f>IF(G1069=0,"",IF(AD1069="me","",IF($AD$8="me","",IF(AD1069="free","warranty",IF($AD$8="yes","NVP planting:","to NVP install:")))))</f>
        <v/>
      </c>
      <c r="AA1069" s="829"/>
      <c r="AB1069" s="830" t="str">
        <f>IF(G1069=0,"",IF(AD1069="free","re-planting",IF(AD1069="me","not NVP, by",IF($AD$8="yes",(VLOOKUP(A1069,'Discount Lookup'!J:K,2)*G1069*(1-$AC$1786)*(1+$AC$1788)),IF(AD1069="NVP",(VLOOKUP(A1069,'Discount Lookup'!J:K,2)*G1069*(1-$AC$1786)*(1+$AC$1788)),IF(AD1069="free","re-planting",IF(G1069=0,"",IF($AD$8="",IF(AD1069="me","not NVP, by",IF(AD1069="",IF(G1069&gt;0,(VLOOKUP(A1069,'Discount Lookup'!J:K,2)*G1069*(1-$AC$1786)*(1+$AC$1788)),""),"")),"not NVP, by"))))))))</f>
        <v/>
      </c>
      <c r="AC1069" s="830"/>
      <c r="AD1069" s="375" t="str">
        <f t="shared" si="2703"/>
        <v/>
      </c>
      <c r="AE1069" s="833" t="str">
        <f>IF(G1069&gt;0,(CONCATENATE((G1069)," quantity, ",(A1069)," ",B1069)),"")</f>
        <v/>
      </c>
      <c r="AF1069" s="833"/>
      <c r="AG1069" s="833"/>
      <c r="AH1069" s="91">
        <f>IF(AD1069="free",0,IF(AD1069="me",0,IF(G1069&gt;0,(VLOOKUP(A1069,'Discount Lookup'!J:K,2)*G1069),0)))</f>
        <v>0</v>
      </c>
      <c r="AI1069" s="92" t="str">
        <f t="shared" si="2692"/>
        <v/>
      </c>
      <c r="AJ1069" s="828" t="str">
        <f>IF(G1069=0,"",IF(AD1069="me","  delivery-only",IF($AD$8="me","  delivery-only",CONCATENATE(" $",ROUND(AI1069/G1069,2)," each"))))</f>
        <v/>
      </c>
      <c r="AK1069" s="828"/>
      <c r="AL1069" s="313" t="str">
        <f t="shared" si="2659"/>
        <v/>
      </c>
      <c r="AM1069" s="312"/>
      <c r="AN1069" s="101"/>
      <c r="AO1069" s="101"/>
      <c r="AP1069" s="101"/>
      <c r="AQ1069" s="101"/>
      <c r="AR1069" s="101"/>
      <c r="AS1069" s="101"/>
      <c r="AT1069" s="101"/>
    </row>
    <row r="1070" spans="1:46" ht="12.95" customHeight="1">
      <c r="A1070" s="468"/>
      <c r="B1070" s="149" t="s">
        <v>609</v>
      </c>
      <c r="C1070" s="118"/>
      <c r="D1070" s="118"/>
      <c r="E1070" s="119"/>
      <c r="F1070" s="711"/>
      <c r="G1070" s="358"/>
      <c r="H1070" s="745"/>
      <c r="I1070" s="119"/>
      <c r="J1070" s="119"/>
      <c r="K1070" s="609"/>
      <c r="L1070" s="609"/>
      <c r="M1070" s="121"/>
      <c r="N1070" s="121"/>
      <c r="O1070" s="123"/>
      <c r="P1070" s="124"/>
      <c r="Q1070" s="48"/>
      <c r="R1070" s="48"/>
      <c r="S1070" s="48"/>
      <c r="T1070" s="546"/>
      <c r="W1070" s="286"/>
      <c r="X1070" s="286"/>
      <c r="Y1070" s="794"/>
      <c r="Z1070" s="829" t="str">
        <f t="shared" si="2719"/>
        <v/>
      </c>
      <c r="AA1070" s="829"/>
      <c r="AB1070" s="830" t="str">
        <f>IF(G1070=0,"",IF(AD1070="free","re-planting",IF(AD1070="me","not NVP, by",IF($AD$8="yes",(VLOOKUP(A1070,'Discount Lookup'!J:K,2)*G1070*(1-$AC$1786)*(1+$AC$1788)),IF(AD1070="NVP",(VLOOKUP(A1070,'Discount Lookup'!J:K,2)*G1070*(1-$AC$1786)*(1+$AC$1788)),IF(AD1070="free","re-planting",IF(G1070=0,"",IF($AD$8="",IF(AD1070="me","not NVP, by",IF(AD1070="",IF(G1070&gt;0,(VLOOKUP(A1070,'Discount Lookup'!J:K,2)*G1070*(1-$AC$1786)*(1+$AC$1788)),""),"")),"not NVP, by"))))))))</f>
        <v/>
      </c>
      <c r="AC1070" s="830"/>
      <c r="AD1070" s="375" t="str">
        <f t="shared" si="2703"/>
        <v/>
      </c>
      <c r="AE1070" s="833" t="str">
        <f t="shared" si="2681"/>
        <v/>
      </c>
      <c r="AF1070" s="833"/>
      <c r="AG1070" s="833"/>
      <c r="AH1070" s="91">
        <f>IF(AD1070="free",0,IF(AD1070="me",0,IF(G1070&gt;0,(VLOOKUP(A1070,'Discount Lookup'!J:K,2)*G1070),0)))</f>
        <v>0</v>
      </c>
      <c r="AI1070" s="92" t="str">
        <f t="shared" si="2692"/>
        <v/>
      </c>
      <c r="AJ1070" s="828" t="str">
        <f t="shared" si="2721"/>
        <v/>
      </c>
      <c r="AK1070" s="828"/>
      <c r="AL1070" s="313" t="str">
        <f t="shared" si="2659"/>
        <v/>
      </c>
      <c r="AM1070" s="312"/>
      <c r="AN1070" s="101"/>
      <c r="AO1070" s="101"/>
      <c r="AP1070" s="101"/>
      <c r="AQ1070" s="101"/>
      <c r="AR1070" s="101"/>
      <c r="AS1070" s="101"/>
      <c r="AT1070" s="101"/>
    </row>
    <row r="1071" spans="1:46" ht="12.95" customHeight="1">
      <c r="A1071" s="896" t="s">
        <v>610</v>
      </c>
      <c r="B1071" s="897"/>
      <c r="C1071" s="897"/>
      <c r="D1071" s="897"/>
      <c r="E1071" s="897"/>
      <c r="F1071" s="897"/>
      <c r="G1071" s="897"/>
      <c r="H1071" s="776" t="s">
        <v>602</v>
      </c>
      <c r="I1071" s="88" t="s">
        <v>79</v>
      </c>
      <c r="J1071" s="86"/>
      <c r="K1071" s="603" t="s">
        <v>45</v>
      </c>
      <c r="L1071" s="601" t="s">
        <v>46</v>
      </c>
      <c r="M1071" s="86"/>
      <c r="N1071" s="87" t="s">
        <v>69</v>
      </c>
      <c r="O1071" s="87"/>
      <c r="P1071" s="88"/>
      <c r="Q1071" s="88"/>
      <c r="R1071" s="86"/>
      <c r="S1071" s="125"/>
      <c r="T1071" s="543"/>
      <c r="U1071" s="112"/>
      <c r="V1071" s="100" t="b">
        <f>IF(G1071&gt;0,IF(AD1071="me","",G1071))</f>
        <v>0</v>
      </c>
      <c r="W1071" s="100"/>
      <c r="X1071" s="100"/>
      <c r="Y1071" s="201"/>
      <c r="Z1071" s="829" t="str">
        <f t="shared" si="2719"/>
        <v/>
      </c>
      <c r="AA1071" s="829"/>
      <c r="AB1071" s="830" t="str">
        <f>IF(G1071=0,"",IF(AD1071="free","re-planting",IF(AD1071="me","not NVP, by",IF($AD$8="yes",(VLOOKUP(A1071,'Discount Lookup'!J:K,2)*G1071*(1-$AC$1786)*(1+$AC$1788)),IF(AD1071="NVP",(VLOOKUP(A1071,'Discount Lookup'!J:K,2)*G1071*(1-$AC$1786)*(1+$AC$1788)),IF(AD1071="free","re-planting",IF(G1071=0,"",IF($AD$8="",IF(AD1071="me","not NVP, by",IF(AD1071="",IF(G1071&gt;0,(VLOOKUP(A1071,'Discount Lookup'!J:K,2)*G1071*(1-$AC$1786)*(1+$AC$1788)),""),"")),"not NVP, by"))))))))</f>
        <v/>
      </c>
      <c r="AC1071" s="830"/>
      <c r="AD1071" s="375" t="str">
        <f t="shared" si="2703"/>
        <v/>
      </c>
      <c r="AE1071" s="833" t="str">
        <f t="shared" ref="AE1071:AE1077" si="2738">IF(G1071&gt;0,(CONCATENATE((G1071)," quantity, ",(A1071)," ",B1071)),"")</f>
        <v/>
      </c>
      <c r="AF1071" s="833"/>
      <c r="AG1071" s="833"/>
      <c r="AH1071" s="91" t="str">
        <f>IF(AD1071="free",0,IF(AD1071="me","",IF(G1071&gt;0,(VLOOKUP(A1071,'Discount Lookup'!J:K,2)*G1071),"")))</f>
        <v/>
      </c>
      <c r="AI1071" s="92" t="str">
        <f t="shared" si="2692"/>
        <v/>
      </c>
      <c r="AJ1071" s="828" t="str">
        <f t="shared" si="2721"/>
        <v/>
      </c>
      <c r="AK1071" s="828"/>
      <c r="AL1071" s="313" t="str">
        <f t="shared" si="2659"/>
        <v/>
      </c>
      <c r="AM1071" s="312"/>
      <c r="AN1071" s="101"/>
      <c r="AO1071" s="101"/>
      <c r="AP1071" s="101"/>
      <c r="AQ1071" s="101"/>
      <c r="AR1071" s="101"/>
      <c r="AS1071" s="101"/>
      <c r="AT1071" s="101"/>
    </row>
    <row r="1072" spans="1:46" ht="12.95" customHeight="1">
      <c r="A1072" s="419">
        <v>3</v>
      </c>
      <c r="B1072" s="87" t="s">
        <v>50</v>
      </c>
      <c r="C1072" s="399" t="s">
        <v>99</v>
      </c>
      <c r="D1072" s="129" t="s">
        <v>62</v>
      </c>
      <c r="E1072" s="98">
        <v>24.95</v>
      </c>
      <c r="F1072" s="705" t="s">
        <v>1306</v>
      </c>
      <c r="G1072" s="357">
        <v>0</v>
      </c>
      <c r="H1072" s="704" t="str">
        <f t="shared" ref="H1072" si="2739">IF(G1072=0,"",IF(F1072="Qty=",IF(G1072=1,"plant","plants"),IF(F1072&gt;0.0001,"warranty","Error")))</f>
        <v/>
      </c>
      <c r="I1072" s="98">
        <f t="shared" ref="I1072" si="2740">IF(F1072="Qty=",(E1072*G1072),((E1072*(1-F1072))*G1072))</f>
        <v>0</v>
      </c>
      <c r="J1072" s="98">
        <f>IF(H1072="warranty",0,(I1072*($J$1782)))</f>
        <v>0</v>
      </c>
      <c r="K1072" s="831">
        <f t="shared" ref="K1072:K1073" si="2741">I1072+J1072</f>
        <v>0</v>
      </c>
      <c r="L1072" s="831"/>
      <c r="M1072" s="832" t="str">
        <f>IF($H$1784=0,"",IF(G1072=0,"",IF(F1072="Qty=",CONCATENATE("$",ROUND(K1072*(1-$H$1784),2)," with ",($H$1784*100),"% discount"),CONCATENATE("$",ROUND(K1072*(1-$H$1784),2)," with ",(($H$1784*100+F1072*100)-($H$1784*100*F1072)),IF(F1072&gt;0,"% discounts",IF($H$1781&gt;0,"% discounts","% discount"))))))</f>
        <v/>
      </c>
      <c r="N1072" s="832"/>
      <c r="O1072" s="832"/>
      <c r="P1072" s="832"/>
      <c r="Q1072" s="832"/>
      <c r="R1072" s="832"/>
      <c r="S1072" s="303">
        <f t="shared" ref="S1072" si="2742">E1072*G1072</f>
        <v>0</v>
      </c>
      <c r="T1072" s="541">
        <f>VLOOKUP(A1072,'Discount Lookup'!D:E,2,FALSE)*G1072</f>
        <v>0</v>
      </c>
      <c r="U1072" s="83">
        <f>VLOOKUP(A1072,'Discount Lookup'!G:H,2,FALSE)*G1072</f>
        <v>0</v>
      </c>
      <c r="V1072" s="100">
        <f>E1072*($J$1782)*G1072</f>
        <v>0</v>
      </c>
      <c r="W1072" s="100">
        <f t="shared" ref="W1072" si="2743">I1072</f>
        <v>0</v>
      </c>
      <c r="X1072" s="100" t="b">
        <f>IF(G1072&gt;0,IF(AD1072="me","",G1072))</f>
        <v>0</v>
      </c>
      <c r="Y1072" s="201"/>
      <c r="Z1072" s="829" t="str">
        <f t="shared" si="2719"/>
        <v/>
      </c>
      <c r="AA1072" s="829"/>
      <c r="AB1072" s="830" t="str">
        <f>IF(G1072=0,"",IF(AD1072="free","re-planting",IF(AD1072="me","not NVP, by",IF($AD$8="yes",(VLOOKUP(A1072,'Discount Lookup'!J:K,2)*G1072*(1-$AC$1786)*(1+$AC$1788)),IF(AD1072="NVP",(VLOOKUP(A1072,'Discount Lookup'!J:K,2)*G1072*(1-$AC$1786)*(1+$AC$1788)),IF(AD1072="free","re-planting",IF(G1072=0,"",IF($AD$8="",IF(AD1072="me","not NVP, by",IF(AD1072="",IF(G1072&gt;0,(VLOOKUP(A1072,'Discount Lookup'!J:K,2)*G1072*(1-$AC$1786)*(1+$AC$1788)),""),"")),"not NVP, by"))))))))</f>
        <v/>
      </c>
      <c r="AC1072" s="830"/>
      <c r="AD1072" s="375" t="str">
        <f t="shared" si="2703"/>
        <v/>
      </c>
      <c r="AE1072" s="833" t="str">
        <f t="shared" si="2738"/>
        <v/>
      </c>
      <c r="AF1072" s="833"/>
      <c r="AG1072" s="833"/>
      <c r="AH1072" s="91" t="str">
        <f>IF(AD1072="free",0,IF(AD1072="me","",IF(G1072&gt;0,(VLOOKUP(A1072,'Discount Lookup'!J:K,2)*G1072),"")))</f>
        <v/>
      </c>
      <c r="AI1072" s="92" t="str">
        <f t="shared" si="2692"/>
        <v/>
      </c>
      <c r="AJ1072" s="828" t="str">
        <f t="shared" si="2721"/>
        <v/>
      </c>
      <c r="AK1072" s="828"/>
      <c r="AL1072" s="313" t="str">
        <f t="shared" si="2659"/>
        <v/>
      </c>
      <c r="AM1072" s="312"/>
      <c r="AN1072" s="101"/>
      <c r="AO1072" s="101"/>
      <c r="AP1072" s="101"/>
      <c r="AQ1072" s="101"/>
      <c r="AR1072" s="101"/>
      <c r="AS1072" s="101"/>
      <c r="AT1072" s="101"/>
    </row>
    <row r="1073" spans="1:46" ht="12.95" customHeight="1">
      <c r="A1073" s="419">
        <v>3</v>
      </c>
      <c r="B1073" s="87" t="s">
        <v>50</v>
      </c>
      <c r="C1073" s="399" t="s">
        <v>99</v>
      </c>
      <c r="D1073" s="129" t="s">
        <v>94</v>
      </c>
      <c r="E1073" s="98">
        <v>24.95</v>
      </c>
      <c r="F1073" s="705" t="s">
        <v>1306</v>
      </c>
      <c r="G1073" s="357">
        <v>0</v>
      </c>
      <c r="H1073" s="704" t="str">
        <f t="shared" ref="H1073" si="2744">IF(G1073=0,"",IF(F1073="Qty=",IF(G1073=1,"plant","plants"),IF(F1073&gt;0.0001,"warranty","Error")))</f>
        <v/>
      </c>
      <c r="I1073" s="98">
        <f t="shared" ref="I1073" si="2745">IF(F1073="Qty=",(E1073*G1073),((E1073*(1-F1073))*G1073))</f>
        <v>0</v>
      </c>
      <c r="J1073" s="98">
        <f>IF(H1073="warranty",0,(I1073*($J$1782)))</f>
        <v>0</v>
      </c>
      <c r="K1073" s="831">
        <f t="shared" si="2741"/>
        <v>0</v>
      </c>
      <c r="L1073" s="831"/>
      <c r="M1073" s="832" t="str">
        <f>IF($H$1784=0,"",IF(G1073=0,"",IF(F1073="Qty=",CONCATENATE("$",ROUND(K1073*(1-$H$1784),2)," with ",($H$1784*100),"% discount"),CONCATENATE("$",ROUND(K1073*(1-$H$1784),2)," with ",(($H$1784*100+F1073*100)-($H$1784*100*F1073)),IF(F1073&gt;0,"% discounts",IF($H$1781&gt;0,"% discounts","% discount"))))))</f>
        <v/>
      </c>
      <c r="N1073" s="832"/>
      <c r="O1073" s="832"/>
      <c r="P1073" s="832"/>
      <c r="Q1073" s="832"/>
      <c r="R1073" s="832"/>
      <c r="S1073" s="303">
        <f t="shared" ref="S1073" si="2746">E1073*G1073</f>
        <v>0</v>
      </c>
      <c r="T1073" s="541">
        <f>VLOOKUP(A1073,'Discount Lookup'!D:E,2,FALSE)*G1073</f>
        <v>0</v>
      </c>
      <c r="U1073" s="83">
        <f>VLOOKUP(A1073,'Discount Lookup'!G:H,2,FALSE)*G1073</f>
        <v>0</v>
      </c>
      <c r="V1073" s="100">
        <f>E1073*($J$1782)*G1073</f>
        <v>0</v>
      </c>
      <c r="W1073" s="100">
        <f t="shared" ref="W1073" si="2747">I1073</f>
        <v>0</v>
      </c>
      <c r="X1073" s="100" t="b">
        <f>IF(G1073&gt;0,IF(AD1073="me","",G1073))</f>
        <v>0</v>
      </c>
      <c r="Y1073" s="201"/>
      <c r="Z1073" s="829" t="str">
        <f t="shared" ref="Z1073" si="2748">IF(G1073=0,"",IF(AD1073="me","",IF($AD$8="me","",IF(AD1073="free","warranty",IF($AD$8="yes","NVP planting:","to NVP install:")))))</f>
        <v/>
      </c>
      <c r="AA1073" s="829"/>
      <c r="AB1073" s="830" t="str">
        <f>IF(G1073=0,"",IF(AD1073="free","re-planting",IF(AD1073="me","not NVP, by",IF($AD$8="yes",(VLOOKUP(A1073,'Discount Lookup'!J:K,2)*G1073*(1-$AC$1786)*(1+$AC$1788)),IF(AD1073="NVP",(VLOOKUP(A1073,'Discount Lookup'!J:K,2)*G1073*(1-$AC$1786)*(1+$AC$1788)),IF(AD1073="free","re-planting",IF(G1073=0,"",IF($AD$8="",IF(AD1073="me","not NVP, by",IF(AD1073="",IF(G1073&gt;0,(VLOOKUP(A1073,'Discount Lookup'!J:K,2)*G1073*(1-$AC$1786)*(1+$AC$1788)),""),"")),"not NVP, by"))))))))</f>
        <v/>
      </c>
      <c r="AC1073" s="830"/>
      <c r="AD1073" s="375" t="str">
        <f t="shared" si="2703"/>
        <v/>
      </c>
      <c r="AE1073" s="833" t="str">
        <f t="shared" si="2738"/>
        <v/>
      </c>
      <c r="AF1073" s="833"/>
      <c r="AG1073" s="833"/>
      <c r="AH1073" s="91" t="str">
        <f>IF(AD1073="free",0,IF(AD1073="me","",IF(G1073&gt;0,(VLOOKUP(A1073,'Discount Lookup'!J:K,2)*G1073),"")))</f>
        <v/>
      </c>
      <c r="AI1073" s="92" t="str">
        <f t="shared" si="2692"/>
        <v/>
      </c>
      <c r="AJ1073" s="828" t="str">
        <f t="shared" ref="AJ1073" si="2749">IF(G1073=0,"",IF(AD1073="me","  delivery-only",IF($AD$8="me","  delivery-only",CONCATENATE(" $",ROUND(AI1073/G1073,2)," each"))))</f>
        <v/>
      </c>
      <c r="AK1073" s="828"/>
      <c r="AL1073" s="313" t="str">
        <f t="shared" si="2659"/>
        <v/>
      </c>
      <c r="AM1073" s="312"/>
      <c r="AN1073" s="101"/>
      <c r="AO1073" s="101"/>
      <c r="AP1073" s="101"/>
      <c r="AQ1073" s="101"/>
      <c r="AR1073" s="101"/>
      <c r="AS1073" s="101"/>
      <c r="AT1073" s="101"/>
    </row>
    <row r="1074" spans="1:46" ht="12.95" customHeight="1">
      <c r="A1074" s="468"/>
      <c r="B1074" s="149" t="s">
        <v>611</v>
      </c>
      <c r="C1074" s="118"/>
      <c r="D1074" s="118"/>
      <c r="E1074" s="119"/>
      <c r="F1074" s="711"/>
      <c r="G1074" s="358"/>
      <c r="H1074" s="745"/>
      <c r="I1074" s="119"/>
      <c r="M1074" s="108"/>
      <c r="N1074" s="122" t="s">
        <v>460</v>
      </c>
      <c r="O1074" s="123"/>
      <c r="P1074" s="124"/>
      <c r="Q1074" s="124"/>
      <c r="R1074" s="83"/>
      <c r="S1074" s="82">
        <f>E1074*G1074</f>
        <v>0</v>
      </c>
      <c r="T1074" s="540"/>
      <c r="U1074" s="83"/>
      <c r="V1074" s="100" t="b">
        <f>IF(G1074&gt;0,IF(AD1074="me","",G1074))</f>
        <v>0</v>
      </c>
      <c r="W1074" s="100"/>
      <c r="X1074" s="100"/>
      <c r="Y1074" s="201"/>
      <c r="Z1074" s="829" t="str">
        <f t="shared" si="2719"/>
        <v/>
      </c>
      <c r="AA1074" s="829"/>
      <c r="AB1074" s="830" t="str">
        <f>IF(G1074=0,"",IF(AD1074="free","re-planting",IF(AD1074="me","not NVP, by",IF($AD$8="yes",(VLOOKUP(A1074,'Discount Lookup'!J:K,2)*G1074*(1-$AC$1786)*(1+$AC$1788)),IF(AD1074="NVP",(VLOOKUP(A1074,'Discount Lookup'!J:K,2)*G1074*(1-$AC$1786)*(1+$AC$1788)),IF(AD1074="free","re-planting",IF(G1074=0,"",IF($AD$8="",IF(AD1074="me","not NVP, by",IF(AD1074="",IF(G1074&gt;0,(VLOOKUP(A1074,'Discount Lookup'!J:K,2)*G1074*(1-$AC$1786)*(1+$AC$1788)),""),"")),"not NVP, by"))))))))</f>
        <v/>
      </c>
      <c r="AC1074" s="830"/>
      <c r="AD1074" s="375" t="str">
        <f t="shared" si="2703"/>
        <v/>
      </c>
      <c r="AE1074" s="833" t="str">
        <f t="shared" si="2738"/>
        <v/>
      </c>
      <c r="AF1074" s="833"/>
      <c r="AG1074" s="833"/>
      <c r="AH1074" s="91" t="str">
        <f>IF(AD1074="free",0,IF(AD1074="me","",IF(G1074&gt;0,(VLOOKUP(A1074,'Discount Lookup'!J:K,2)*G1074),"")))</f>
        <v/>
      </c>
      <c r="AI1074" s="92" t="str">
        <f t="shared" si="2692"/>
        <v/>
      </c>
      <c r="AJ1074" s="828" t="str">
        <f t="shared" si="2721"/>
        <v/>
      </c>
      <c r="AK1074" s="828"/>
      <c r="AL1074" s="313" t="str">
        <f t="shared" si="2659"/>
        <v/>
      </c>
      <c r="AM1074" s="312"/>
      <c r="AN1074" s="101"/>
      <c r="AO1074" s="101"/>
      <c r="AP1074" s="101"/>
      <c r="AQ1074" s="101"/>
      <c r="AR1074" s="101"/>
      <c r="AS1074" s="101"/>
      <c r="AT1074" s="101"/>
    </row>
    <row r="1075" spans="1:46" ht="12.95" customHeight="1">
      <c r="A1075" s="852" t="s">
        <v>1537</v>
      </c>
      <c r="B1075" s="844"/>
      <c r="C1075" s="844"/>
      <c r="D1075" s="844"/>
      <c r="E1075" s="844"/>
      <c r="F1075" s="844"/>
      <c r="G1075" s="844"/>
      <c r="H1075" s="776" t="s">
        <v>602</v>
      </c>
      <c r="I1075" s="88" t="s">
        <v>79</v>
      </c>
      <c r="J1075" s="86"/>
      <c r="K1075" s="603" t="s">
        <v>45</v>
      </c>
      <c r="L1075" s="601" t="s">
        <v>46</v>
      </c>
      <c r="M1075" s="86"/>
      <c r="N1075" s="87" t="s">
        <v>69</v>
      </c>
      <c r="O1075" s="87"/>
      <c r="P1075" s="87"/>
      <c r="Q1075" s="87"/>
      <c r="R1075" s="835" t="s">
        <v>49</v>
      </c>
      <c r="S1075" s="835"/>
      <c r="T1075" s="835"/>
      <c r="U1075" s="835"/>
      <c r="V1075" s="100" t="b">
        <f>IF(G1075&gt;0,IF(AD1075="me","",G1075))</f>
        <v>0</v>
      </c>
      <c r="W1075" s="100"/>
      <c r="X1075" s="100"/>
      <c r="Y1075" s="201"/>
      <c r="Z1075" s="838" t="str">
        <f>IF(G1075=0,"",IF(AD1075="me","",IF($AD$8="me","",IF(AD1075="free","warranty",IF($AD$8="yes","NVP planting:","to NVP install:")))))</f>
        <v/>
      </c>
      <c r="AA1075" s="838"/>
      <c r="AB1075" s="830" t="str">
        <f>IF(G1075=0,"",IF(AD1075="free","re-planting",IF(AD1075="me","not NVP, by",IF($AD$8="yes",(VLOOKUP(A1075,'Discount Lookup'!J:K,2)*G1075*(1-$AC$1786)*(1+$AC$1788)),IF(AD1075="NVP",(VLOOKUP(A1075,'Discount Lookup'!J:K,2)*G1075*(1-$AC$1786)*(1+$AC$1788)),IF(AD1075="free","re-planting",IF(G1075=0,"",IF($AD$8="",IF(AD1075="me","not NVP, by",IF(AD1075="",IF(G1075&gt;0,(VLOOKUP(A1075,'Discount Lookup'!J:K,2)*G1075*(1-$AC$1786)*(1+$AC$1788)),""),"")),"not NVP, by"))))))))</f>
        <v/>
      </c>
      <c r="AC1075" s="830"/>
      <c r="AD1075" s="375" t="str">
        <f t="shared" si="2703"/>
        <v/>
      </c>
      <c r="AE1075" s="833" t="str">
        <f t="shared" si="2738"/>
        <v/>
      </c>
      <c r="AF1075" s="833"/>
      <c r="AG1075" s="833"/>
      <c r="AH1075" s="91">
        <f>IF(AD1075="free",0,IF(AD1075="me",0,IF(G1075&gt;0,(VLOOKUP(A1075,'Discount Lookup'!J:K,2)*G1075),0)))</f>
        <v>0</v>
      </c>
      <c r="AI1075" s="92" t="str">
        <f t="shared" si="2692"/>
        <v/>
      </c>
      <c r="AJ1075" s="828" t="str">
        <f>IF(G1075=0,"",IF(AD1075="me","  delivery-only",CONCATENATE(" $",ROUND(AI1075/G1075,2)," each")))</f>
        <v/>
      </c>
      <c r="AK1075" s="828"/>
      <c r="AL1075" s="313" t="str">
        <f t="shared" si="2659"/>
        <v/>
      </c>
      <c r="AM1075" s="312"/>
      <c r="AN1075" s="101"/>
      <c r="AO1075" s="101"/>
      <c r="AP1075" s="101"/>
      <c r="AQ1075" s="101"/>
      <c r="AR1075" s="101"/>
      <c r="AS1075" s="101"/>
      <c r="AT1075" s="101"/>
    </row>
    <row r="1076" spans="1:46" ht="12.95" customHeight="1">
      <c r="A1076" s="419">
        <v>3</v>
      </c>
      <c r="B1076" s="87" t="s">
        <v>50</v>
      </c>
      <c r="C1076" s="399" t="s">
        <v>135</v>
      </c>
      <c r="D1076" s="129" t="s">
        <v>86</v>
      </c>
      <c r="E1076" s="98">
        <v>28.95</v>
      </c>
      <c r="F1076" s="705" t="s">
        <v>1306</v>
      </c>
      <c r="G1076" s="357">
        <v>0</v>
      </c>
      <c r="H1076" s="704" t="str">
        <f t="shared" ref="H1076" si="2750">IF(G1076=0,"",IF(F1076="Qty=",IF(G1076=1,"plant","plants"),IF(F1076&gt;0.0001,"warranty","Error")))</f>
        <v/>
      </c>
      <c r="I1076" s="98">
        <f t="shared" ref="I1076" si="2751">IF(F1076="Qty=",(E1076*G1076),((E1076*(1-F1076))*G1076))</f>
        <v>0</v>
      </c>
      <c r="J1076" s="98">
        <f>IF(H1076="warranty",0,(I1076*($J$1782)))</f>
        <v>0</v>
      </c>
      <c r="K1076" s="831">
        <f t="shared" ref="K1076" si="2752">I1076+J1076</f>
        <v>0</v>
      </c>
      <c r="L1076" s="831"/>
      <c r="M1076" s="832" t="str">
        <f>IF($H$1784=0,"",IF(G1076=0,"",IF(F1076="Qty=",CONCATENATE("$",ROUND(K1076*(1-$H$1784),2)," with ",($H$1784*100),"% discount"),CONCATENATE("$",ROUND(K1076*(1-$H$1784),2)," with ",(($H$1784*100+F1076*100)-($H$1784*100*F1076)),IF(F1076&gt;0,"% discounts",IF($H$1781&gt;0,"% discounts","% discount"))))))</f>
        <v/>
      </c>
      <c r="N1076" s="832"/>
      <c r="O1076" s="832"/>
      <c r="P1076" s="832"/>
      <c r="Q1076" s="832"/>
      <c r="R1076" s="832"/>
      <c r="S1076" s="303">
        <f t="shared" ref="S1076" si="2753">E1076*G1076</f>
        <v>0</v>
      </c>
      <c r="T1076" s="541">
        <f>VLOOKUP(A1076,'Discount Lookup'!D:E,2,FALSE)*G1076</f>
        <v>0</v>
      </c>
      <c r="U1076" s="83">
        <f>VLOOKUP(A1076,'Discount Lookup'!G:H,2,FALSE)*G1076</f>
        <v>0</v>
      </c>
      <c r="V1076" s="100">
        <f>E1076*($J$1782)*G1076</f>
        <v>0</v>
      </c>
      <c r="W1076" s="100">
        <f t="shared" ref="W1076" si="2754">I1076</f>
        <v>0</v>
      </c>
      <c r="X1076" s="100" t="b">
        <f>IF(G1076&gt;0,IF(AD1076="me","",G1076))</f>
        <v>0</v>
      </c>
      <c r="Y1076" s="201"/>
      <c r="Z1076" s="838" t="str">
        <f>IF(G1076=0,"",IF(AD1076="me","",IF($AD$8="me","",IF(AD1076="free","warranty",IF($AD$8="yes","NVP planting:","to NVP install:")))))</f>
        <v/>
      </c>
      <c r="AA1076" s="838"/>
      <c r="AB1076" s="830" t="str">
        <f>IF(G1076=0,"",IF(AD1076="free","re-planting",IF(AD1076="me","not NVP, by",IF($AD$8="yes",(VLOOKUP(A1076,'Discount Lookup'!J:K,2)*G1076*(1-$AC$1786)*(1+$AC$1788)),IF(AD1076="NVP",(VLOOKUP(A1076,'Discount Lookup'!J:K,2)*G1076*(1-$AC$1786)*(1+$AC$1788)),IF(AD1076="free","re-planting",IF(G1076=0,"",IF($AD$8="",IF(AD1076="me","not NVP, by",IF(AD1076="",IF(G1076&gt;0,(VLOOKUP(A1076,'Discount Lookup'!J:K,2)*G1076*(1-$AC$1786)*(1+$AC$1788)),""),"")),"not NVP, by"))))))))</f>
        <v/>
      </c>
      <c r="AC1076" s="830"/>
      <c r="AD1076" s="375" t="str">
        <f t="shared" si="2703"/>
        <v/>
      </c>
      <c r="AE1076" s="833" t="str">
        <f t="shared" si="2738"/>
        <v/>
      </c>
      <c r="AF1076" s="833"/>
      <c r="AG1076" s="833"/>
      <c r="AH1076" s="91">
        <f>IF(AD1076="free",0,IF(AD1076="me",0,IF(G1076&gt;0,(VLOOKUP(A1076,'Discount Lookup'!J:K,2)*G1076),0)))</f>
        <v>0</v>
      </c>
      <c r="AI1076" s="92" t="str">
        <f t="shared" si="2692"/>
        <v/>
      </c>
      <c r="AJ1076" s="828" t="str">
        <f>IF(G1076=0,"",IF(AD1076="me","  delivery-only",CONCATENATE(" $",ROUND(AI1076/G1076,2)," each")))</f>
        <v/>
      </c>
      <c r="AK1076" s="828"/>
      <c r="AL1076" s="313" t="str">
        <f t="shared" si="2659"/>
        <v/>
      </c>
      <c r="AM1076" s="312"/>
      <c r="AN1076" s="101"/>
      <c r="AO1076" s="101"/>
      <c r="AP1076" s="101"/>
      <c r="AQ1076" s="101"/>
      <c r="AR1076" s="101"/>
      <c r="AS1076" s="101"/>
      <c r="AT1076" s="101"/>
    </row>
    <row r="1077" spans="1:46" ht="12.95" customHeight="1">
      <c r="A1077" s="482"/>
      <c r="B1077" s="103" t="s">
        <v>612</v>
      </c>
      <c r="G1077" s="361"/>
      <c r="H1077" s="746"/>
      <c r="M1077" s="48"/>
      <c r="N1077" s="122" t="s">
        <v>460</v>
      </c>
      <c r="O1077" s="48"/>
      <c r="P1077" s="48"/>
      <c r="Q1077" s="48"/>
      <c r="R1077" s="48"/>
      <c r="S1077" s="82">
        <f>E1077*G1077</f>
        <v>0</v>
      </c>
      <c r="T1077" s="540"/>
      <c r="U1077" s="83"/>
      <c r="V1077" s="100" t="b">
        <f>IF(G1077&gt;0,IF(AD1077="me","",G1077))</f>
        <v>0</v>
      </c>
      <c r="W1077" s="100"/>
      <c r="X1077" s="100"/>
      <c r="Y1077" s="201"/>
      <c r="Z1077" s="838" t="str">
        <f>IF(G1077=0,"",IF(AD1077="me","",IF($AD$8="me","",IF(AD1077="free","warranty",IF($AD$8="yes","NVP planting:","to NVP install:")))))</f>
        <v/>
      </c>
      <c r="AA1077" s="838"/>
      <c r="AB1077" s="830" t="str">
        <f>IF(G1077=0,"",IF(AD1077="free","re-planting",IF(AD1077="me","not NVP, by",IF($AD$8="yes",(VLOOKUP(A1077,'Discount Lookup'!J:K,2)*G1077*(1-$AC$1786)*(1+$AC$1788)),IF(AD1077="NVP",(VLOOKUP(A1077,'Discount Lookup'!J:K,2)*G1077*(1-$AC$1786)*(1+$AC$1788)),IF(AD1077="free","re-planting",IF(G1077=0,"",IF($AD$8="",IF(AD1077="me","not NVP, by",IF(AD1077="",IF(G1077&gt;0,(VLOOKUP(A1077,'Discount Lookup'!J:K,2)*G1077*(1-$AC$1786)*(1+$AC$1788)),""),"")),"not NVP, by"))))))))</f>
        <v/>
      </c>
      <c r="AC1077" s="830"/>
      <c r="AD1077" s="375" t="str">
        <f t="shared" si="2703"/>
        <v/>
      </c>
      <c r="AE1077" s="833" t="str">
        <f t="shared" si="2738"/>
        <v/>
      </c>
      <c r="AF1077" s="833"/>
      <c r="AG1077" s="833"/>
      <c r="AH1077" s="91">
        <f>IF(AD1077="free",0,IF(AD1077="me",0,IF(G1077&gt;0,(VLOOKUP(A1077,'Discount Lookup'!J:K,2)*G1077),0)))</f>
        <v>0</v>
      </c>
      <c r="AI1077" s="92" t="str">
        <f t="shared" si="2692"/>
        <v/>
      </c>
      <c r="AJ1077" s="828" t="str">
        <f>IF(G1077=0,"",IF(AD1077="me","  delivery-only",CONCATENATE(" $",ROUND(AI1077/G1077,2)," each")))</f>
        <v/>
      </c>
      <c r="AK1077" s="828"/>
      <c r="AL1077" s="313" t="str">
        <f t="shared" si="2659"/>
        <v/>
      </c>
      <c r="AM1077" s="312"/>
      <c r="AN1077" s="101"/>
      <c r="AO1077" s="101"/>
      <c r="AP1077" s="101"/>
      <c r="AQ1077" s="101"/>
      <c r="AR1077" s="101"/>
      <c r="AS1077" s="101"/>
      <c r="AT1077" s="101"/>
    </row>
    <row r="1078" spans="1:46" ht="12.95" customHeight="1">
      <c r="A1078" s="896" t="s">
        <v>613</v>
      </c>
      <c r="B1078" s="897"/>
      <c r="C1078" s="897"/>
      <c r="D1078" s="897"/>
      <c r="E1078" s="897"/>
      <c r="F1078" s="897"/>
      <c r="G1078" s="897"/>
      <c r="H1078" s="776" t="s">
        <v>614</v>
      </c>
      <c r="I1078" s="88" t="s">
        <v>79</v>
      </c>
      <c r="J1078" s="86"/>
      <c r="K1078" s="603" t="s">
        <v>45</v>
      </c>
      <c r="L1078" s="601" t="s">
        <v>46</v>
      </c>
      <c r="M1078" s="86"/>
      <c r="N1078" s="87" t="s">
        <v>69</v>
      </c>
      <c r="O1078" s="87"/>
      <c r="P1078" s="88"/>
      <c r="Q1078" s="88"/>
      <c r="R1078" s="86"/>
      <c r="S1078" s="125"/>
      <c r="T1078" s="543"/>
      <c r="U1078" s="112"/>
      <c r="V1078" s="100" t="b">
        <f>IF(G1078&gt;0,IF(AD1078="me","",G1078))</f>
        <v>0</v>
      </c>
      <c r="W1078" s="100"/>
      <c r="X1078" s="100"/>
      <c r="Y1078" s="201"/>
      <c r="Z1078" s="829" t="str">
        <f t="shared" si="2719"/>
        <v/>
      </c>
      <c r="AA1078" s="829"/>
      <c r="AB1078" s="830" t="str">
        <f>IF(G1078=0,"",IF(AD1078="free","re-planting",IF(AD1078="me","not NVP, by",IF($AD$8="yes",(VLOOKUP(A1078,'Discount Lookup'!J:K,2)*G1078*(1-$AC$1786)*(1+$AC$1788)),IF(AD1078="NVP",(VLOOKUP(A1078,'Discount Lookup'!J:K,2)*G1078*(1-$AC$1786)*(1+$AC$1788)),IF(AD1078="free","re-planting",IF(G1078=0,"",IF($AD$8="",IF(AD1078="me","not NVP, by",IF(AD1078="",IF(G1078&gt;0,(VLOOKUP(A1078,'Discount Lookup'!J:K,2)*G1078*(1-$AC$1786)*(1+$AC$1788)),""),"")),"not NVP, by"))))))))</f>
        <v/>
      </c>
      <c r="AC1078" s="830"/>
      <c r="AD1078" s="375" t="str">
        <f t="shared" si="2703"/>
        <v/>
      </c>
      <c r="AE1078" s="833" t="str">
        <f t="shared" ref="AE1078:AE1080" si="2755">IF(G1078&gt;0,(CONCATENATE((G1078)," quantity, ",(A1078)," ",B1078)),"")</f>
        <v/>
      </c>
      <c r="AF1078" s="833"/>
      <c r="AG1078" s="833"/>
      <c r="AH1078" s="91">
        <f>IF(AD1078="free",0,IF(AD1078="me",0,IF(G1078&gt;0,(VLOOKUP(A1078,'Discount Lookup'!J:K,2)*G1078),0)))</f>
        <v>0</v>
      </c>
      <c r="AI1078" s="92" t="str">
        <f t="shared" si="2692"/>
        <v/>
      </c>
      <c r="AJ1078" s="828" t="str">
        <f t="shared" si="2721"/>
        <v/>
      </c>
      <c r="AK1078" s="828"/>
      <c r="AL1078" s="313" t="str">
        <f t="shared" si="2659"/>
        <v/>
      </c>
      <c r="AM1078" s="312"/>
      <c r="AN1078" s="101"/>
      <c r="AO1078" s="101"/>
      <c r="AP1078" s="101"/>
      <c r="AQ1078" s="101"/>
      <c r="AR1078" s="101"/>
      <c r="AS1078" s="101"/>
      <c r="AT1078" s="101"/>
    </row>
    <row r="1079" spans="1:46" ht="12.95" customHeight="1">
      <c r="A1079" s="419">
        <v>2</v>
      </c>
      <c r="B1079" s="87" t="s">
        <v>50</v>
      </c>
      <c r="C1079" s="399" t="s">
        <v>1225</v>
      </c>
      <c r="D1079" s="129" t="s">
        <v>87</v>
      </c>
      <c r="E1079" s="98">
        <v>26.95</v>
      </c>
      <c r="F1079" s="705" t="s">
        <v>1306</v>
      </c>
      <c r="G1079" s="357">
        <v>0</v>
      </c>
      <c r="H1079" s="704" t="str">
        <f>IF(G1079=0,"",IF(F1079="Qty=",IF(G1079=1,"plant","plants"),IF(F1079&gt;0.0001,"warranty","Error")))</f>
        <v/>
      </c>
      <c r="I1079" s="98">
        <f>IF(F1079="Qty=",(E1079*G1079),((E1079*(1-F1079))*G1079))</f>
        <v>0</v>
      </c>
      <c r="J1079" s="98">
        <f>IF(H1079="warranty",0,(I1079*($J$1782)))</f>
        <v>0</v>
      </c>
      <c r="K1079" s="831">
        <f t="shared" ref="K1079" si="2756">I1079+J1079</f>
        <v>0</v>
      </c>
      <c r="L1079" s="831"/>
      <c r="M1079" s="832" t="str">
        <f>IF($H$1784=0,"",IF(G1079=0,"",IF(F1079="Qty=",CONCATENATE("$",ROUND(K1079*(1-$H$1784),2)," with ",($H$1784*100),"% discount"),CONCATENATE("$",ROUND(K1079*(1-$H$1784),2)," with ",(($H$1784*100+F1079*100)-($H$1784*100*F1079)),IF(F1079&gt;0,"% discounts",IF($H$1781&gt;0,"% discounts","% discount"))))))</f>
        <v/>
      </c>
      <c r="N1079" s="832"/>
      <c r="O1079" s="832"/>
      <c r="P1079" s="832"/>
      <c r="Q1079" s="832"/>
      <c r="R1079" s="832"/>
      <c r="S1079" s="303">
        <f>E1079*G1079</f>
        <v>0</v>
      </c>
      <c r="T1079" s="541">
        <f>VLOOKUP(A1079,'Discount Lookup'!D:E,2,FALSE)*G1079</f>
        <v>0</v>
      </c>
      <c r="U1079" s="83">
        <f>VLOOKUP(A1079,'Discount Lookup'!G:H,2,FALSE)*G1079</f>
        <v>0</v>
      </c>
      <c r="V1079" s="100">
        <f>E1079*($J$1782)*G1079</f>
        <v>0</v>
      </c>
      <c r="W1079" s="100">
        <f>I1079</f>
        <v>0</v>
      </c>
      <c r="X1079" s="100" t="b">
        <f>IF(G1079&gt;0,IF(AD1079="me","",G1079))</f>
        <v>0</v>
      </c>
      <c r="Y1079" s="201"/>
      <c r="Z1079" s="829" t="str">
        <f>IF(G1079=0,"",IF(AD1079="me","",IF($AD$8="me","",IF(AD1079="free","warranty",IF($AD$8="yes","NVP planting:","to NVP install:")))))</f>
        <v/>
      </c>
      <c r="AA1079" s="829"/>
      <c r="AB1079" s="830" t="str">
        <f>IF(G1079=0,"",IF(AD1079="free","re-planting",IF(AD1079="me","not NVP, by",IF($AD$8="yes",(VLOOKUP(A1079,'Discount Lookup'!J:K,2)*G1079*(1-$AC$1786)*(1+$AC$1788)),IF(AD1079="NVP",(VLOOKUP(A1079,'Discount Lookup'!J:K,2)*G1079*(1-$AC$1786)*(1+$AC$1788)),IF(AD1079="free","re-planting",IF(G1079=0,"",IF($AD$8="",IF(AD1079="me","not NVP, by",IF(AD1079="",IF(G1079&gt;0,(VLOOKUP(A1079,'Discount Lookup'!J:K,2)*G1079*(1-$AC$1786)*(1+$AC$1788)),""),"")),"not NVP, by"))))))))</f>
        <v/>
      </c>
      <c r="AC1079" s="830"/>
      <c r="AD1079" s="375" t="str">
        <f t="shared" si="2703"/>
        <v/>
      </c>
      <c r="AE1079" s="833" t="str">
        <f>IF(G1079&gt;0,(CONCATENATE((G1079)," quantity, ",(A1079)," ",B1079)),"")</f>
        <v/>
      </c>
      <c r="AF1079" s="833"/>
      <c r="AG1079" s="833"/>
      <c r="AH1079" s="91">
        <f>IF(AD1079="free",0,IF(AD1079="me",0,IF(G1079&gt;0,(VLOOKUP(A1079,'Discount Lookup'!J:K,2)*G1079),0)))</f>
        <v>0</v>
      </c>
      <c r="AI1079" s="92" t="str">
        <f t="shared" si="2692"/>
        <v/>
      </c>
      <c r="AJ1079" s="828" t="str">
        <f>IF(G1079=0,"",IF(AD1079="me","  delivery-only",IF($AD$8="me","  delivery-only",CONCATENATE(" $",ROUND(AI1079/G1079,2)," each"))))</f>
        <v/>
      </c>
      <c r="AK1079" s="828"/>
      <c r="AL1079" s="313" t="str">
        <f t="shared" si="2659"/>
        <v/>
      </c>
      <c r="AM1079" s="312"/>
      <c r="AN1079" s="101"/>
      <c r="AO1079" s="101"/>
      <c r="AP1079" s="101"/>
      <c r="AQ1079" s="101"/>
      <c r="AR1079" s="101"/>
      <c r="AS1079" s="101"/>
      <c r="AT1079" s="101"/>
    </row>
    <row r="1080" spans="1:46" ht="12.95" customHeight="1">
      <c r="A1080" s="482"/>
      <c r="B1080" s="149" t="s">
        <v>615</v>
      </c>
      <c r="G1080" s="361"/>
      <c r="H1080" s="749"/>
      <c r="M1080" s="48"/>
      <c r="N1080" s="48"/>
      <c r="O1080" s="48"/>
      <c r="P1080" s="111"/>
      <c r="Q1080" s="841" t="s">
        <v>125</v>
      </c>
      <c r="R1080" s="841"/>
      <c r="S1080" s="841"/>
      <c r="T1080" s="841"/>
      <c r="U1080" s="841"/>
      <c r="V1080" s="841"/>
      <c r="W1080" s="100"/>
      <c r="X1080" s="100"/>
      <c r="Y1080" s="201"/>
      <c r="Z1080" s="829" t="str">
        <f t="shared" si="2719"/>
        <v/>
      </c>
      <c r="AA1080" s="829"/>
      <c r="AB1080" s="830" t="str">
        <f>IF(G1080=0,"",IF(AD1080="free","re-planting",IF(AD1080="me","not NVP, by",IF($AD$8="yes",(VLOOKUP(A1080,'Discount Lookup'!J:K,2)*G1080*(1-$AC$1786)*(1+$AC$1788)),IF(AD1080="NVP",(VLOOKUP(A1080,'Discount Lookup'!J:K,2)*G1080*(1-$AC$1786)*(1+$AC$1788)),IF(AD1080="free","re-planting",IF(G1080=0,"",IF($AD$8="",IF(AD1080="me","not NVP, by",IF(AD1080="",IF(G1080&gt;0,(VLOOKUP(A1080,'Discount Lookup'!J:K,2)*G1080*(1-$AC$1786)*(1+$AC$1788)),""),"")),"not NVP, by"))))))))</f>
        <v/>
      </c>
      <c r="AC1080" s="830"/>
      <c r="AD1080" s="375" t="str">
        <f t="shared" si="2703"/>
        <v/>
      </c>
      <c r="AE1080" s="833" t="str">
        <f t="shared" si="2755"/>
        <v/>
      </c>
      <c r="AF1080" s="833"/>
      <c r="AG1080" s="833"/>
      <c r="AH1080" s="91">
        <f>IF(AD1080="free",0,IF(AD1080="me",0,IF(G1080&gt;0,(VLOOKUP(A1080,'Discount Lookup'!J:K,2)*G1080),0)))</f>
        <v>0</v>
      </c>
      <c r="AI1080" s="92" t="str">
        <f t="shared" ref="AI1080:AI1111" si="2757">IF(G1080=0,"",IF(AD1080="free",(K1080*(1-$H$1784)),IF($AD$8="me",(K1080*(1-$H$1784)),IF(AD1080="me",(K1080*(1-$H$1784)),(K1080*(1-$H$1784))+AB1080))))</f>
        <v/>
      </c>
      <c r="AJ1080" s="828" t="str">
        <f t="shared" si="2721"/>
        <v/>
      </c>
      <c r="AK1080" s="828"/>
      <c r="AL1080" s="313" t="str">
        <f t="shared" si="2659"/>
        <v/>
      </c>
      <c r="AM1080" s="312"/>
      <c r="AN1080" s="101"/>
      <c r="AO1080" s="101"/>
      <c r="AP1080" s="101"/>
      <c r="AQ1080" s="101"/>
      <c r="AR1080" s="101"/>
      <c r="AS1080" s="101"/>
      <c r="AT1080" s="101"/>
    </row>
    <row r="1081" spans="1:46" ht="12.95" customHeight="1">
      <c r="A1081" s="896" t="s">
        <v>616</v>
      </c>
      <c r="B1081" s="897"/>
      <c r="C1081" s="897"/>
      <c r="D1081" s="897"/>
      <c r="E1081" s="897"/>
      <c r="F1081" s="897"/>
      <c r="G1081" s="897"/>
      <c r="H1081" s="776" t="s">
        <v>617</v>
      </c>
      <c r="I1081" s="88" t="s">
        <v>79</v>
      </c>
      <c r="J1081" s="86"/>
      <c r="K1081" s="603" t="s">
        <v>45</v>
      </c>
      <c r="L1081" s="601" t="s">
        <v>46</v>
      </c>
      <c r="M1081" s="86"/>
      <c r="N1081" s="87" t="s">
        <v>69</v>
      </c>
      <c r="O1081" s="87"/>
      <c r="P1081" s="88"/>
      <c r="Q1081" s="88"/>
      <c r="R1081" s="86"/>
      <c r="S1081" s="125"/>
      <c r="T1081" s="543"/>
      <c r="U1081" s="112"/>
      <c r="V1081" s="100"/>
      <c r="W1081" s="100"/>
      <c r="X1081" s="100"/>
      <c r="Y1081" s="790"/>
      <c r="Z1081" s="838" t="str">
        <f>IF(G1081=0,"",IF(AD1081="me","",IF($AD$8="me","",IF(AD1081="free","warranty",IF($AD$8="yes","NVP planting:","to NVP install:")))))</f>
        <v/>
      </c>
      <c r="AA1081" s="838"/>
      <c r="AB1081" s="830" t="str">
        <f>IF(G1081=0,"",IF(AD1081="free","re-planting",IF(AD1081="me","not NVP, by",IF($AD$8="yes",(VLOOKUP(A1081,'Discount Lookup'!J:K,2)*G1081*(1-$AC$1786)*(1+$AC$1788)),IF(AD1081="NVP",(VLOOKUP(A1081,'Discount Lookup'!J:K,2)*G1081*(1-$AC$1786)*(1+$AC$1788)),IF(AD1081="free","re-planting",IF(G1081=0,"",IF($AD$8="",IF(AD1081="me","not NVP, by",IF(AD1081="",IF(G1081&gt;0,(VLOOKUP(A1081,'Discount Lookup'!J:K,2)*G1081*(1-$AC$1786)*(1+$AC$1788)),""),"")),"not NVP, by"))))))))</f>
        <v/>
      </c>
      <c r="AC1081" s="830"/>
      <c r="AD1081" s="375" t="str">
        <f>IF(G1081=0,"",IF($AD$8="me","me",IF(H1081="warranty","free",IF($AD$8="yes","NVP",""))))</f>
        <v/>
      </c>
      <c r="AE1081" s="833" t="str">
        <f>IF(G1081&gt;0,(CONCATENATE((G1081)," quantity, ",(A1081)," ",B1081)),"")</f>
        <v/>
      </c>
      <c r="AF1081" s="833"/>
      <c r="AG1081" s="833"/>
      <c r="AH1081" s="91" t="str">
        <f>IF(AD1081="free",0,IF(AD1081="me","",IF(G1081&gt;0,(VLOOKUP(A1081,'Discount Lookup'!J:K,2)*G1081),"")))</f>
        <v/>
      </c>
      <c r="AI1081" s="92" t="str">
        <f t="shared" si="2757"/>
        <v/>
      </c>
      <c r="AJ1081" s="828" t="str">
        <f>IF(G1081=0,"",IF(AD1081="me","  delivery-only",CONCATENATE(" $",ROUND(AI1081/G1081,2)," each")))</f>
        <v/>
      </c>
      <c r="AK1081" s="828"/>
      <c r="AL1081" s="313" t="str">
        <f t="shared" si="2659"/>
        <v/>
      </c>
      <c r="AM1081" s="312"/>
      <c r="AN1081" s="101"/>
      <c r="AO1081" s="101"/>
      <c r="AP1081" s="101"/>
      <c r="AQ1081" s="101"/>
      <c r="AR1081" s="101"/>
      <c r="AS1081" s="101"/>
      <c r="AT1081" s="101"/>
    </row>
    <row r="1082" spans="1:46" ht="12.95" customHeight="1">
      <c r="A1082" s="419">
        <v>3</v>
      </c>
      <c r="B1082" s="87" t="s">
        <v>50</v>
      </c>
      <c r="C1082" s="399" t="s">
        <v>1659</v>
      </c>
      <c r="D1082" s="129" t="s">
        <v>87</v>
      </c>
      <c r="E1082" s="98">
        <v>43.95</v>
      </c>
      <c r="F1082" s="705" t="s">
        <v>1306</v>
      </c>
      <c r="G1082" s="357">
        <v>0</v>
      </c>
      <c r="H1082" s="704" t="str">
        <f>IF(G1082=0,"",IF(F1082="Qty=",IF(G1082=1,"plant","plants"),IF(F1082&gt;0.0001,"warranty","Error")))</f>
        <v/>
      </c>
      <c r="I1082" s="98">
        <f>IF(F1082="Qty=",(E1082*G1082),((E1082*(1-F1082))*G1082))</f>
        <v>0</v>
      </c>
      <c r="J1082" s="98">
        <f>IF(H1082="warranty",0,(I1082*($J$1782)))</f>
        <v>0</v>
      </c>
      <c r="K1082" s="831">
        <f t="shared" ref="K1082" si="2758">I1082+J1082</f>
        <v>0</v>
      </c>
      <c r="L1082" s="831"/>
      <c r="M1082" s="832" t="str">
        <f>IF($H$1784=0,"",IF(G1082=0,"",IF(F1082="Qty=",CONCATENATE("$",ROUND(K1082*(1-$H$1784),2)," with ",($H$1784*100),"% discount"),CONCATENATE("$",ROUND(K1082*(1-$H$1784),2)," with ",(($H$1784*100+F1082*100)-($H$1784*100*F1082)),IF(F1082&gt;0,"% discounts",IF($H$1781&gt;0,"% discounts","% discount"))))))</f>
        <v/>
      </c>
      <c r="N1082" s="832"/>
      <c r="O1082" s="832"/>
      <c r="P1082" s="832"/>
      <c r="Q1082" s="832"/>
      <c r="R1082" s="832"/>
      <c r="S1082" s="303">
        <f>E1082*G1082</f>
        <v>0</v>
      </c>
      <c r="T1082" s="541">
        <f>VLOOKUP(A1082,'Discount Lookup'!D:E,2,FALSE)*G1082</f>
        <v>0</v>
      </c>
      <c r="U1082" s="83">
        <f>VLOOKUP(A1082,'Discount Lookup'!G:H,2,FALSE)*G1082</f>
        <v>0</v>
      </c>
      <c r="V1082" s="100">
        <f>E1082*($J$1782)*G1082</f>
        <v>0</v>
      </c>
      <c r="W1082" s="100">
        <f>I1082</f>
        <v>0</v>
      </c>
      <c r="X1082" s="100" t="b">
        <f>IF(G1082&gt;0,IF(AD1082="me","",G1082))</f>
        <v>0</v>
      </c>
      <c r="Y1082" s="790"/>
      <c r="Z1082" s="838" t="str">
        <f>IF(G1082=0,"",IF(AD1082="me","",IF($AD$8="me","",IF(AD1082="free","warranty",IF($AD$8="yes","NVP planting:","to NVP install:")))))</f>
        <v/>
      </c>
      <c r="AA1082" s="838"/>
      <c r="AB1082" s="830" t="str">
        <f>IF(G1082=0,"",IF(AD1082="free","re-planting",IF(AD1082="me","not NVP, by",IF($AD$8="yes",(VLOOKUP(A1082,'Discount Lookup'!J:K,2)*G1082*(1-$AC$1786)*(1+$AC$1788)),IF(AD1082="NVP",(VLOOKUP(A1082,'Discount Lookup'!J:K,2)*G1082*(1-$AC$1786)*(1+$AC$1788)),IF(AD1082="free","re-planting",IF(G1082=0,"",IF($AD$8="",IF(AD1082="me","not NVP, by",IF(AD1082="",IF(G1082&gt;0,(VLOOKUP(A1082,'Discount Lookup'!J:K,2)*G1082*(1-$AC$1786)*(1+$AC$1788)),""),"")),"not NVP, by"))))))))</f>
        <v/>
      </c>
      <c r="AC1082" s="830"/>
      <c r="AD1082" s="375" t="str">
        <f>IF(G1082=0,"",IF($AD$8="me","me",IF(H1082="warranty","free",IF($AD$8="yes","NVP",""))))</f>
        <v/>
      </c>
      <c r="AE1082" s="833" t="str">
        <f>IF(G1082&gt;0,(CONCATENATE((G1082)," quantity, ",(A1082)," ",B1082)),"")</f>
        <v/>
      </c>
      <c r="AF1082" s="833"/>
      <c r="AG1082" s="833"/>
      <c r="AH1082" s="91" t="str">
        <f>IF(AD1082="free",0,IF(AD1082="me","",IF(G1082&gt;0,(VLOOKUP(A1082,'Discount Lookup'!J:K,2)*G1082),"")))</f>
        <v/>
      </c>
      <c r="AI1082" s="92" t="str">
        <f t="shared" si="2757"/>
        <v/>
      </c>
      <c r="AJ1082" s="828" t="str">
        <f>IF(G1082=0,"",IF(AD1082="me","  delivery-only",CONCATENATE(" $",ROUND(AI1082/G1082,2)," each")))</f>
        <v/>
      </c>
      <c r="AK1082" s="828"/>
      <c r="AL1082" s="313" t="str">
        <f t="shared" si="2659"/>
        <v/>
      </c>
      <c r="AM1082" s="312"/>
      <c r="AN1082" s="101"/>
      <c r="AO1082" s="101"/>
      <c r="AP1082" s="101"/>
      <c r="AQ1082" s="101"/>
      <c r="AR1082" s="101"/>
      <c r="AS1082" s="101"/>
      <c r="AT1082" s="101"/>
    </row>
    <row r="1083" spans="1:46" ht="12.95" customHeight="1">
      <c r="A1083" s="468"/>
      <c r="B1083" s="149" t="s">
        <v>1644</v>
      </c>
      <c r="C1083" s="117"/>
      <c r="D1083" s="118"/>
      <c r="E1083" s="119"/>
      <c r="F1083" s="711"/>
      <c r="G1083" s="356"/>
      <c r="H1083" s="745"/>
      <c r="I1083" s="119"/>
      <c r="M1083" s="840"/>
      <c r="N1083" s="840"/>
      <c r="O1083" s="123"/>
      <c r="P1083" s="124"/>
      <c r="Q1083" s="841"/>
      <c r="R1083" s="841"/>
      <c r="S1083" s="841"/>
      <c r="T1083" s="841"/>
      <c r="U1083" s="841"/>
      <c r="V1083" s="841"/>
      <c r="W1083" s="286"/>
      <c r="X1083" s="286"/>
      <c r="Y1083" s="791"/>
      <c r="Z1083" s="838" t="str">
        <f>IF(G1083=0,"",IF(AD1083="me","",IF($AD$8="me","",IF(AD1083="free","warranty",IF($AD$8="yes","NVP planting:","to NVP install:")))))</f>
        <v/>
      </c>
      <c r="AA1083" s="838"/>
      <c r="AB1083" s="830" t="str">
        <f>IF(G1083=0,"",IF(AD1083="free","re-planting",IF(AD1083="me","not NVP, by",IF($AD$8="yes",(VLOOKUP(A1083,'Discount Lookup'!J:K,2)*G1083*(1-$AC$1786)*(1+$AC$1788)),IF(AD1083="NVP",(VLOOKUP(A1083,'Discount Lookup'!J:K,2)*G1083*(1-$AC$1786)*(1+$AC$1788)),IF(AD1083="free","re-planting",IF(G1083=0,"",IF($AD$8="",IF(AD1083="me","not NVP, by",IF(AD1083="",IF(G1083&gt;0,(VLOOKUP(A1083,'Discount Lookup'!J:K,2)*G1083*(1-$AC$1786)*(1+$AC$1788)),""),"")),"not NVP, by"))))))))</f>
        <v/>
      </c>
      <c r="AC1083" s="830"/>
      <c r="AD1083" s="375" t="str">
        <f>IF(G1083=0,"",IF($AD$8="me","me",IF(H1083="warranty","free",IF($AD$8="yes","NVP",""))))</f>
        <v/>
      </c>
      <c r="AE1083" s="833" t="str">
        <f>IF(G1083&gt;0,(CONCATENATE((G1083)," quantity, ",(A1083)," ",B1083)),"")</f>
        <v/>
      </c>
      <c r="AF1083" s="833"/>
      <c r="AG1083" s="833"/>
      <c r="AH1083" s="91" t="str">
        <f>IF(AD1083="free",0,IF(AD1083="me","",IF(G1083&gt;0,(VLOOKUP(A1083,'Discount Lookup'!J:K,2)*G1083),"")))</f>
        <v/>
      </c>
      <c r="AI1083" s="92" t="str">
        <f t="shared" si="2757"/>
        <v/>
      </c>
      <c r="AJ1083" s="828" t="str">
        <f>IF(G1083=0,"",IF(AD1083="me","  delivery-only",CONCATENATE(" $",ROUND(AI1083/G1083,2)," each")))</f>
        <v/>
      </c>
      <c r="AK1083" s="828"/>
      <c r="AL1083" s="313" t="str">
        <f t="shared" si="2659"/>
        <v/>
      </c>
      <c r="AM1083" s="312"/>
      <c r="AN1083" s="101"/>
      <c r="AO1083" s="101"/>
      <c r="AP1083" s="101"/>
      <c r="AQ1083" s="101"/>
      <c r="AR1083" s="101"/>
      <c r="AS1083" s="101"/>
      <c r="AT1083" s="101"/>
    </row>
    <row r="1084" spans="1:46" ht="12.95" customHeight="1">
      <c r="A1084" s="896" t="s">
        <v>618</v>
      </c>
      <c r="B1084" s="897"/>
      <c r="C1084" s="897"/>
      <c r="D1084" s="897"/>
      <c r="E1084" s="897"/>
      <c r="F1084" s="897"/>
      <c r="G1084" s="897"/>
      <c r="H1084" s="776" t="s">
        <v>619</v>
      </c>
      <c r="I1084" s="88" t="s">
        <v>79</v>
      </c>
      <c r="J1084" s="86"/>
      <c r="K1084" s="603" t="s">
        <v>45</v>
      </c>
      <c r="L1084" s="601" t="s">
        <v>46</v>
      </c>
      <c r="M1084" s="86"/>
      <c r="N1084" s="87" t="s">
        <v>69</v>
      </c>
      <c r="O1084" s="87"/>
      <c r="P1084" s="88"/>
      <c r="Q1084" s="88"/>
      <c r="R1084" s="86"/>
      <c r="S1084" s="125"/>
      <c r="T1084" s="543"/>
      <c r="U1084" s="112"/>
      <c r="V1084" s="100" t="b">
        <f>IF(G1084&gt;0,IF(AD1084="me","",G1084))</f>
        <v>0</v>
      </c>
      <c r="W1084" s="100"/>
      <c r="X1084" s="100"/>
      <c r="Y1084" s="201"/>
      <c r="Z1084" s="829" t="str">
        <f t="shared" si="2719"/>
        <v/>
      </c>
      <c r="AA1084" s="829"/>
      <c r="AB1084" s="830" t="str">
        <f>IF(G1084=0,"",IF(AD1084="free","re-planting",IF(AD1084="me","not NVP, by",IF($AD$8="yes",(VLOOKUP(A1084,'Discount Lookup'!J:K,2)*G1084*(1-$AC$1786)*(1+$AC$1788)),IF(AD1084="NVP",(VLOOKUP(A1084,'Discount Lookup'!J:K,2)*G1084*(1-$AC$1786)*(1+$AC$1788)),IF(AD1084="free","re-planting",IF(G1084=0,"",IF($AD$8="",IF(AD1084="me","not NVP, by",IF(AD1084="",IF(G1084&gt;0,(VLOOKUP(A1084,'Discount Lookup'!J:K,2)*G1084*(1-$AC$1786)*(1+$AC$1788)),""),"")),"not NVP, by"))))))))</f>
        <v/>
      </c>
      <c r="AC1084" s="830"/>
      <c r="AD1084" s="375" t="str">
        <f t="shared" si="2703"/>
        <v/>
      </c>
      <c r="AE1084" s="833" t="str">
        <f t="shared" si="2681"/>
        <v/>
      </c>
      <c r="AF1084" s="833"/>
      <c r="AG1084" s="833"/>
      <c r="AH1084" s="91">
        <f>IF(AD1084="free",0,IF(AD1084="me",0,IF(G1084&gt;0,(VLOOKUP(A1084,'Discount Lookup'!J:K,2)*G1084),0)))</f>
        <v>0</v>
      </c>
      <c r="AI1084" s="92" t="str">
        <f t="shared" si="2757"/>
        <v/>
      </c>
      <c r="AJ1084" s="828" t="str">
        <f t="shared" si="2721"/>
        <v/>
      </c>
      <c r="AK1084" s="828"/>
      <c r="AL1084" s="313" t="str">
        <f t="shared" si="2659"/>
        <v/>
      </c>
      <c r="AM1084" s="312"/>
      <c r="AN1084" s="101"/>
      <c r="AO1084" s="101"/>
      <c r="AP1084" s="101"/>
      <c r="AQ1084" s="101"/>
      <c r="AR1084" s="101"/>
      <c r="AS1084" s="101"/>
      <c r="AT1084" s="101"/>
    </row>
    <row r="1085" spans="1:46" ht="12.95" customHeight="1">
      <c r="A1085" s="419">
        <v>3</v>
      </c>
      <c r="B1085" s="87" t="s">
        <v>50</v>
      </c>
      <c r="C1085" s="128" t="s">
        <v>1642</v>
      </c>
      <c r="D1085" s="129" t="s">
        <v>62</v>
      </c>
      <c r="E1085" s="98">
        <v>24.95</v>
      </c>
      <c r="F1085" s="705" t="s">
        <v>1306</v>
      </c>
      <c r="G1085" s="357">
        <v>0</v>
      </c>
      <c r="H1085" s="704" t="str">
        <f t="shared" ref="H1085" si="2759">IF(G1085=0,"",IF(F1085="Qty=",IF(G1085=1,"plant","plants"),IF(F1085&gt;0.0001,"warranty","Error")))</f>
        <v/>
      </c>
      <c r="I1085" s="98">
        <f t="shared" ref="I1085" si="2760">IF(F1085="Qty=",(E1085*G1085),((E1085*(1-F1085))*G1085))</f>
        <v>0</v>
      </c>
      <c r="J1085" s="98">
        <f>IF(H1085="warranty",0,(I1085*($J$1782)))</f>
        <v>0</v>
      </c>
      <c r="K1085" s="831">
        <f t="shared" ref="K1085" si="2761">I1085+J1085</f>
        <v>0</v>
      </c>
      <c r="L1085" s="831"/>
      <c r="M1085" s="832" t="str">
        <f>IF($H$1784=0,"",IF(G1085=0,"",IF(F1085="Qty=",CONCATENATE("$",ROUND(K1085*(1-$H$1784),2)," with ",($H$1784*100),"% discount"),CONCATENATE("$",ROUND(K1085*(1-$H$1784),2)," with ",(($H$1784*100+F1085*100)-($H$1784*100*F1085)),IF(F1085&gt;0,"% discounts",IF($H$1781&gt;0,"% discounts","% discount"))))))</f>
        <v/>
      </c>
      <c r="N1085" s="832"/>
      <c r="O1085" s="832"/>
      <c r="P1085" s="832"/>
      <c r="Q1085" s="832"/>
      <c r="R1085" s="832"/>
      <c r="S1085" s="303">
        <f t="shared" ref="S1085" si="2762">E1085*G1085</f>
        <v>0</v>
      </c>
      <c r="T1085" s="541">
        <f>VLOOKUP(A1085,'Discount Lookup'!D:E,2,FALSE)*G1085</f>
        <v>0</v>
      </c>
      <c r="U1085" s="83">
        <f>VLOOKUP(A1085,'Discount Lookup'!G:H,2,FALSE)*G1085</f>
        <v>0</v>
      </c>
      <c r="V1085" s="100">
        <f>E1085*($J$1782)*G1085</f>
        <v>0</v>
      </c>
      <c r="W1085" s="100">
        <f t="shared" ref="W1085" si="2763">I1085</f>
        <v>0</v>
      </c>
      <c r="X1085" s="100" t="b">
        <f>IF(G1085&gt;0,IF(AD1085="me","",G1085))</f>
        <v>0</v>
      </c>
      <c r="Y1085" s="201"/>
      <c r="Z1085" s="829" t="str">
        <f t="shared" ref="Z1085" si="2764">IF(G1085=0,"",IF(AD1085="me","",IF($AD$8="me","",IF(AD1085="free","warranty",IF($AD$8="yes","NVP planting:","to NVP install:")))))</f>
        <v/>
      </c>
      <c r="AA1085" s="829"/>
      <c r="AB1085" s="830" t="str">
        <f>IF(G1085=0,"",IF(AD1085="free","re-planting",IF(AD1085="me","not NVP, by",IF($AD$8="yes",(VLOOKUP(A1085,'Discount Lookup'!J:K,2)*G1085*(1-$AC$1786)*(1+$AC$1788)),IF(AD1085="NVP",(VLOOKUP(A1085,'Discount Lookup'!J:K,2)*G1085*(1-$AC$1786)*(1+$AC$1788)),IF(AD1085="free","re-planting",IF(G1085=0,"",IF($AD$8="",IF(AD1085="me","not NVP, by",IF(AD1085="",IF(G1085&gt;0,(VLOOKUP(A1085,'Discount Lookup'!J:K,2)*G1085*(1-$AC$1786)*(1+$AC$1788)),""),"")),"not NVP, by"))))))))</f>
        <v/>
      </c>
      <c r="AC1085" s="830"/>
      <c r="AD1085" s="375" t="str">
        <f t="shared" ref="AD1085" si="2765">IF(G1085=0,"",IF($AD$8="me","me",IF(H1085="warranty","free",IF($AD$8="yes","NVP",""))))</f>
        <v/>
      </c>
      <c r="AE1085" s="833" t="str">
        <f t="shared" si="2681"/>
        <v/>
      </c>
      <c r="AF1085" s="833"/>
      <c r="AG1085" s="833"/>
      <c r="AH1085" s="91">
        <f>IF(AD1085="free",0,IF(AD1085="me",0,IF(G1085&gt;0,(VLOOKUP(A1085,'Discount Lookup'!J:K,2)*G1085),0)))</f>
        <v>0</v>
      </c>
      <c r="AI1085" s="92" t="str">
        <f t="shared" si="2757"/>
        <v/>
      </c>
      <c r="AJ1085" s="828" t="str">
        <f t="shared" ref="AJ1085" si="2766">IF(G1085=0,"",IF(AD1085="me","  delivery-only",IF($AD$8="me","  delivery-only",CONCATENATE(" $",ROUND(AI1085/G1085,2)," each"))))</f>
        <v/>
      </c>
      <c r="AK1085" s="828"/>
      <c r="AL1085" s="313" t="str">
        <f t="shared" si="2659"/>
        <v/>
      </c>
      <c r="AM1085" s="312"/>
      <c r="AN1085" s="101"/>
      <c r="AO1085" s="101"/>
      <c r="AP1085" s="101"/>
      <c r="AQ1085" s="101"/>
      <c r="AR1085" s="101"/>
      <c r="AS1085" s="101"/>
      <c r="AT1085" s="101"/>
    </row>
    <row r="1086" spans="1:46" ht="12.95" customHeight="1">
      <c r="A1086" s="419">
        <v>3</v>
      </c>
      <c r="B1086" s="87" t="s">
        <v>50</v>
      </c>
      <c r="C1086" s="128" t="s">
        <v>135</v>
      </c>
      <c r="D1086" s="129" t="s">
        <v>94</v>
      </c>
      <c r="E1086" s="98">
        <v>24.95</v>
      </c>
      <c r="F1086" s="705" t="s">
        <v>1306</v>
      </c>
      <c r="G1086" s="357">
        <v>0</v>
      </c>
      <c r="H1086" s="704" t="str">
        <f t="shared" ref="H1086" si="2767">IF(G1086=0,"",IF(F1086="Qty=",IF(G1086=1,"plant","plants"),IF(F1086&gt;0.0001,"warranty","Error")))</f>
        <v/>
      </c>
      <c r="I1086" s="98">
        <f t="shared" ref="I1086" si="2768">IF(F1086="Qty=",(E1086*G1086),((E1086*(1-F1086))*G1086))</f>
        <v>0</v>
      </c>
      <c r="J1086" s="98">
        <f>IF(H1086="warranty",0,(I1086*($J$1782)))</f>
        <v>0</v>
      </c>
      <c r="K1086" s="831">
        <f t="shared" ref="K1086" si="2769">I1086+J1086</f>
        <v>0</v>
      </c>
      <c r="L1086" s="831"/>
      <c r="M1086" s="832" t="str">
        <f>IF($H$1784=0,"",IF(G1086=0,"",IF(F1086="Qty=",CONCATENATE("$",ROUND(K1086*(1-$H$1784),2)," with ",($H$1784*100),"% discount"),CONCATENATE("$",ROUND(K1086*(1-$H$1784),2)," with ",(($H$1784*100+F1086*100)-($H$1784*100*F1086)),IF(F1086&gt;0,"% discounts",IF($H$1781&gt;0,"% discounts","% discount"))))))</f>
        <v/>
      </c>
      <c r="N1086" s="832"/>
      <c r="O1086" s="832"/>
      <c r="P1086" s="832"/>
      <c r="Q1086" s="832"/>
      <c r="R1086" s="832"/>
      <c r="S1086" s="303">
        <f t="shared" ref="S1086" si="2770">E1086*G1086</f>
        <v>0</v>
      </c>
      <c r="T1086" s="541">
        <f>VLOOKUP(A1086,'Discount Lookup'!D:E,2,FALSE)*G1086</f>
        <v>0</v>
      </c>
      <c r="U1086" s="83">
        <f>VLOOKUP(A1086,'Discount Lookup'!G:H,2,FALSE)*G1086</f>
        <v>0</v>
      </c>
      <c r="V1086" s="100">
        <f>E1086*($J$1782)*G1086</f>
        <v>0</v>
      </c>
      <c r="W1086" s="100">
        <f t="shared" ref="W1086" si="2771">I1086</f>
        <v>0</v>
      </c>
      <c r="X1086" s="100" t="b">
        <f>IF(G1086&gt;0,IF(AD1086="me","",G1086))</f>
        <v>0</v>
      </c>
      <c r="Y1086" s="201"/>
      <c r="Z1086" s="829" t="str">
        <f t="shared" si="2719"/>
        <v/>
      </c>
      <c r="AA1086" s="829"/>
      <c r="AB1086" s="830" t="str">
        <f>IF(G1086=0,"",IF(AD1086="free","re-planting",IF(AD1086="me","not NVP, by",IF($AD$8="yes",(VLOOKUP(A1086,'Discount Lookup'!J:K,2)*G1086*(1-$AC$1786)*(1+$AC$1788)),IF(AD1086="NVP",(VLOOKUP(A1086,'Discount Lookup'!J:K,2)*G1086*(1-$AC$1786)*(1+$AC$1788)),IF(AD1086="free","re-planting",IF(G1086=0,"",IF($AD$8="",IF(AD1086="me","not NVP, by",IF(AD1086="",IF(G1086&gt;0,(VLOOKUP(A1086,'Discount Lookup'!J:K,2)*G1086*(1-$AC$1786)*(1+$AC$1788)),""),"")),"not NVP, by"))))))))</f>
        <v/>
      </c>
      <c r="AC1086" s="830"/>
      <c r="AD1086" s="375" t="str">
        <f t="shared" si="2703"/>
        <v/>
      </c>
      <c r="AE1086" s="833" t="str">
        <f t="shared" ref="AE1086" si="2772">IF(G1086&gt;0,(CONCATENATE((G1086)," quantity, ",(A1086)," ",B1086)),"")</f>
        <v/>
      </c>
      <c r="AF1086" s="833"/>
      <c r="AG1086" s="833"/>
      <c r="AH1086" s="91">
        <f>IF(AD1086="free",0,IF(AD1086="me",0,IF(G1086&gt;0,(VLOOKUP(A1086,'Discount Lookup'!J:K,2)*G1086),0)))</f>
        <v>0</v>
      </c>
      <c r="AI1086" s="92" t="str">
        <f t="shared" si="2757"/>
        <v/>
      </c>
      <c r="AJ1086" s="828" t="str">
        <f t="shared" si="2721"/>
        <v/>
      </c>
      <c r="AK1086" s="828"/>
      <c r="AL1086" s="313" t="str">
        <f t="shared" si="2659"/>
        <v/>
      </c>
      <c r="AM1086" s="312"/>
      <c r="AN1086" s="101"/>
      <c r="AO1086" s="101"/>
      <c r="AP1086" s="101"/>
      <c r="AQ1086" s="101"/>
      <c r="AR1086" s="101"/>
      <c r="AS1086" s="101"/>
      <c r="AT1086" s="101"/>
    </row>
    <row r="1087" spans="1:46" ht="12.95" customHeight="1">
      <c r="A1087" s="506"/>
      <c r="B1087" s="149" t="s">
        <v>620</v>
      </c>
      <c r="G1087" s="361"/>
      <c r="H1087" s="749"/>
      <c r="M1087" s="110"/>
      <c r="N1087" s="122" t="s">
        <v>460</v>
      </c>
      <c r="O1087" s="48"/>
      <c r="P1087" s="111"/>
      <c r="Q1087" s="111"/>
      <c r="R1087" s="48"/>
      <c r="S1087" s="82">
        <f>E1087*G1087</f>
        <v>0</v>
      </c>
      <c r="T1087" s="540"/>
      <c r="U1087" s="83"/>
      <c r="V1087" s="100" t="b">
        <f>IF(G1087&gt;0,IF(AD1087="me","",G1087))</f>
        <v>0</v>
      </c>
      <c r="W1087" s="100"/>
      <c r="X1087" s="100"/>
      <c r="Y1087" s="201"/>
      <c r="Z1087" s="829" t="str">
        <f t="shared" si="2719"/>
        <v/>
      </c>
      <c r="AA1087" s="829"/>
      <c r="AB1087" s="830" t="str">
        <f>IF(G1087=0,"",IF(AD1087="free","re-planting",IF(AD1087="me","not NVP, by",IF($AD$8="yes",(VLOOKUP(A1087,'Discount Lookup'!J:K,2)*G1087*(1-$AC$1786)*(1+$AC$1788)),IF(AD1087="NVP",(VLOOKUP(A1087,'Discount Lookup'!J:K,2)*G1087*(1-$AC$1786)*(1+$AC$1788)),IF(AD1087="free","re-planting",IF(G1087=0,"",IF($AD$8="",IF(AD1087="me","not NVP, by",IF(AD1087="",IF(G1087&gt;0,(VLOOKUP(A1087,'Discount Lookup'!J:K,2)*G1087*(1-$AC$1786)*(1+$AC$1788)),""),"")),"not NVP, by"))))))))</f>
        <v/>
      </c>
      <c r="AC1087" s="830"/>
      <c r="AD1087" s="375" t="str">
        <f t="shared" si="2703"/>
        <v/>
      </c>
      <c r="AE1087" s="833" t="str">
        <f t="shared" si="2681"/>
        <v/>
      </c>
      <c r="AF1087" s="833"/>
      <c r="AG1087" s="833"/>
      <c r="AH1087" s="91">
        <f>IF(AD1087="free",0,IF(AD1087="me",0,IF(G1087&gt;0,(VLOOKUP(A1087,'Discount Lookup'!J:K,2)*G1087),0)))</f>
        <v>0</v>
      </c>
      <c r="AI1087" s="92" t="str">
        <f t="shared" si="2757"/>
        <v/>
      </c>
      <c r="AJ1087" s="828" t="str">
        <f t="shared" si="2721"/>
        <v/>
      </c>
      <c r="AK1087" s="828"/>
      <c r="AL1087" s="313" t="str">
        <f t="shared" si="2659"/>
        <v/>
      </c>
      <c r="AM1087" s="312"/>
      <c r="AN1087" s="101"/>
      <c r="AO1087" s="101"/>
      <c r="AP1087" s="101"/>
      <c r="AQ1087" s="101"/>
      <c r="AR1087" s="101"/>
      <c r="AS1087" s="101"/>
      <c r="AT1087" s="101"/>
    </row>
    <row r="1088" spans="1:46" ht="12.95" customHeight="1">
      <c r="A1088" s="1030" t="s">
        <v>1411</v>
      </c>
      <c r="B1088" s="864"/>
      <c r="C1088" s="864"/>
      <c r="D1088" s="864"/>
      <c r="E1088" s="864"/>
      <c r="F1088" s="864"/>
      <c r="G1088" s="864"/>
      <c r="H1088" s="776" t="s">
        <v>621</v>
      </c>
      <c r="I1088" s="88" t="s">
        <v>79</v>
      </c>
      <c r="J1088" s="86"/>
      <c r="K1088" s="603" t="s">
        <v>45</v>
      </c>
      <c r="L1088" s="601" t="s">
        <v>46</v>
      </c>
      <c r="M1088" s="86"/>
      <c r="N1088" s="87" t="s">
        <v>446</v>
      </c>
      <c r="O1088" s="87"/>
      <c r="P1088" s="88"/>
      <c r="Q1088" s="88"/>
      <c r="R1088" s="86"/>
      <c r="S1088" s="125"/>
      <c r="T1088" s="543"/>
      <c r="U1088" s="89" t="s">
        <v>48</v>
      </c>
      <c r="V1088" s="100" t="b">
        <f>IF(G1088&gt;0,IF(AD1088="me","",G1088))</f>
        <v>0</v>
      </c>
      <c r="W1088" s="100"/>
      <c r="X1088" s="100"/>
      <c r="Y1088" s="201"/>
      <c r="Z1088" s="829" t="str">
        <f t="shared" ref="Z1088:Z1091" si="2773">IF(G1088=0,"",IF(AD1088="me","",IF($AD$8="me","",IF(AD1088="free","warranty",IF($AD$8="yes","NVP planting:","to NVP install:")))))</f>
        <v/>
      </c>
      <c r="AA1088" s="829"/>
      <c r="AB1088" s="830" t="str">
        <f>IF(G1088=0,"",IF(AD1088="free","re-planting",IF(AD1088="me","not NVP, by",IF($AD$8="yes",(VLOOKUP(A1088,'Discount Lookup'!J:K,2)*G1088*(1-$AC$1786)*(1+$AC$1788)),IF(AD1088="NVP",(VLOOKUP(A1088,'Discount Lookup'!J:K,2)*G1088*(1-$AC$1786)*(1+$AC$1788)),IF(AD1088="free","re-planting",IF(G1088=0,"",IF($AD$8="",IF(AD1088="me","not NVP, by",IF(AD1088="",IF(G1088&gt;0,(VLOOKUP(A1088,'Discount Lookup'!J:K,2)*G1088*(1-$AC$1786)*(1+$AC$1788)),""),"")),"not NVP, by"))))))))</f>
        <v/>
      </c>
      <c r="AC1088" s="830"/>
      <c r="AD1088" s="375" t="str">
        <f t="shared" si="2703"/>
        <v/>
      </c>
      <c r="AE1088" s="833" t="str">
        <f t="shared" ref="AE1088:AE1091" si="2774">IF(G1088&gt;0,(CONCATENATE((G1088)," quantity, ",(A1088)," ",B1088)),"")</f>
        <v/>
      </c>
      <c r="AF1088" s="833"/>
      <c r="AG1088" s="833"/>
      <c r="AH1088" s="91">
        <f>IF(AD1088="free",0,IF(AD1088="me",0,IF(G1088&gt;0,(VLOOKUP(A1088,'Discount Lookup'!J:K,2)*G1088),0)))</f>
        <v>0</v>
      </c>
      <c r="AI1088" s="92" t="str">
        <f t="shared" si="2757"/>
        <v/>
      </c>
      <c r="AJ1088" s="828" t="str">
        <f t="shared" ref="AJ1088:AJ1091" si="2775">IF(G1088=0,"",IF(AD1088="me","  delivery-only",IF($AD$8="me","  delivery-only",CONCATENATE(" $",ROUND(AI1088/G1088,2)," each"))))</f>
        <v/>
      </c>
      <c r="AK1088" s="828"/>
      <c r="AL1088" s="313" t="str">
        <f t="shared" si="2659"/>
        <v/>
      </c>
      <c r="AM1088" s="312"/>
      <c r="AN1088" s="101"/>
      <c r="AO1088" s="101"/>
      <c r="AP1088" s="101"/>
      <c r="AQ1088" s="101"/>
      <c r="AR1088" s="101"/>
      <c r="AS1088" s="101"/>
      <c r="AT1088" s="101"/>
    </row>
    <row r="1089" spans="1:48" ht="12.95" customHeight="1">
      <c r="A1089" s="447">
        <v>3</v>
      </c>
      <c r="B1089" s="87" t="s">
        <v>50</v>
      </c>
      <c r="C1089" s="399" t="s">
        <v>136</v>
      </c>
      <c r="D1089" s="129" t="s">
        <v>87</v>
      </c>
      <c r="E1089" s="98">
        <v>24.95</v>
      </c>
      <c r="F1089" s="705" t="s">
        <v>1306</v>
      </c>
      <c r="G1089" s="357">
        <v>0</v>
      </c>
      <c r="H1089" s="704" t="str">
        <f t="shared" ref="H1089" si="2776">IF(G1089=0,"",IF(F1089="Qty=",IF(G1089=1,"plant","plants"),IF(F1089&gt;0.0001,"warranty","Error")))</f>
        <v/>
      </c>
      <c r="I1089" s="98">
        <f t="shared" ref="I1089" si="2777">IF(F1089="Qty=",(E1089*G1089),((E1089*(1-F1089))*G1089))</f>
        <v>0</v>
      </c>
      <c r="J1089" s="98">
        <f>IF(H1089="warranty",0,(I1089*($J$1782)))</f>
        <v>0</v>
      </c>
      <c r="K1089" s="831">
        <f t="shared" ref="K1089:K1090" si="2778">I1089+J1089</f>
        <v>0</v>
      </c>
      <c r="L1089" s="831"/>
      <c r="M1089" s="832" t="str">
        <f>IF($H$1784=0,"",IF(G1089=0,"",IF(F1089="Qty=",CONCATENATE("$",ROUND(K1089*(1-$H$1784),2)," with ",($H$1784*100),"% discount"),CONCATENATE("$",ROUND(K1089*(1-$H$1784),2)," with ",(($H$1784*100+F1089*100)-($H$1784*100*F1089)),IF(F1089&gt;0,"% discounts",IF($H$1781&gt;0,"% discounts","% discount"))))))</f>
        <v/>
      </c>
      <c r="N1089" s="832"/>
      <c r="O1089" s="832"/>
      <c r="P1089" s="832"/>
      <c r="Q1089" s="832"/>
      <c r="R1089" s="832"/>
      <c r="S1089" s="303">
        <f t="shared" ref="S1089" si="2779">E1089*G1089</f>
        <v>0</v>
      </c>
      <c r="T1089" s="541">
        <f>VLOOKUP(A1089,'Discount Lookup'!D:E,2,FALSE)*G1089</f>
        <v>0</v>
      </c>
      <c r="U1089" s="83">
        <f>VLOOKUP(A1089,'Discount Lookup'!G:H,2,FALSE)*G1089</f>
        <v>0</v>
      </c>
      <c r="V1089" s="100">
        <f>E1089*($J$1782)*G1089</f>
        <v>0</v>
      </c>
      <c r="W1089" s="100">
        <f t="shared" ref="W1089" si="2780">I1089</f>
        <v>0</v>
      </c>
      <c r="X1089" s="100" t="b">
        <f>IF(G1089&gt;0,IF(AD1089="me","",G1089))</f>
        <v>0</v>
      </c>
      <c r="Y1089" s="201"/>
      <c r="Z1089" s="829" t="str">
        <f t="shared" si="2773"/>
        <v/>
      </c>
      <c r="AA1089" s="829"/>
      <c r="AB1089" s="830" t="str">
        <f>IF(G1089=0,"",IF(AD1089="free","re-planting",IF(AD1089="me","not NVP, by",IF($AD$8="yes",(VLOOKUP(A1089,'Discount Lookup'!J:K,2)*G1089*(1-$AC$1786)*(1+$AC$1788)),IF(AD1089="NVP",(VLOOKUP(A1089,'Discount Lookup'!J:K,2)*G1089*(1-$AC$1786)*(1+$AC$1788)),IF(AD1089="free","re-planting",IF(G1089=0,"",IF($AD$8="",IF(AD1089="me","not NVP, by",IF(AD1089="",IF(G1089&gt;0,(VLOOKUP(A1089,'Discount Lookup'!J:K,2)*G1089*(1-$AC$1786)*(1+$AC$1788)),""),"")),"not NVP, by"))))))))</f>
        <v/>
      </c>
      <c r="AC1089" s="830"/>
      <c r="AD1089" s="375" t="str">
        <f t="shared" si="2703"/>
        <v/>
      </c>
      <c r="AE1089" s="833" t="str">
        <f t="shared" si="2774"/>
        <v/>
      </c>
      <c r="AF1089" s="833"/>
      <c r="AG1089" s="833"/>
      <c r="AH1089" s="91">
        <f>IF(AD1089="free",0,IF(AD1089="me",0,IF(G1089&gt;0,(VLOOKUP(A1089,'Discount Lookup'!J:K,2)*G1089),0)))</f>
        <v>0</v>
      </c>
      <c r="AI1089" s="92" t="str">
        <f t="shared" si="2757"/>
        <v/>
      </c>
      <c r="AJ1089" s="828" t="str">
        <f t="shared" si="2775"/>
        <v/>
      </c>
      <c r="AK1089" s="828"/>
      <c r="AL1089" s="313" t="str">
        <f t="shared" si="2659"/>
        <v/>
      </c>
      <c r="AM1089" s="312"/>
      <c r="AN1089" s="101"/>
      <c r="AO1089" s="101"/>
      <c r="AP1089" s="101"/>
      <c r="AQ1089" s="101"/>
      <c r="AR1089" s="101"/>
      <c r="AS1089" s="101"/>
      <c r="AT1089" s="101"/>
      <c r="AV1089" s="132"/>
    </row>
    <row r="1090" spans="1:48" ht="12.95" customHeight="1">
      <c r="A1090" s="447">
        <v>3</v>
      </c>
      <c r="B1090" s="87" t="s">
        <v>50</v>
      </c>
      <c r="C1090" s="399" t="s">
        <v>136</v>
      </c>
      <c r="D1090" s="129" t="s">
        <v>63</v>
      </c>
      <c r="E1090" s="98">
        <v>33.950000000000003</v>
      </c>
      <c r="F1090" s="705" t="s">
        <v>1306</v>
      </c>
      <c r="G1090" s="357">
        <v>0</v>
      </c>
      <c r="H1090" s="704" t="str">
        <f t="shared" ref="H1090" si="2781">IF(G1090=0,"",IF(F1090="Qty=",IF(G1090=1,"plant","plants"),IF(F1090&gt;0.0001,"warranty","Error")))</f>
        <v/>
      </c>
      <c r="I1090" s="98">
        <f t="shared" ref="I1090" si="2782">IF(F1090="Qty=",(E1090*G1090),((E1090*(1-F1090))*G1090))</f>
        <v>0</v>
      </c>
      <c r="J1090" s="98">
        <f>IF(H1090="warranty",0,(I1090*($J$1782)))</f>
        <v>0</v>
      </c>
      <c r="K1090" s="831">
        <f t="shared" si="2778"/>
        <v>0</v>
      </c>
      <c r="L1090" s="831"/>
      <c r="M1090" s="832" t="str">
        <f>IF($H$1784=0,"",IF(G1090=0,"",IF(F1090="Qty=",CONCATENATE("$",ROUND(K1090*(1-$H$1784),2)," with ",($H$1784*100),"% discount"),CONCATENATE("$",ROUND(K1090*(1-$H$1784),2)," with ",(($H$1784*100+F1090*100)-($H$1784*100*F1090)),IF(F1090&gt;0,"% discounts",IF($H$1781&gt;0,"% discounts","% discount"))))))</f>
        <v/>
      </c>
      <c r="N1090" s="832"/>
      <c r="O1090" s="832"/>
      <c r="P1090" s="832"/>
      <c r="Q1090" s="832"/>
      <c r="R1090" s="832"/>
      <c r="S1090" s="303">
        <f t="shared" ref="S1090" si="2783">E1090*G1090</f>
        <v>0</v>
      </c>
      <c r="T1090" s="541">
        <f>VLOOKUP(A1090,'Discount Lookup'!D:E,2,FALSE)*G1090</f>
        <v>0</v>
      </c>
      <c r="U1090" s="83">
        <f>VLOOKUP(A1090,'Discount Lookup'!G:H,2,FALSE)*G1090</f>
        <v>0</v>
      </c>
      <c r="V1090" s="100">
        <f>E1090*($J$1782)*G1090</f>
        <v>0</v>
      </c>
      <c r="W1090" s="100">
        <f t="shared" ref="W1090" si="2784">I1090</f>
        <v>0</v>
      </c>
      <c r="X1090" s="100" t="b">
        <f>IF(G1090&gt;0,IF(AD1090="me","",G1090))</f>
        <v>0</v>
      </c>
      <c r="Y1090" s="201"/>
      <c r="Z1090" s="829" t="str">
        <f t="shared" ref="Z1090" si="2785">IF(G1090=0,"",IF(AD1090="me","",IF($AD$8="me","",IF(AD1090="free","warranty",IF($AD$8="yes","NVP planting:","to NVP install:")))))</f>
        <v/>
      </c>
      <c r="AA1090" s="829"/>
      <c r="AB1090" s="830" t="str">
        <f>IF(G1090=0,"",IF(AD1090="free","re-planting",IF(AD1090="me","not NVP, by",IF($AD$8="yes",(VLOOKUP(A1090,'Discount Lookup'!J:K,2)*G1090*(1-$AC$1786)*(1+$AC$1788)),IF(AD1090="NVP",(VLOOKUP(A1090,'Discount Lookup'!J:K,2)*G1090*(1-$AC$1786)*(1+$AC$1788)),IF(AD1090="free","re-planting",IF(G1090=0,"",IF($AD$8="",IF(AD1090="me","not NVP, by",IF(AD1090="",IF(G1090&gt;0,(VLOOKUP(A1090,'Discount Lookup'!J:K,2)*G1090*(1-$AC$1786)*(1+$AC$1788)),""),"")),"not NVP, by"))))))))</f>
        <v/>
      </c>
      <c r="AC1090" s="830"/>
      <c r="AD1090" s="375" t="str">
        <f t="shared" si="2703"/>
        <v/>
      </c>
      <c r="AE1090" s="833" t="str">
        <f t="shared" ref="AE1090" si="2786">IF(G1090&gt;0,(CONCATENATE((G1090)," quantity, ",(A1090)," ",B1090)),"")</f>
        <v/>
      </c>
      <c r="AF1090" s="833"/>
      <c r="AG1090" s="833"/>
      <c r="AH1090" s="91">
        <f>IF(AD1090="free",0,IF(AD1090="me",0,IF(G1090&gt;0,(VLOOKUP(A1090,'Discount Lookup'!J:K,2)*G1090),0)))</f>
        <v>0</v>
      </c>
      <c r="AI1090" s="92" t="str">
        <f t="shared" si="2757"/>
        <v/>
      </c>
      <c r="AJ1090" s="828" t="str">
        <f t="shared" ref="AJ1090" si="2787">IF(G1090=0,"",IF(AD1090="me","  delivery-only",IF($AD$8="me","  delivery-only",CONCATENATE(" $",ROUND(AI1090/G1090,2)," each"))))</f>
        <v/>
      </c>
      <c r="AK1090" s="828"/>
      <c r="AL1090" s="313" t="str">
        <f t="shared" si="2659"/>
        <v/>
      </c>
      <c r="AM1090" s="312"/>
      <c r="AN1090" s="101"/>
      <c r="AO1090" s="101"/>
      <c r="AP1090" s="101"/>
      <c r="AQ1090" s="101"/>
      <c r="AR1090" s="101"/>
      <c r="AS1090" s="101"/>
      <c r="AT1090" s="101"/>
      <c r="AV1090" s="132"/>
    </row>
    <row r="1091" spans="1:48" ht="12.95" customHeight="1">
      <c r="A1091" s="506"/>
      <c r="B1091" s="149" t="s">
        <v>1412</v>
      </c>
      <c r="G1091" s="361"/>
      <c r="H1091" s="746"/>
      <c r="M1091" s="48"/>
      <c r="N1091" s="122" t="s">
        <v>622</v>
      </c>
      <c r="O1091" s="48"/>
      <c r="P1091" s="48"/>
      <c r="Q1091" s="48"/>
      <c r="R1091" s="48"/>
      <c r="S1091" s="82"/>
      <c r="T1091" s="540"/>
      <c r="U1091" s="83"/>
      <c r="V1091" s="100" t="b">
        <f>IF(G1091&gt;0,IF(AD1091="me","",G1091))</f>
        <v>0</v>
      </c>
      <c r="W1091" s="100"/>
      <c r="X1091" s="100"/>
      <c r="Y1091" s="201"/>
      <c r="Z1091" s="829" t="str">
        <f t="shared" si="2773"/>
        <v/>
      </c>
      <c r="AA1091" s="829"/>
      <c r="AB1091" s="830" t="str">
        <f>IF(G1091=0,"",IF(AD1091="free","re-planting",IF(AD1091="me","not NVP, by",IF($AD$8="yes",(VLOOKUP(A1091,'Discount Lookup'!J:K,2)*G1091*(1-$AC$1786)*(1+$AC$1788)),IF(AD1091="NVP",(VLOOKUP(A1091,'Discount Lookup'!J:K,2)*G1091*(1-$AC$1786)*(1+$AC$1788)),IF(AD1091="free","re-planting",IF(G1091=0,"",IF($AD$8="",IF(AD1091="me","not NVP, by",IF(AD1091="",IF(G1091&gt;0,(VLOOKUP(A1091,'Discount Lookup'!J:K,2)*G1091*(1-$AC$1786)*(1+$AC$1788)),""),"")),"not NVP, by"))))))))</f>
        <v/>
      </c>
      <c r="AC1091" s="830"/>
      <c r="AD1091" s="375" t="str">
        <f t="shared" si="2703"/>
        <v/>
      </c>
      <c r="AE1091" s="833" t="str">
        <f t="shared" si="2774"/>
        <v/>
      </c>
      <c r="AF1091" s="833"/>
      <c r="AG1091" s="833"/>
      <c r="AH1091" s="91">
        <f>IF(AD1091="free",0,IF(AD1091="me",0,IF(G1091&gt;0,(VLOOKUP(A1091,'Discount Lookup'!J:K,2)*G1091),0)))</f>
        <v>0</v>
      </c>
      <c r="AI1091" s="92" t="str">
        <f t="shared" si="2757"/>
        <v/>
      </c>
      <c r="AJ1091" s="828" t="str">
        <f t="shared" si="2775"/>
        <v/>
      </c>
      <c r="AK1091" s="828"/>
      <c r="AL1091" s="313" t="str">
        <f t="shared" si="2659"/>
        <v/>
      </c>
      <c r="AM1091" s="312"/>
      <c r="AN1091" s="101"/>
      <c r="AO1091" s="101"/>
      <c r="AP1091" s="101"/>
      <c r="AQ1091" s="101"/>
      <c r="AR1091" s="101"/>
      <c r="AS1091" s="101"/>
      <c r="AT1091" s="101"/>
      <c r="AV1091" s="132"/>
    </row>
    <row r="1092" spans="1:48" ht="12.95" customHeight="1">
      <c r="A1092" s="1030" t="s">
        <v>1410</v>
      </c>
      <c r="B1092" s="864"/>
      <c r="C1092" s="864"/>
      <c r="D1092" s="864"/>
      <c r="E1092" s="864"/>
      <c r="F1092" s="864"/>
      <c r="G1092" s="864"/>
      <c r="H1092" s="776" t="s">
        <v>621</v>
      </c>
      <c r="I1092" s="88" t="s">
        <v>79</v>
      </c>
      <c r="J1092" s="86"/>
      <c r="K1092" s="603" t="s">
        <v>45</v>
      </c>
      <c r="L1092" s="601" t="s">
        <v>46</v>
      </c>
      <c r="M1092" s="86"/>
      <c r="N1092" s="87" t="s">
        <v>446</v>
      </c>
      <c r="O1092" s="87"/>
      <c r="P1092" s="88"/>
      <c r="Q1092" s="88"/>
      <c r="R1092" s="86"/>
      <c r="S1092" s="125"/>
      <c r="T1092" s="543"/>
      <c r="U1092" s="89" t="s">
        <v>48</v>
      </c>
      <c r="V1092" s="100" t="b">
        <f>IF(G1092&gt;0,IF(AD1092="me","",G1092))</f>
        <v>0</v>
      </c>
      <c r="W1092" s="100"/>
      <c r="X1092" s="100"/>
      <c r="Y1092" s="201"/>
      <c r="Z1092" s="829" t="str">
        <f t="shared" si="2719"/>
        <v/>
      </c>
      <c r="AA1092" s="829"/>
      <c r="AB1092" s="830" t="str">
        <f>IF(G1092=0,"",IF(AD1092="free","re-planting",IF(AD1092="me","not NVP, by",IF($AD$8="yes",(VLOOKUP(A1092,'Discount Lookup'!J:K,2)*G1092*(1-$AC$1786)*(1+$AC$1788)),IF(AD1092="NVP",(VLOOKUP(A1092,'Discount Lookup'!J:K,2)*G1092*(1-$AC$1786)*(1+$AC$1788)),IF(AD1092="free","re-planting",IF(G1092=0,"",IF($AD$8="",IF(AD1092="me","not NVP, by",IF(AD1092="",IF(G1092&gt;0,(VLOOKUP(A1092,'Discount Lookup'!J:K,2)*G1092*(1-$AC$1786)*(1+$AC$1788)),""),"")),"not NVP, by"))))))))</f>
        <v/>
      </c>
      <c r="AC1092" s="830"/>
      <c r="AD1092" s="375" t="str">
        <f t="shared" si="2703"/>
        <v/>
      </c>
      <c r="AE1092" s="833" t="str">
        <f t="shared" si="2681"/>
        <v/>
      </c>
      <c r="AF1092" s="833"/>
      <c r="AG1092" s="833"/>
      <c r="AH1092" s="91">
        <f>IF(AD1092="free",0,IF(AD1092="me",0,IF(G1092&gt;0,(VLOOKUP(A1092,'Discount Lookup'!J:K,2)*G1092),0)))</f>
        <v>0</v>
      </c>
      <c r="AI1092" s="92" t="str">
        <f t="shared" si="2757"/>
        <v/>
      </c>
      <c r="AJ1092" s="828" t="str">
        <f t="shared" si="2721"/>
        <v/>
      </c>
      <c r="AK1092" s="828"/>
      <c r="AL1092" s="313" t="str">
        <f t="shared" si="2659"/>
        <v/>
      </c>
      <c r="AM1092" s="312"/>
      <c r="AN1092" s="101"/>
      <c r="AO1092" s="101"/>
      <c r="AP1092" s="101"/>
      <c r="AQ1092" s="101"/>
      <c r="AR1092" s="101"/>
      <c r="AS1092" s="101"/>
      <c r="AT1092" s="101"/>
    </row>
    <row r="1093" spans="1:48" ht="12.95" customHeight="1">
      <c r="A1093" s="447">
        <v>3</v>
      </c>
      <c r="B1093" s="87" t="s">
        <v>50</v>
      </c>
      <c r="C1093" s="399" t="s">
        <v>136</v>
      </c>
      <c r="D1093" s="129" t="s">
        <v>90</v>
      </c>
      <c r="E1093" s="98">
        <v>42.95</v>
      </c>
      <c r="F1093" s="705" t="s">
        <v>1306</v>
      </c>
      <c r="G1093" s="357">
        <v>0</v>
      </c>
      <c r="H1093" s="704" t="str">
        <f t="shared" ref="H1093" si="2788">IF(G1093=0,"",IF(F1093="Qty=",IF(G1093=1,"plant","plants"),IF(F1093&gt;0.0001,"warranty","Error")))</f>
        <v/>
      </c>
      <c r="I1093" s="98">
        <f t="shared" ref="I1093" si="2789">IF(F1093="Qty=",(E1093*G1093),((E1093*(1-F1093))*G1093))</f>
        <v>0</v>
      </c>
      <c r="J1093" s="98">
        <f>IF(H1093="warranty",0,(I1093*($J$1782)))</f>
        <v>0</v>
      </c>
      <c r="K1093" s="831">
        <f t="shared" ref="K1093" si="2790">I1093+J1093</f>
        <v>0</v>
      </c>
      <c r="L1093" s="831"/>
      <c r="M1093" s="832" t="str">
        <f>IF($H$1784=0,"",IF(G1093=0,"",IF(F1093="Qty=",CONCATENATE("$",ROUND(K1093*(1-$H$1784),2)," with ",($H$1784*100),"% discount"),CONCATENATE("$",ROUND(K1093*(1-$H$1784),2)," with ",(($H$1784*100+F1093*100)-($H$1784*100*F1093)),IF(F1093&gt;0,"% discounts",IF($H$1781&gt;0,"% discounts","% discount"))))))</f>
        <v/>
      </c>
      <c r="N1093" s="832"/>
      <c r="O1093" s="832"/>
      <c r="P1093" s="832"/>
      <c r="Q1093" s="832"/>
      <c r="R1093" s="832"/>
      <c r="S1093" s="303">
        <f t="shared" ref="S1093" si="2791">E1093*G1093</f>
        <v>0</v>
      </c>
      <c r="T1093" s="541">
        <f>VLOOKUP(A1093,'Discount Lookup'!D:E,2,FALSE)*G1093</f>
        <v>0</v>
      </c>
      <c r="U1093" s="83">
        <f>VLOOKUP(A1093,'Discount Lookup'!G:H,2,FALSE)*G1093</f>
        <v>0</v>
      </c>
      <c r="V1093" s="100">
        <f>E1093*($J$1782)*G1093</f>
        <v>0</v>
      </c>
      <c r="W1093" s="100">
        <f t="shared" ref="W1093" si="2792">I1093</f>
        <v>0</v>
      </c>
      <c r="X1093" s="100" t="b">
        <f>IF(G1093&gt;0,IF(AD1093="me","",G1093))</f>
        <v>0</v>
      </c>
      <c r="Y1093" s="201"/>
      <c r="Z1093" s="829" t="str">
        <f t="shared" ref="Z1093" si="2793">IF(G1093=0,"",IF(AD1093="me","",IF($AD$8="me","",IF(AD1093="free","warranty",IF($AD$8="yes","NVP planting:","to NVP install:")))))</f>
        <v/>
      </c>
      <c r="AA1093" s="829"/>
      <c r="AB1093" s="830" t="str">
        <f>IF(G1093=0,"",IF(AD1093="free","re-planting",IF(AD1093="me","not NVP, by",IF($AD$8="yes",(VLOOKUP(A1093,'Discount Lookup'!J:K,2)*G1093*(1-$AC$1786)*(1+$AC$1788)),IF(AD1093="NVP",(VLOOKUP(A1093,'Discount Lookup'!J:K,2)*G1093*(1-$AC$1786)*(1+$AC$1788)),IF(AD1093="free","re-planting",IF(G1093=0,"",IF($AD$8="",IF(AD1093="me","not NVP, by",IF(AD1093="",IF(G1093&gt;0,(VLOOKUP(A1093,'Discount Lookup'!J:K,2)*G1093*(1-$AC$1786)*(1+$AC$1788)),""),"")),"not NVP, by"))))))))</f>
        <v/>
      </c>
      <c r="AC1093" s="830"/>
      <c r="AD1093" s="375" t="str">
        <f t="shared" ref="AD1093" si="2794">IF(G1093=0,"",IF($AD$8="me","me",IF(H1093="warranty","free",IF($AD$8="yes","NVP",""))))</f>
        <v/>
      </c>
      <c r="AE1093" s="833" t="str">
        <f t="shared" ref="AE1093" si="2795">IF(G1093&gt;0,(CONCATENATE((G1093)," quantity, ",(A1093)," ",B1093)),"")</f>
        <v/>
      </c>
      <c r="AF1093" s="833"/>
      <c r="AG1093" s="833"/>
      <c r="AH1093" s="91">
        <f>IF(AD1093="free",0,IF(AD1093="me",0,IF(G1093&gt;0,(VLOOKUP(A1093,'Discount Lookup'!J:K,2)*G1093),0)))</f>
        <v>0</v>
      </c>
      <c r="AI1093" s="92" t="str">
        <f t="shared" si="2757"/>
        <v/>
      </c>
      <c r="AJ1093" s="828" t="str">
        <f t="shared" ref="AJ1093" si="2796">IF(G1093=0,"",IF(AD1093="me","  delivery-only",IF($AD$8="me","  delivery-only",CONCATENATE(" $",ROUND(AI1093/G1093,2)," each"))))</f>
        <v/>
      </c>
      <c r="AK1093" s="828"/>
      <c r="AL1093" s="313" t="str">
        <f t="shared" si="2659"/>
        <v/>
      </c>
      <c r="AM1093" s="312"/>
      <c r="AN1093" s="101"/>
      <c r="AO1093" s="101"/>
      <c r="AP1093" s="101"/>
      <c r="AQ1093" s="101"/>
      <c r="AR1093" s="101"/>
      <c r="AS1093" s="101"/>
      <c r="AT1093" s="101"/>
      <c r="AV1093" s="132"/>
    </row>
    <row r="1094" spans="1:48" ht="12.95" customHeight="1">
      <c r="A1094" s="447">
        <v>3</v>
      </c>
      <c r="B1094" s="87" t="s">
        <v>50</v>
      </c>
      <c r="C1094" s="399" t="s">
        <v>1684</v>
      </c>
      <c r="D1094" s="129" t="s">
        <v>94</v>
      </c>
      <c r="E1094" s="98">
        <v>24.95</v>
      </c>
      <c r="F1094" s="705" t="s">
        <v>1306</v>
      </c>
      <c r="G1094" s="357">
        <v>0</v>
      </c>
      <c r="H1094" s="704" t="str">
        <f t="shared" ref="H1094" si="2797">IF(G1094=0,"",IF(F1094="Qty=",IF(G1094=1,"plant","plants"),IF(F1094&gt;0.0001,"warranty","Error")))</f>
        <v/>
      </c>
      <c r="I1094" s="98">
        <f t="shared" ref="I1094" si="2798">IF(F1094="Qty=",(E1094*G1094),((E1094*(1-F1094))*G1094))</f>
        <v>0</v>
      </c>
      <c r="J1094" s="98">
        <f>IF(H1094="warranty",0,(I1094*($J$1782)))</f>
        <v>0</v>
      </c>
      <c r="K1094" s="831">
        <f t="shared" ref="K1094" si="2799">I1094+J1094</f>
        <v>0</v>
      </c>
      <c r="L1094" s="831"/>
      <c r="M1094" s="832" t="str">
        <f>IF($H$1784=0,"",IF(G1094=0,"",IF(F1094="Qty=",CONCATENATE("$",ROUND(K1094*(1-$H$1784),2)," with ",($H$1784*100),"% discount"),CONCATENATE("$",ROUND(K1094*(1-$H$1784),2)," with ",(($H$1784*100+F1094*100)-($H$1784*100*F1094)),IF(F1094&gt;0,"% discounts",IF($H$1781&gt;0,"% discounts","% discount"))))))</f>
        <v/>
      </c>
      <c r="N1094" s="832"/>
      <c r="O1094" s="832"/>
      <c r="P1094" s="832"/>
      <c r="Q1094" s="832"/>
      <c r="R1094" s="832"/>
      <c r="S1094" s="303">
        <f t="shared" ref="S1094" si="2800">E1094*G1094</f>
        <v>0</v>
      </c>
      <c r="T1094" s="541">
        <f>VLOOKUP(A1094,'Discount Lookup'!D:E,2,FALSE)*G1094</f>
        <v>0</v>
      </c>
      <c r="U1094" s="83">
        <f>VLOOKUP(A1094,'Discount Lookup'!G:H,2,FALSE)*G1094</f>
        <v>0</v>
      </c>
      <c r="V1094" s="100">
        <f>E1094*($J$1782)*G1094</f>
        <v>0</v>
      </c>
      <c r="W1094" s="100">
        <f t="shared" ref="W1094" si="2801">I1094</f>
        <v>0</v>
      </c>
      <c r="X1094" s="100" t="b">
        <f>IF(G1094&gt;0,IF(AD1094="me","",G1094))</f>
        <v>0</v>
      </c>
      <c r="Y1094" s="201"/>
      <c r="Z1094" s="829" t="str">
        <f t="shared" si="2719"/>
        <v/>
      </c>
      <c r="AA1094" s="829"/>
      <c r="AB1094" s="830" t="str">
        <f>IF(G1094=0,"",IF(AD1094="free","re-planting",IF(AD1094="me","not NVP, by",IF($AD$8="yes",(VLOOKUP(A1094,'Discount Lookup'!J:K,2)*G1094*(1-$AC$1786)*(1+$AC$1788)),IF(AD1094="NVP",(VLOOKUP(A1094,'Discount Lookup'!J:K,2)*G1094*(1-$AC$1786)*(1+$AC$1788)),IF(AD1094="free","re-planting",IF(G1094=0,"",IF($AD$8="",IF(AD1094="me","not NVP, by",IF(AD1094="",IF(G1094&gt;0,(VLOOKUP(A1094,'Discount Lookup'!J:K,2)*G1094*(1-$AC$1786)*(1+$AC$1788)),""),"")),"not NVP, by"))))))))</f>
        <v/>
      </c>
      <c r="AC1094" s="830"/>
      <c r="AD1094" s="375" t="str">
        <f t="shared" si="2703"/>
        <v/>
      </c>
      <c r="AE1094" s="833" t="str">
        <f t="shared" si="2681"/>
        <v/>
      </c>
      <c r="AF1094" s="833"/>
      <c r="AG1094" s="833"/>
      <c r="AH1094" s="91">
        <f>IF(AD1094="free",0,IF(AD1094="me",0,IF(G1094&gt;0,(VLOOKUP(A1094,'Discount Lookup'!J:K,2)*G1094),0)))</f>
        <v>0</v>
      </c>
      <c r="AI1094" s="92" t="str">
        <f t="shared" si="2757"/>
        <v/>
      </c>
      <c r="AJ1094" s="828" t="str">
        <f t="shared" si="2721"/>
        <v/>
      </c>
      <c r="AK1094" s="828"/>
      <c r="AL1094" s="313" t="str">
        <f t="shared" si="2659"/>
        <v/>
      </c>
      <c r="AM1094" s="312"/>
      <c r="AN1094" s="101"/>
      <c r="AO1094" s="101"/>
      <c r="AP1094" s="101"/>
      <c r="AQ1094" s="101"/>
      <c r="AR1094" s="101"/>
      <c r="AS1094" s="101"/>
      <c r="AT1094" s="101"/>
      <c r="AV1094" s="132"/>
    </row>
    <row r="1095" spans="1:48" ht="12.95" customHeight="1">
      <c r="A1095" s="506"/>
      <c r="B1095" s="149" t="s">
        <v>1413</v>
      </c>
      <c r="G1095" s="361"/>
      <c r="H1095" s="746"/>
      <c r="M1095" s="48"/>
      <c r="N1095" s="122" t="s">
        <v>622</v>
      </c>
      <c r="O1095" s="48"/>
      <c r="P1095" s="48"/>
      <c r="Q1095" s="48"/>
      <c r="R1095" s="48"/>
      <c r="S1095" s="82"/>
      <c r="T1095" s="540"/>
      <c r="U1095" s="83"/>
      <c r="V1095" s="100" t="b">
        <f>IF(G1095&gt;0,IF(AD1095="me","",G1095))</f>
        <v>0</v>
      </c>
      <c r="W1095" s="100"/>
      <c r="X1095" s="100"/>
      <c r="Y1095" s="201"/>
      <c r="Z1095" s="829" t="str">
        <f t="shared" si="2719"/>
        <v/>
      </c>
      <c r="AA1095" s="829"/>
      <c r="AB1095" s="830" t="str">
        <f>IF(G1095=0,"",IF(AD1095="free","re-planting",IF(AD1095="me","not NVP, by",IF($AD$8="yes",(VLOOKUP(A1095,'Discount Lookup'!J:K,2)*G1095*(1-$AC$1786)*(1+$AC$1788)),IF(AD1095="NVP",(VLOOKUP(A1095,'Discount Lookup'!J:K,2)*G1095*(1-$AC$1786)*(1+$AC$1788)),IF(AD1095="free","re-planting",IF(G1095=0,"",IF($AD$8="",IF(AD1095="me","not NVP, by",IF(AD1095="",IF(G1095&gt;0,(VLOOKUP(A1095,'Discount Lookup'!J:K,2)*G1095*(1-$AC$1786)*(1+$AC$1788)),""),"")),"not NVP, by"))))))))</f>
        <v/>
      </c>
      <c r="AC1095" s="830"/>
      <c r="AD1095" s="375" t="str">
        <f t="shared" si="2703"/>
        <v/>
      </c>
      <c r="AE1095" s="833" t="str">
        <f t="shared" si="2681"/>
        <v/>
      </c>
      <c r="AF1095" s="833"/>
      <c r="AG1095" s="833"/>
      <c r="AH1095" s="91">
        <f>IF(AD1095="free",0,IF(AD1095="me",0,IF(G1095&gt;0,(VLOOKUP(A1095,'Discount Lookup'!J:K,2)*G1095),0)))</f>
        <v>0</v>
      </c>
      <c r="AI1095" s="92" t="str">
        <f t="shared" si="2757"/>
        <v/>
      </c>
      <c r="AJ1095" s="828" t="str">
        <f t="shared" si="2721"/>
        <v/>
      </c>
      <c r="AK1095" s="828"/>
      <c r="AL1095" s="313" t="str">
        <f t="shared" si="2659"/>
        <v/>
      </c>
      <c r="AM1095" s="312"/>
      <c r="AN1095" s="101"/>
      <c r="AO1095" s="101"/>
      <c r="AP1095" s="101"/>
      <c r="AQ1095" s="101"/>
      <c r="AR1095" s="101"/>
      <c r="AS1095" s="101"/>
      <c r="AT1095" s="101"/>
      <c r="AV1095" s="132"/>
    </row>
    <row r="1096" spans="1:48" ht="12.95" customHeight="1">
      <c r="A1096" s="896" t="s">
        <v>1493</v>
      </c>
      <c r="B1096" s="897"/>
      <c r="C1096" s="897"/>
      <c r="D1096" s="897"/>
      <c r="E1096" s="897"/>
      <c r="F1096" s="897"/>
      <c r="G1096" s="897"/>
      <c r="H1096" s="776" t="s">
        <v>624</v>
      </c>
      <c r="I1096" s="88" t="s">
        <v>79</v>
      </c>
      <c r="J1096" s="86"/>
      <c r="K1096" s="603" t="s">
        <v>45</v>
      </c>
      <c r="L1096" s="601" t="s">
        <v>46</v>
      </c>
      <c r="M1096" s="86"/>
      <c r="N1096" s="87" t="s">
        <v>69</v>
      </c>
      <c r="O1096" s="87"/>
      <c r="P1096" s="88"/>
      <c r="Q1096" s="88"/>
      <c r="R1096" s="86"/>
      <c r="S1096" s="125"/>
      <c r="T1096" s="543"/>
      <c r="U1096" s="112"/>
      <c r="V1096" s="100" t="b">
        <f>IF(G1096&gt;0,IF(AD1096="me","",G1096))</f>
        <v>0</v>
      </c>
      <c r="W1096" s="100"/>
      <c r="X1096" s="100"/>
      <c r="Y1096" s="201"/>
      <c r="Z1096" s="829" t="str">
        <f t="shared" ref="Z1096" si="2802">IF(G1096=0,"",IF(AD1096="me","",IF($AD$8="me","",IF(AD1096="free","warranty",IF($AD$8="yes","NVP planting:","to NVP install:")))))</f>
        <v/>
      </c>
      <c r="AA1096" s="829"/>
      <c r="AB1096" s="830" t="str">
        <f>IF(G1096=0,"",IF(AD1096="free","re-planting",IF(AD1096="me","not NVP, by",IF($AD$8="yes",(VLOOKUP(A1096,'Discount Lookup'!J:K,2)*G1096*(1-$AC$1786)*(1+$AC$1788)),IF(AD1096="NVP",(VLOOKUP(A1096,'Discount Lookup'!J:K,2)*G1096*(1-$AC$1786)*(1+$AC$1788)),IF(AD1096="free","re-planting",IF(G1096=0,"",IF($AD$8="",IF(AD1096="me","not NVP, by",IF(AD1096="",IF(G1096&gt;0,(VLOOKUP(A1096,'Discount Lookup'!J:K,2)*G1096*(1-$AC$1786)*(1+$AC$1788)),""),"")),"not NVP, by"))))))))</f>
        <v/>
      </c>
      <c r="AC1096" s="830"/>
      <c r="AD1096" s="375" t="str">
        <f t="shared" si="2703"/>
        <v/>
      </c>
      <c r="AE1096" s="833" t="str">
        <f>IF(G1096&gt;0,(CONCATENATE((G1096)," quantity, ",(A1096)," ",B1096)),"")</f>
        <v/>
      </c>
      <c r="AF1096" s="833"/>
      <c r="AG1096" s="833"/>
      <c r="AH1096" s="91">
        <f>IF(AD1096="free",0,IF(AD1096="me",0,IF(G1096&gt;0,(VLOOKUP(A1096,'Discount Lookup'!J:K,2)*G1096),0)))</f>
        <v>0</v>
      </c>
      <c r="AI1096" s="92" t="str">
        <f t="shared" si="2757"/>
        <v/>
      </c>
      <c r="AJ1096" s="828" t="str">
        <f t="shared" ref="AJ1096" si="2803">IF(G1096=0,"",IF(AD1096="me","  delivery-only",IF($AD$8="me","  delivery-only",CONCATENATE(" $",ROUND(AI1096/G1096,2)," each"))))</f>
        <v/>
      </c>
      <c r="AK1096" s="828"/>
      <c r="AL1096" s="313" t="str">
        <f t="shared" si="2659"/>
        <v/>
      </c>
      <c r="AM1096" s="312"/>
      <c r="AN1096" s="101"/>
      <c r="AO1096" s="101"/>
      <c r="AP1096" s="101"/>
      <c r="AQ1096" s="101"/>
      <c r="AR1096" s="101"/>
      <c r="AS1096" s="101"/>
      <c r="AT1096" s="101"/>
    </row>
    <row r="1097" spans="1:48" ht="12.95" customHeight="1">
      <c r="A1097" s="419">
        <v>2</v>
      </c>
      <c r="B1097" s="87" t="s">
        <v>50</v>
      </c>
      <c r="C1097" s="399" t="s">
        <v>135</v>
      </c>
      <c r="D1097" s="129" t="s">
        <v>87</v>
      </c>
      <c r="E1097" s="98">
        <v>28.95</v>
      </c>
      <c r="F1097" s="705" t="s">
        <v>1306</v>
      </c>
      <c r="G1097" s="357">
        <v>0</v>
      </c>
      <c r="H1097" s="704" t="str">
        <f>IF(G1097=0,"",IF(F1097="Qty=",IF(G1097=1,"plant","plants"),IF(F1097&gt;0.0001,"warranty","Error")))</f>
        <v/>
      </c>
      <c r="I1097" s="98">
        <f>IF(F1097="Qty=",(E1097*G1097),((E1097*(1-F1097))*G1097))</f>
        <v>0</v>
      </c>
      <c r="J1097" s="98">
        <f>IF(H1097="warranty",0,(I1097*($J$1782)))</f>
        <v>0</v>
      </c>
      <c r="K1097" s="831">
        <f t="shared" ref="K1097" si="2804">I1097+J1097</f>
        <v>0</v>
      </c>
      <c r="L1097" s="831"/>
      <c r="M1097" s="832" t="str">
        <f>IF($H$1784=0,"",IF(G1097=0,"",IF(F1097="Qty=",CONCATENATE("$",ROUND(K1097*(1-$H$1784),2)," with ",($H$1784*100),"% discount"),CONCATENATE("$",ROUND(K1097*(1-$H$1784),2)," with ",(($H$1784*100+F1097*100)-($H$1784*100*F1097)),IF(F1097&gt;0,"% discounts",IF($H$1781&gt;0,"% discounts","% discount"))))))</f>
        <v/>
      </c>
      <c r="N1097" s="832"/>
      <c r="O1097" s="832"/>
      <c r="P1097" s="832"/>
      <c r="Q1097" s="832"/>
      <c r="R1097" s="832"/>
      <c r="S1097" s="303">
        <f>E1097*G1097</f>
        <v>0</v>
      </c>
      <c r="T1097" s="541">
        <f>VLOOKUP(A1097,'Discount Lookup'!D:E,2,FALSE)*G1097</f>
        <v>0</v>
      </c>
      <c r="U1097" s="83">
        <f>VLOOKUP(A1097,'Discount Lookup'!G:H,2,FALSE)*G1097</f>
        <v>0</v>
      </c>
      <c r="V1097" s="100">
        <f>E1097*($J$1782)*G1097</f>
        <v>0</v>
      </c>
      <c r="W1097" s="100">
        <f>I1097</f>
        <v>0</v>
      </c>
      <c r="X1097" s="100" t="b">
        <f>IF(G1097&gt;0,IF(AD1097="me","",G1097))</f>
        <v>0</v>
      </c>
      <c r="Y1097" s="201"/>
      <c r="Z1097" s="829" t="str">
        <f>IF(G1097=0,"",IF(AD1097="me","",IF($AD$8="me","",IF(AD1097="free","warranty",IF($AD$8="yes","NVP planting:","to NVP install:")))))</f>
        <v/>
      </c>
      <c r="AA1097" s="829"/>
      <c r="AB1097" s="830" t="str">
        <f>IF(G1097=0,"",IF(AD1097="free","re-planting",IF(AD1097="me","not NVP, by",IF($AD$8="yes",(VLOOKUP(A1097,'Discount Lookup'!J:K,2)*G1097*(1-$AC$1786)*(1+$AC$1788)),IF(AD1097="NVP",(VLOOKUP(A1097,'Discount Lookup'!J:K,2)*G1097*(1-$AC$1786)*(1+$AC$1788)),IF(AD1097="free","re-planting",IF(G1097=0,"",IF($AD$8="",IF(AD1097="me","not NVP, by",IF(AD1097="",IF(G1097&gt;0,(VLOOKUP(A1097,'Discount Lookup'!J:K,2)*G1097*(1-$AC$1786)*(1+$AC$1788)),""),"")),"not NVP, by"))))))))</f>
        <v/>
      </c>
      <c r="AC1097" s="830"/>
      <c r="AD1097" s="375" t="str">
        <f t="shared" si="2703"/>
        <v/>
      </c>
      <c r="AE1097" s="833" t="str">
        <f>IF(G1097&gt;0,(CONCATENATE((G1097)," quantity, ",(A1097)," ",B1097)),"")</f>
        <v/>
      </c>
      <c r="AF1097" s="833"/>
      <c r="AG1097" s="833"/>
      <c r="AH1097" s="91">
        <f>IF(AD1097="free",0,IF(AD1097="me",0,IF(G1097&gt;0,(VLOOKUP(A1097,'Discount Lookup'!J:K,2)*G1097),0)))</f>
        <v>0</v>
      </c>
      <c r="AI1097" s="92" t="str">
        <f t="shared" si="2757"/>
        <v/>
      </c>
      <c r="AJ1097" s="828" t="str">
        <f>IF(G1097=0,"",IF(AD1097="me","  delivery-only",IF($AD$8="me","  delivery-only",CONCATENATE(" $",ROUND(AI1097/G1097,2)," each"))))</f>
        <v/>
      </c>
      <c r="AK1097" s="828"/>
      <c r="AL1097" s="313" t="str">
        <f t="shared" si="2659"/>
        <v/>
      </c>
      <c r="AM1097" s="312"/>
      <c r="AN1097" s="101"/>
      <c r="AO1097" s="101"/>
      <c r="AP1097" s="101"/>
      <c r="AQ1097" s="101"/>
      <c r="AR1097" s="101"/>
      <c r="AS1097" s="101"/>
      <c r="AT1097" s="101"/>
    </row>
    <row r="1098" spans="1:48" ht="12.95" customHeight="1">
      <c r="A1098" s="482"/>
      <c r="B1098" s="149" t="s">
        <v>1532</v>
      </c>
      <c r="G1098" s="361"/>
      <c r="H1098" s="749"/>
      <c r="M1098" s="48"/>
      <c r="N1098" s="48"/>
      <c r="O1098" s="48"/>
      <c r="P1098" s="111"/>
      <c r="Q1098" s="841"/>
      <c r="R1098" s="841"/>
      <c r="S1098" s="841"/>
      <c r="T1098" s="841"/>
      <c r="U1098" s="841"/>
      <c r="V1098" s="841"/>
      <c r="W1098" s="100"/>
      <c r="X1098" s="100"/>
      <c r="Y1098" s="201"/>
      <c r="Z1098" s="829" t="str">
        <f t="shared" ref="Z1098" si="2805">IF(G1098=0,"",IF(AD1098="me","",IF($AD$8="me","",IF(AD1098="free","warranty",IF($AD$8="yes","NVP planting:","to NVP install:")))))</f>
        <v/>
      </c>
      <c r="AA1098" s="829"/>
      <c r="AB1098" s="830" t="str">
        <f>IF(G1098=0,"",IF(AD1098="free","re-planting",IF(AD1098="me","not NVP, by",IF($AD$8="yes",(VLOOKUP(A1098,'Discount Lookup'!J:K,2)*G1098*(1-$AC$1786)*(1+$AC$1788)),IF(AD1098="NVP",(VLOOKUP(A1098,'Discount Lookup'!J:K,2)*G1098*(1-$AC$1786)*(1+$AC$1788)),IF(AD1098="free","re-planting",IF(G1098=0,"",IF($AD$8="",IF(AD1098="me","not NVP, by",IF(AD1098="",IF(G1098&gt;0,(VLOOKUP(A1098,'Discount Lookup'!J:K,2)*G1098*(1-$AC$1786)*(1+$AC$1788)),""),"")),"not NVP, by"))))))))</f>
        <v/>
      </c>
      <c r="AC1098" s="830"/>
      <c r="AD1098" s="375" t="str">
        <f t="shared" si="2703"/>
        <v/>
      </c>
      <c r="AE1098" s="833" t="str">
        <f t="shared" ref="AE1098" si="2806">IF(G1098&gt;0,(CONCATENATE((G1098)," quantity, ",(A1098)," ",B1098)),"")</f>
        <v/>
      </c>
      <c r="AF1098" s="833"/>
      <c r="AG1098" s="833"/>
      <c r="AH1098" s="91">
        <f>IF(AD1098="free",0,IF(AD1098="me",0,IF(G1098&gt;0,(VLOOKUP(A1098,'Discount Lookup'!J:K,2)*G1098),0)))</f>
        <v>0</v>
      </c>
      <c r="AI1098" s="92" t="str">
        <f t="shared" si="2757"/>
        <v/>
      </c>
      <c r="AJ1098" s="828" t="str">
        <f t="shared" ref="AJ1098" si="2807">IF(G1098=0,"",IF(AD1098="me","  delivery-only",IF($AD$8="me","  delivery-only",CONCATENATE(" $",ROUND(AI1098/G1098,2)," each"))))</f>
        <v/>
      </c>
      <c r="AK1098" s="828"/>
      <c r="AL1098" s="313" t="str">
        <f t="shared" si="2659"/>
        <v/>
      </c>
      <c r="AM1098" s="312"/>
      <c r="AN1098" s="101"/>
      <c r="AO1098" s="101"/>
      <c r="AP1098" s="101"/>
      <c r="AQ1098" s="101"/>
      <c r="AR1098" s="101"/>
      <c r="AS1098" s="101"/>
      <c r="AT1098" s="101"/>
    </row>
    <row r="1099" spans="1:48" ht="12.95" customHeight="1">
      <c r="A1099" s="486"/>
      <c r="B1099" s="194"/>
      <c r="C1099" s="117"/>
      <c r="D1099" s="118"/>
      <c r="E1099" s="119"/>
      <c r="F1099" s="711"/>
      <c r="G1099" s="356"/>
      <c r="H1099" s="745"/>
      <c r="K1099" s="609"/>
      <c r="L1099" s="609"/>
      <c r="M1099" s="121"/>
      <c r="N1099" s="840"/>
      <c r="O1099" s="840"/>
      <c r="P1099" s="124"/>
      <c r="Q1099" s="841" t="s">
        <v>125</v>
      </c>
      <c r="R1099" s="841"/>
      <c r="S1099" s="841"/>
      <c r="T1099" s="841"/>
      <c r="U1099" s="841"/>
      <c r="V1099" s="841"/>
      <c r="Y1099" s="132"/>
      <c r="Z1099" s="829" t="str">
        <f t="shared" si="2719"/>
        <v/>
      </c>
      <c r="AA1099" s="829"/>
      <c r="AB1099" s="830" t="str">
        <f>IF(G1099=0,"",IF(AD1099="free","re-planting",IF(AD1099="me","not NVP, by",IF($AD$8="yes",(VLOOKUP(A1099,'Discount Lookup'!J:K,2)*G1099*(1-$AC$1786)*(1+$AC$1788)),IF(AD1099="NVP",(VLOOKUP(A1099,'Discount Lookup'!J:K,2)*G1099*(1-$AC$1786)*(1+$AC$1788)),IF(AD1099="free","re-planting",IF(G1099=0,"",IF($AD$8="",IF(AD1099="me","not NVP, by",IF(AD1099="",IF(G1099&gt;0,(VLOOKUP(A1099,'Discount Lookup'!J:K,2)*G1099*(1-$AC$1786)*(1+$AC$1788)),""),"")),"not NVP, by"))))))))</f>
        <v/>
      </c>
      <c r="AC1099" s="830"/>
      <c r="AD1099" s="375" t="str">
        <f t="shared" si="2703"/>
        <v/>
      </c>
      <c r="AE1099" s="833" t="str">
        <f t="shared" si="2681"/>
        <v/>
      </c>
      <c r="AF1099" s="833"/>
      <c r="AG1099" s="833"/>
      <c r="AH1099" s="91">
        <f>IF(AD1099="free",0,IF(AD1099="me",0,IF(G1099&gt;0,(VLOOKUP(A1099,'Discount Lookup'!J:K,2)*G1099),0)))</f>
        <v>0</v>
      </c>
      <c r="AI1099" s="92" t="str">
        <f t="shared" si="2757"/>
        <v/>
      </c>
      <c r="AJ1099" s="828" t="str">
        <f t="shared" si="2721"/>
        <v/>
      </c>
      <c r="AK1099" s="828"/>
      <c r="AL1099" s="313" t="str">
        <f t="shared" ref="AL1099:AL1162" si="2808">IF(AD1099="free","      ~ discounts included, no tax or planting fee applies ~",IF(G1099=0,"",IF($AD$8="me",CONCATENATE(" $",ROUND(AI1099/G1099,2)," per plant, with tax &amp; discount"),IF(AD1099="me",CONCATENATE(" $",ROUND(AI1099/G1099,2)," per plant, with tax &amp; discount"),CONCATENATE("= $",ROUND((K1099*(1-$H$1784))/G1099,2)," per plant + $",AB1099/G1099,(" per planting      ~ includes tax &amp; discounts ~"))))))</f>
        <v/>
      </c>
      <c r="AM1099" s="312"/>
      <c r="AN1099" s="101"/>
      <c r="AO1099" s="101"/>
      <c r="AP1099" s="101"/>
      <c r="AQ1099" s="101"/>
      <c r="AR1099" s="101"/>
      <c r="AS1099" s="101"/>
      <c r="AT1099" s="101"/>
    </row>
    <row r="1100" spans="1:48" ht="12.95" customHeight="1">
      <c r="A1100" s="1035" t="s">
        <v>626</v>
      </c>
      <c r="B1100" s="1036"/>
      <c r="C1100" s="1036"/>
      <c r="D1100" s="1036"/>
      <c r="E1100" s="1036"/>
      <c r="F1100" s="716"/>
      <c r="G1100" s="381"/>
      <c r="H1100" s="751"/>
      <c r="I1100" s="521" t="str">
        <f>IF($A$8="show",COUNTIF($G$1100:$G$1328,"&gt;0"),IF($E$1="Quote","",IF($E$1="Order","",IF($E$1="Delivered","",IF($E$1="Completed","",IF(SUM($G$1100:$G$1328)=0,"",COUNTIF($G$1100:$G$1328,"&gt;0")))))))</f>
        <v/>
      </c>
      <c r="J1100" s="522" t="str">
        <f>IF($A$8="show",CONCATENATE("DS picked, ",SUM($G$1100:$G$1328)," DS plants total"),IF($E$1="Quote","",IF($E$1="Order","",IF($E$1="Delivered","",IF($E$1="Completed","",IF(SUM($G$1100:$G$1328)&gt;0,CONCATENATE("DS picked, ",SUM($G$1100:$G$1328)," DS plants total"),""))))))</f>
        <v/>
      </c>
      <c r="K1100" s="610"/>
      <c r="L1100" s="635"/>
      <c r="M1100" s="856" t="s">
        <v>258</v>
      </c>
      <c r="N1100" s="857"/>
      <c r="O1100" s="858"/>
      <c r="P1100" s="873" t="s">
        <v>259</v>
      </c>
      <c r="Q1100" s="874"/>
      <c r="R1100" s="874"/>
      <c r="S1100" s="874"/>
      <c r="T1100" s="874"/>
      <c r="U1100" s="874"/>
      <c r="V1100" s="100"/>
      <c r="W1100" s="100"/>
      <c r="X1100" s="100"/>
      <c r="Y1100" s="201"/>
      <c r="Z1100" s="829" t="str">
        <f t="shared" si="2719"/>
        <v/>
      </c>
      <c r="AA1100" s="829"/>
      <c r="AB1100" s="830" t="str">
        <f>IF(G1100=0,"",IF(AD1100="free","re-planting",IF(AD1100="me","not NVP, by",IF($AD$8="yes",(VLOOKUP(A1100,'Discount Lookup'!J:K,2)*G1100*(1-$AC$1786)*(1+$AC$1788)),IF(AD1100="NVP",(VLOOKUP(A1100,'Discount Lookup'!J:K,2)*G1100*(1-$AC$1786)*(1+$AC$1788)),IF(AD1100="free","re-planting",IF(G1100=0,"",IF($AD$8="",IF(AD1100="me","not NVP, by",IF(AD1100="",IF(G1100&gt;0,(VLOOKUP(A1100,'Discount Lookup'!J:K,2)*G1100*(1-$AC$1786)*(1+$AC$1788)),""),"")),"not NVP, by"))))))))</f>
        <v/>
      </c>
      <c r="AC1100" s="830"/>
      <c r="AD1100" s="375" t="str">
        <f t="shared" ref="AD1100:AD1162" si="2809">IF(G1100=0,"",IF($AD$8="me","me",IF(H1100="warranty","free",IF($AD$8="yes","NVP",""))))</f>
        <v/>
      </c>
      <c r="AE1100" s="833" t="str">
        <f t="shared" ref="AE1100:AE1179" si="2810">IF(G1100&gt;0,(CONCATENATE((G1100)," quantity, ",(A1100)," ",B1100)),"")</f>
        <v/>
      </c>
      <c r="AF1100" s="833"/>
      <c r="AG1100" s="833"/>
      <c r="AH1100" s="91">
        <f>IF(AD1100="free",0,IF(AD1100="me",0,IF(G1100&gt;0,(VLOOKUP(A1100,'Discount Lookup'!J:K,2)*G1100),0)))</f>
        <v>0</v>
      </c>
      <c r="AI1100" s="92" t="str">
        <f t="shared" si="2757"/>
        <v/>
      </c>
      <c r="AJ1100" s="828" t="str">
        <f t="shared" si="2721"/>
        <v/>
      </c>
      <c r="AK1100" s="828"/>
      <c r="AL1100" s="313" t="str">
        <f t="shared" si="2808"/>
        <v/>
      </c>
      <c r="AM1100" s="312"/>
      <c r="AN1100" s="101"/>
      <c r="AO1100" s="101"/>
      <c r="AP1100" s="101"/>
      <c r="AQ1100" s="101"/>
      <c r="AR1100" s="101"/>
      <c r="AS1100" s="101"/>
      <c r="AT1100" s="101"/>
    </row>
    <row r="1101" spans="1:48" ht="12.95" customHeight="1">
      <c r="A1101" s="894" t="s">
        <v>1669</v>
      </c>
      <c r="B1101" s="895"/>
      <c r="C1101" s="895"/>
      <c r="D1101" s="895"/>
      <c r="E1101" s="895"/>
      <c r="F1101" s="895"/>
      <c r="G1101" s="895"/>
      <c r="H1101" s="775" t="s">
        <v>363</v>
      </c>
      <c r="I1101" s="164" t="s">
        <v>79</v>
      </c>
      <c r="J1101" s="157"/>
      <c r="K1101" s="611" t="s">
        <v>45</v>
      </c>
      <c r="L1101" s="630" t="s">
        <v>46</v>
      </c>
      <c r="M1101" s="157"/>
      <c r="N1101" s="158" t="s">
        <v>69</v>
      </c>
      <c r="O1101" s="158"/>
      <c r="P1101" s="164"/>
      <c r="Q1101" s="164"/>
      <c r="R1101" s="157"/>
      <c r="S1101" s="170"/>
      <c r="T1101" s="547"/>
      <c r="U1101" s="171"/>
      <c r="V1101" s="100" t="b">
        <f>IF(G1101&gt;0,IF(AD1101="me","",G1101))</f>
        <v>0</v>
      </c>
      <c r="W1101" s="100"/>
      <c r="X1101" s="100"/>
      <c r="Y1101" s="201"/>
      <c r="Z1101" s="829" t="str">
        <f t="shared" ref="Z1101:Z1104" si="2811">IF(G1101=0,"",IF(AD1101="me","",IF($AD$8="me","",IF(AD1101="free","warranty",IF($AD$8="yes","NVP planting:","to NVP install:")))))</f>
        <v/>
      </c>
      <c r="AA1101" s="829"/>
      <c r="AB1101" s="830" t="str">
        <f>IF(G1101=0,"",IF(AD1101="free","re-planting",IF(AD1101="me","not NVP, by",IF($AD$8="yes",(VLOOKUP(A1101,'Discount Lookup'!J:K,2)*G1101*(1-$AC$1786)*(1+$AC$1788)),IF(AD1101="NVP",(VLOOKUP(A1101,'Discount Lookup'!J:K,2)*G1101*(1-$AC$1786)*(1+$AC$1788)),IF(AD1101="free","re-planting",IF(G1101=0,"",IF($AD$8="",IF(AD1101="me","not NVP, by",IF(AD1101="",IF(G1101&gt;0,(VLOOKUP(A1101,'Discount Lookup'!J:K,2)*G1101*(1-$AC$1786)*(1+$AC$1788)),""),"")),"not NVP, by"))))))))</f>
        <v/>
      </c>
      <c r="AC1101" s="830"/>
      <c r="AD1101" s="375" t="str">
        <f t="shared" ref="AD1101:AD1104" si="2812">IF(G1101=0,"",IF($AD$8="me","me",IF(H1101="warranty","free",IF($AD$8="yes","NVP",""))))</f>
        <v/>
      </c>
      <c r="AE1101" s="833" t="str">
        <f t="shared" ref="AE1101:AE1104" si="2813">IF(G1101&gt;0,(CONCATENATE((G1101)," quantity, ",(A1101)," ",B1101)),"")</f>
        <v/>
      </c>
      <c r="AF1101" s="833"/>
      <c r="AG1101" s="833"/>
      <c r="AH1101" s="91">
        <f>IF(AD1101="free",0,IF(AD1101="me",0,IF(G1101&gt;0,(VLOOKUP(A1101,'Discount Lookup'!J:K,2)*G1101),0)))</f>
        <v>0</v>
      </c>
      <c r="AI1101" s="92" t="str">
        <f t="shared" si="2757"/>
        <v/>
      </c>
      <c r="AJ1101" s="828" t="str">
        <f t="shared" ref="AJ1101:AJ1104" si="2814">IF(G1101=0,"",IF(AD1101="me","  delivery-only",IF($AD$8="me","  delivery-only",CONCATENATE(" $",ROUND(AI1101/G1101,2)," each"))))</f>
        <v/>
      </c>
      <c r="AK1101" s="828"/>
      <c r="AL1101" s="313" t="str">
        <f t="shared" si="2808"/>
        <v/>
      </c>
      <c r="AM1101" s="312"/>
      <c r="AN1101" s="101"/>
      <c r="AO1101" s="101"/>
      <c r="AP1101" s="101"/>
      <c r="AQ1101" s="101"/>
      <c r="AR1101" s="101"/>
      <c r="AS1101" s="101"/>
      <c r="AT1101" s="101"/>
    </row>
    <row r="1102" spans="1:48" ht="12.95" customHeight="1">
      <c r="A1102" s="383">
        <v>3</v>
      </c>
      <c r="B1102" s="158" t="s">
        <v>50</v>
      </c>
      <c r="C1102" s="168" t="s">
        <v>51</v>
      </c>
      <c r="D1102" s="161" t="s">
        <v>63</v>
      </c>
      <c r="E1102" s="162">
        <v>35.950000000000003</v>
      </c>
      <c r="F1102" s="713" t="s">
        <v>1306</v>
      </c>
      <c r="G1102" s="357">
        <v>0</v>
      </c>
      <c r="H1102" s="748" t="str">
        <f t="shared" ref="H1102:H1103" si="2815">IF(G1102=0,"",IF(F1102="Qty=",IF(G1102=1,"plant","plants"),IF(F1102&gt;0.0001,"warranty","Error")))</f>
        <v/>
      </c>
      <c r="I1102" s="592">
        <f t="shared" ref="I1102:I1103" si="2816">IF(F1102="Qty=",(E1102*G1102),((E1102*(1-F1102))*G1102))</f>
        <v>0</v>
      </c>
      <c r="J1102" s="592">
        <f>IF(H1102="warranty",0,(I1102*($J$1782)))</f>
        <v>0</v>
      </c>
      <c r="K1102" s="834">
        <f t="shared" ref="K1102:K1103" si="2817">I1102+J1102</f>
        <v>0</v>
      </c>
      <c r="L1102" s="834"/>
      <c r="M1102" s="832" t="str">
        <f>IF($H$1784=0,"",IF(G1102=0,"",IF(F1102="Qty=",CONCATENATE("$",ROUND(K1102*(1-$H$1784),2)," with ",($H$1784*100),"% discount"),CONCATENATE("$",ROUND(K1102*(1-$H$1784),2)," with ",(($H$1784*100+F1102*100)-($H$1784*100*F1102)),IF(F1102&gt;0,"% discounts",IF($H$1781&gt;0,"% discounts","% discount"))))))</f>
        <v/>
      </c>
      <c r="N1102" s="832"/>
      <c r="O1102" s="832"/>
      <c r="P1102" s="832"/>
      <c r="Q1102" s="832"/>
      <c r="R1102" s="832"/>
      <c r="S1102" s="303">
        <f t="shared" ref="S1102:S1103" si="2818">E1102*G1102</f>
        <v>0</v>
      </c>
      <c r="T1102" s="541">
        <f>VLOOKUP(A1102,'Discount Lookup'!D:E,2,FALSE)*G1102</f>
        <v>0</v>
      </c>
      <c r="U1102" s="83">
        <f>VLOOKUP(A1102,'Discount Lookup'!G:H,2,FALSE)*G1102</f>
        <v>0</v>
      </c>
      <c r="V1102" s="100">
        <f>E1102*($J$1782)*G1102</f>
        <v>0</v>
      </c>
      <c r="W1102" s="100">
        <f t="shared" ref="W1102:W1103" si="2819">I1102</f>
        <v>0</v>
      </c>
      <c r="X1102" s="100" t="b">
        <f>IF(G1102&gt;0,IF(AD1102="me","",G1102))</f>
        <v>0</v>
      </c>
      <c r="Y1102" s="201"/>
      <c r="Z1102" s="829" t="str">
        <f t="shared" si="2811"/>
        <v/>
      </c>
      <c r="AA1102" s="829"/>
      <c r="AB1102" s="830" t="str">
        <f>IF(G1102=0,"",IF(AD1102="free","re-planting",IF(AD1102="me","not NVP, by",IF($AD$8="yes",(VLOOKUP(A1102,'Discount Lookup'!J:K,2)*G1102*(1-$AC$1786)*(1+$AC$1788)),IF(AD1102="NVP",(VLOOKUP(A1102,'Discount Lookup'!J:K,2)*G1102*(1-$AC$1786)*(1+$AC$1788)),IF(AD1102="free","re-planting",IF(G1102=0,"",IF($AD$8="",IF(AD1102="me","not NVP, by",IF(AD1102="",IF(G1102&gt;0,(VLOOKUP(A1102,'Discount Lookup'!J:K,2)*G1102*(1-$AC$1786)*(1+$AC$1788)),""),"")),"not NVP, by"))))))))</f>
        <v/>
      </c>
      <c r="AC1102" s="830"/>
      <c r="AD1102" s="375" t="str">
        <f t="shared" si="2812"/>
        <v/>
      </c>
      <c r="AE1102" s="833" t="str">
        <f t="shared" si="2813"/>
        <v/>
      </c>
      <c r="AF1102" s="833"/>
      <c r="AG1102" s="833"/>
      <c r="AH1102" s="91">
        <f>IF(AD1102="free",0,IF(AD1102="me",0,IF(G1102&gt;0,(VLOOKUP(A1102,'Discount Lookup'!J:K,2)*G1102),0)))</f>
        <v>0</v>
      </c>
      <c r="AI1102" s="92" t="str">
        <f t="shared" si="2757"/>
        <v/>
      </c>
      <c r="AJ1102" s="828" t="str">
        <f t="shared" si="2814"/>
        <v/>
      </c>
      <c r="AK1102" s="828"/>
      <c r="AL1102" s="313" t="str">
        <f t="shared" si="2808"/>
        <v/>
      </c>
      <c r="AM1102" s="312"/>
      <c r="AN1102" s="101"/>
      <c r="AO1102" s="101"/>
      <c r="AP1102" s="101"/>
      <c r="AQ1102" s="101"/>
      <c r="AR1102" s="101"/>
      <c r="AS1102" s="101"/>
      <c r="AT1102" s="101"/>
    </row>
    <row r="1103" spans="1:48" ht="12.95" customHeight="1">
      <c r="A1103" s="383">
        <v>7</v>
      </c>
      <c r="B1103" s="158" t="s">
        <v>50</v>
      </c>
      <c r="C1103" s="160" t="s">
        <v>137</v>
      </c>
      <c r="D1103" s="161" t="s">
        <v>63</v>
      </c>
      <c r="E1103" s="162">
        <v>79.95</v>
      </c>
      <c r="F1103" s="713" t="s">
        <v>1306</v>
      </c>
      <c r="G1103" s="357">
        <v>0</v>
      </c>
      <c r="H1103" s="748" t="str">
        <f t="shared" si="2815"/>
        <v/>
      </c>
      <c r="I1103" s="592">
        <f t="shared" si="2816"/>
        <v>0</v>
      </c>
      <c r="J1103" s="592">
        <f>IF(H1103="warranty",0,(I1103*($J$1782)))</f>
        <v>0</v>
      </c>
      <c r="K1103" s="834">
        <f t="shared" si="2817"/>
        <v>0</v>
      </c>
      <c r="L1103" s="834"/>
      <c r="M1103" s="832" t="str">
        <f>IF($H$1784=0,"",IF(G1103=0,"",IF(F1103="Qty=",CONCATENATE("$",ROUND(K1103*(1-$H$1784),2)," with ",($H$1784*100),"% discount"),CONCATENATE("$",ROUND(K1103*(1-$H$1784),2)," with ",(($H$1784*100+F1103*100)-($H$1784*100*F1103)),IF(F1103&gt;0,"% discounts",IF($H$1781&gt;0,"% discounts","% discount"))))))</f>
        <v/>
      </c>
      <c r="N1103" s="832"/>
      <c r="O1103" s="832"/>
      <c r="P1103" s="832"/>
      <c r="Q1103" s="832"/>
      <c r="R1103" s="832"/>
      <c r="S1103" s="303">
        <f t="shared" si="2818"/>
        <v>0</v>
      </c>
      <c r="T1103" s="541">
        <f>VLOOKUP(A1103,'Discount Lookup'!D:E,2,FALSE)*G1103</f>
        <v>0</v>
      </c>
      <c r="U1103" s="83">
        <f>VLOOKUP(A1103,'Discount Lookup'!G:H,2,FALSE)*G1103</f>
        <v>0</v>
      </c>
      <c r="V1103" s="100">
        <f>E1103*($J$1782)*G1103</f>
        <v>0</v>
      </c>
      <c r="W1103" s="100">
        <f t="shared" si="2819"/>
        <v>0</v>
      </c>
      <c r="X1103" s="100" t="b">
        <f>IF(G1103&gt;0,IF(AD1103="me","",G1103))</f>
        <v>0</v>
      </c>
      <c r="Y1103" s="201"/>
      <c r="Z1103" s="829" t="str">
        <f t="shared" si="2811"/>
        <v/>
      </c>
      <c r="AA1103" s="829"/>
      <c r="AB1103" s="830" t="str">
        <f>IF(G1103=0,"",IF(AD1103="free","re-planting",IF(AD1103="me","not NVP, by",IF($AD$8="yes",(VLOOKUP(A1103,'Discount Lookup'!J:K,2)*G1103*(1-$AC$1786)*(1+$AC$1788)),IF(AD1103="NVP",(VLOOKUP(A1103,'Discount Lookup'!J:K,2)*G1103*(1-$AC$1786)*(1+$AC$1788)),IF(AD1103="free","re-planting",IF(G1103=0,"",IF($AD$8="",IF(AD1103="me","not NVP, by",IF(AD1103="",IF(G1103&gt;0,(VLOOKUP(A1103,'Discount Lookup'!J:K,2)*G1103*(1-$AC$1786)*(1+$AC$1788)),""),"")),"not NVP, by"))))))))</f>
        <v/>
      </c>
      <c r="AC1103" s="830"/>
      <c r="AD1103" s="375" t="str">
        <f t="shared" si="2812"/>
        <v/>
      </c>
      <c r="AE1103" s="833" t="str">
        <f t="shared" si="2813"/>
        <v/>
      </c>
      <c r="AF1103" s="833"/>
      <c r="AG1103" s="833"/>
      <c r="AH1103" s="91">
        <f>IF(AD1103="free",0,IF(AD1103="me",0,IF(G1103&gt;0,(VLOOKUP(A1103,'Discount Lookup'!J:K,2)*G1103),0)))</f>
        <v>0</v>
      </c>
      <c r="AI1103" s="92" t="str">
        <f t="shared" si="2757"/>
        <v/>
      </c>
      <c r="AJ1103" s="828" t="str">
        <f t="shared" si="2814"/>
        <v/>
      </c>
      <c r="AK1103" s="828"/>
      <c r="AL1103" s="313" t="str">
        <f t="shared" si="2808"/>
        <v/>
      </c>
      <c r="AM1103" s="312"/>
      <c r="AN1103" s="101"/>
      <c r="AO1103" s="101"/>
      <c r="AP1103" s="101"/>
      <c r="AQ1103" s="101"/>
      <c r="AR1103" s="101"/>
      <c r="AS1103" s="101"/>
      <c r="AT1103" s="101"/>
    </row>
    <row r="1104" spans="1:48" ht="12.95" customHeight="1">
      <c r="A1104" s="481"/>
      <c r="B1104" s="149" t="s">
        <v>1670</v>
      </c>
      <c r="G1104" s="361"/>
      <c r="H1104" s="746"/>
      <c r="M1104" s="48"/>
      <c r="N1104" s="122" t="s">
        <v>336</v>
      </c>
      <c r="O1104" s="48"/>
      <c r="P1104" s="48"/>
      <c r="Q1104" s="48"/>
      <c r="R1104" s="48"/>
      <c r="S1104" s="82">
        <f>E1104*G1104</f>
        <v>0</v>
      </c>
      <c r="T1104" s="540"/>
      <c r="U1104" s="83"/>
      <c r="V1104" s="100" t="b">
        <f>IF(G1104&gt;0,IF(AD1104="me","",G1104))</f>
        <v>0</v>
      </c>
      <c r="W1104" s="100"/>
      <c r="X1104" s="100"/>
      <c r="Y1104" s="201"/>
      <c r="Z1104" s="829" t="str">
        <f t="shared" si="2811"/>
        <v/>
      </c>
      <c r="AA1104" s="829"/>
      <c r="AB1104" s="830" t="str">
        <f>IF(G1104=0,"",IF(AD1104="free","re-planting",IF(AD1104="me","not NVP, by",IF($AD$8="yes",(VLOOKUP(A1104,'Discount Lookup'!J:K,2)*G1104*(1-$AC$1786)*(1+$AC$1788)),IF(AD1104="NVP",(VLOOKUP(A1104,'Discount Lookup'!J:K,2)*G1104*(1-$AC$1786)*(1+$AC$1788)),IF(AD1104="free","re-planting",IF(G1104=0,"",IF($AD$8="",IF(AD1104="me","not NVP, by",IF(AD1104="",IF(G1104&gt;0,(VLOOKUP(A1104,'Discount Lookup'!J:K,2)*G1104*(1-$AC$1786)*(1+$AC$1788)),""),"")),"not NVP, by"))))))))</f>
        <v/>
      </c>
      <c r="AC1104" s="830"/>
      <c r="AD1104" s="375" t="str">
        <f t="shared" si="2812"/>
        <v/>
      </c>
      <c r="AE1104" s="833" t="str">
        <f t="shared" si="2813"/>
        <v/>
      </c>
      <c r="AF1104" s="833"/>
      <c r="AG1104" s="833"/>
      <c r="AH1104" s="91">
        <f>IF(AD1104="free",0,IF(AD1104="me",0,IF(G1104&gt;0,(VLOOKUP(A1104,'Discount Lookup'!J:K,2)*G1104),0)))</f>
        <v>0</v>
      </c>
      <c r="AI1104" s="92" t="str">
        <f t="shared" si="2757"/>
        <v/>
      </c>
      <c r="AJ1104" s="828" t="str">
        <f t="shared" si="2814"/>
        <v/>
      </c>
      <c r="AK1104" s="828"/>
      <c r="AL1104" s="313" t="str">
        <f t="shared" si="2808"/>
        <v/>
      </c>
      <c r="AM1104" s="312"/>
      <c r="AN1104" s="101"/>
      <c r="AO1104" s="101"/>
      <c r="AP1104" s="101"/>
      <c r="AQ1104" s="101"/>
      <c r="AR1104" s="101"/>
      <c r="AS1104" s="101"/>
      <c r="AT1104" s="101"/>
    </row>
    <row r="1105" spans="1:46" ht="12.95" customHeight="1">
      <c r="A1105" s="899" t="s">
        <v>627</v>
      </c>
      <c r="B1105" s="895"/>
      <c r="C1105" s="895"/>
      <c r="D1105" s="895"/>
      <c r="E1105" s="895"/>
      <c r="F1105" s="895"/>
      <c r="G1105" s="895"/>
      <c r="H1105" s="775" t="s">
        <v>197</v>
      </c>
      <c r="I1105" s="164" t="s">
        <v>79</v>
      </c>
      <c r="J1105" s="157"/>
      <c r="K1105" s="613" t="s">
        <v>45</v>
      </c>
      <c r="L1105" s="633" t="s">
        <v>46</v>
      </c>
      <c r="M1105" s="157"/>
      <c r="N1105" s="158" t="s">
        <v>69</v>
      </c>
      <c r="O1105" s="165"/>
      <c r="P1105" s="166"/>
      <c r="Q1105" s="166"/>
      <c r="R1105" s="157"/>
      <c r="S1105" s="170"/>
      <c r="T1105" s="547"/>
      <c r="U1105" s="171"/>
      <c r="V1105" s="100" t="b">
        <f>IF(G1105&gt;0,IF(AD1105="me","",G1105))</f>
        <v>0</v>
      </c>
      <c r="W1105" s="100"/>
      <c r="X1105" s="100"/>
      <c r="Y1105" s="201"/>
      <c r="Z1105" s="829" t="str">
        <f>IF(G1105=0,"",IF(AD1105="me","",IF($AD$8="me","",IF(AD1105="free","warranty",IF($AD$8="yes","NVP planting:","to NVP install:")))))</f>
        <v/>
      </c>
      <c r="AA1105" s="829"/>
      <c r="AB1105" s="830" t="str">
        <f>IF(G1105=0,"",IF(AD1105="free","re-planting",IF(AD1105="me","not NVP, by",IF($AD$8="yes",(VLOOKUP(A1105,'Discount Lookup'!J:K,2)*G1105*(1-$AC$1786)*(1+$AC$1788)),IF(AD1105="NVP",(VLOOKUP(A1105,'Discount Lookup'!J:K,2)*G1105*(1-$AC$1786)*(1+$AC$1788)),IF(AD1105="free","re-planting",IF(G1105=0,"",IF($AD$8="",IF(AD1105="me","not NVP, by",IF(AD1105="",IF(G1105&gt;0,(VLOOKUP(A1105,'Discount Lookup'!J:K,2)*G1105*(1-$AC$1786)*(1+$AC$1788)),""),"")),"not NVP, by"))))))))</f>
        <v/>
      </c>
      <c r="AC1105" s="830"/>
      <c r="AD1105" s="375" t="str">
        <f t="shared" si="2809"/>
        <v/>
      </c>
      <c r="AE1105" s="833" t="str">
        <f>IF(G1105&gt;0,(CONCATENATE((G1105)," quantity, ",(A1105)," ",B1105)),"")</f>
        <v/>
      </c>
      <c r="AF1105" s="833"/>
      <c r="AG1105" s="833"/>
      <c r="AH1105" s="91" t="s">
        <v>109</v>
      </c>
      <c r="AI1105" s="92" t="str">
        <f t="shared" si="2757"/>
        <v/>
      </c>
      <c r="AJ1105" s="828" t="str">
        <f>IF(G1105=0,"",IF(AD1105="me","  delivery-only",CONCATENATE(" $",ROUND(AI1105/G1105,2)," each")))</f>
        <v/>
      </c>
      <c r="AK1105" s="828"/>
      <c r="AL1105" s="313" t="str">
        <f t="shared" si="2808"/>
        <v/>
      </c>
      <c r="AM1105" s="312"/>
      <c r="AN1105" s="101"/>
      <c r="AO1105" s="101"/>
      <c r="AP1105" s="101"/>
      <c r="AQ1105" s="101"/>
      <c r="AR1105" s="101"/>
      <c r="AS1105" s="101"/>
      <c r="AT1105" s="101"/>
    </row>
    <row r="1106" spans="1:46" ht="12.95" customHeight="1">
      <c r="A1106" s="448">
        <v>5</v>
      </c>
      <c r="B1106" s="158" t="s">
        <v>50</v>
      </c>
      <c r="C1106" s="168" t="s">
        <v>1465</v>
      </c>
      <c r="D1106" s="161" t="s">
        <v>54</v>
      </c>
      <c r="E1106" s="162">
        <v>81.95</v>
      </c>
      <c r="F1106" s="713" t="s">
        <v>1306</v>
      </c>
      <c r="G1106" s="357">
        <v>0</v>
      </c>
      <c r="H1106" s="748" t="str">
        <f t="shared" ref="H1106:H1107" si="2820">IF(G1106=0,"",IF(F1106="Qty=",IF(G1106=1,"plant","plants"),IF(F1106&gt;0.0001,"warranty","Error")))</f>
        <v/>
      </c>
      <c r="I1106" s="592">
        <f t="shared" ref="I1106:I1107" si="2821">IF(F1106="Qty=",(E1106*G1106),((E1106*(1-F1106))*G1106))</f>
        <v>0</v>
      </c>
      <c r="J1106" s="592">
        <f>IF(H1106="warranty",0,(I1106*($J$1782)))</f>
        <v>0</v>
      </c>
      <c r="K1106" s="834">
        <f t="shared" ref="K1106:K1107" si="2822">I1106+J1106</f>
        <v>0</v>
      </c>
      <c r="L1106" s="834"/>
      <c r="M1106" s="832" t="str">
        <f>IF($H$1784=0,"",IF(G1106=0,"",IF(F1106="Qty=",CONCATENATE("$",ROUND(K1106*(1-$H$1784),2)," with ",($H$1784*100),"% discount"),CONCATENATE("$",ROUND(K1106*(1-$H$1784),2)," with ",(($H$1784*100+F1106*100)-($H$1784*100*F1106)),IF(F1106&gt;0,"% discounts",IF($H$1781&gt;0,"% discounts","% discount"))))))</f>
        <v/>
      </c>
      <c r="N1106" s="832"/>
      <c r="O1106" s="832"/>
      <c r="P1106" s="832"/>
      <c r="Q1106" s="832"/>
      <c r="R1106" s="832"/>
      <c r="S1106" s="303">
        <f t="shared" ref="S1106:S1107" si="2823">E1106*G1106</f>
        <v>0</v>
      </c>
      <c r="T1106" s="541">
        <f>VLOOKUP(A1106,'Discount Lookup'!D:E,2,FALSE)*G1106</f>
        <v>0</v>
      </c>
      <c r="U1106" s="83">
        <f>VLOOKUP(A1106,'Discount Lookup'!G:H,2,FALSE)*G1106</f>
        <v>0</v>
      </c>
      <c r="V1106" s="100">
        <f>E1106*($J$1782)*G1106</f>
        <v>0</v>
      </c>
      <c r="W1106" s="100">
        <f t="shared" ref="W1106:W1107" si="2824">I1106</f>
        <v>0</v>
      </c>
      <c r="X1106" s="100" t="b">
        <f t="shared" ref="X1106:X1107" si="2825">IF(G1106&gt;0,IF(AD1106="me","",G1106))</f>
        <v>0</v>
      </c>
      <c r="Y1106" s="201"/>
      <c r="Z1106" s="829" t="str">
        <f t="shared" ref="Z1106:Z1107" si="2826">IF(G1106=0,"",IF(AD1106="me","",IF($AD$8="me","",IF(AD1106="free","warranty",IF($AD$8="yes","NVP planting:","to NVP install:")))))</f>
        <v/>
      </c>
      <c r="AA1106" s="829"/>
      <c r="AB1106" s="830" t="str">
        <f>IF(G1106=0,"",IF(AD1106="free","re-planting",IF(AD1106="me","not NVP, by",IF($AD$8="yes",(VLOOKUP(A1106,'Discount Lookup'!J:K,2)*G1106*(1-$AC$1786)*(1+$AC$1788)),IF(AD1106="NVP",(VLOOKUP(A1106,'Discount Lookup'!J:K,2)*G1106*(1-$AC$1786)*(1+$AC$1788)),IF(AD1106="free","re-planting",IF(G1106=0,"",IF($AD$8="",IF(AD1106="me","not NVP, by",IF(AD1106="",IF(G1106&gt;0,(VLOOKUP(A1106,'Discount Lookup'!J:K,2)*G1106*(1-$AC$1786)*(1+$AC$1788)),""),"")),"not NVP, by"))))))))</f>
        <v/>
      </c>
      <c r="AC1106" s="830"/>
      <c r="AD1106" s="375" t="str">
        <f t="shared" si="2809"/>
        <v/>
      </c>
      <c r="AE1106" s="833" t="str">
        <f t="shared" ref="AE1106:AE1107" si="2827">IF(G1106&gt;0,(CONCATENATE((G1106)," quantity, ",(A1106)," ",B1106)),"")</f>
        <v/>
      </c>
      <c r="AF1106" s="833"/>
      <c r="AG1106" s="833"/>
      <c r="AH1106" s="91" t="str">
        <f>IF(AD1106="free",0,IF(AD1106="me","",IF(G1106&gt;0,(VLOOKUP(A1106,'Discount Lookup'!J:K,2)*G1106),"")))</f>
        <v/>
      </c>
      <c r="AI1106" s="92" t="str">
        <f t="shared" si="2757"/>
        <v/>
      </c>
      <c r="AJ1106" s="828" t="str">
        <f t="shared" ref="AJ1106:AJ1107" si="2828">IF(G1106=0,"",IF(AD1106="me","  delivery-only",CONCATENATE(" $",ROUND(AI1106/G1106,2)," each")))</f>
        <v/>
      </c>
      <c r="AK1106" s="828"/>
      <c r="AL1106" s="313" t="str">
        <f t="shared" si="2808"/>
        <v/>
      </c>
      <c r="AM1106" s="312"/>
      <c r="AN1106" s="101"/>
      <c r="AO1106" s="101"/>
      <c r="AP1106" s="101"/>
      <c r="AQ1106" s="101"/>
      <c r="AR1106" s="101"/>
      <c r="AS1106" s="101"/>
      <c r="AT1106" s="101"/>
    </row>
    <row r="1107" spans="1:46" ht="12.95" customHeight="1">
      <c r="A1107" s="448">
        <v>7</v>
      </c>
      <c r="B1107" s="158" t="s">
        <v>50</v>
      </c>
      <c r="C1107" s="168" t="s">
        <v>1464</v>
      </c>
      <c r="D1107" s="161" t="s">
        <v>54</v>
      </c>
      <c r="E1107" s="162">
        <v>104.95</v>
      </c>
      <c r="F1107" s="713" t="s">
        <v>1306</v>
      </c>
      <c r="G1107" s="357">
        <v>0</v>
      </c>
      <c r="H1107" s="748" t="str">
        <f t="shared" si="2820"/>
        <v/>
      </c>
      <c r="I1107" s="592">
        <f t="shared" si="2821"/>
        <v>0</v>
      </c>
      <c r="J1107" s="592">
        <f>IF(H1107="warranty",0,(I1107*($J$1782)))</f>
        <v>0</v>
      </c>
      <c r="K1107" s="834">
        <f t="shared" si="2822"/>
        <v>0</v>
      </c>
      <c r="L1107" s="834"/>
      <c r="M1107" s="832" t="str">
        <f>IF($H$1784=0,"",IF(G1107=0,"",IF(F1107="Qty=",CONCATENATE("$",ROUND(K1107*(1-$H$1784),2)," with ",($H$1784*100),"% discount"),CONCATENATE("$",ROUND(K1107*(1-$H$1784),2)," with ",(($H$1784*100+F1107*100)-($H$1784*100*F1107)),IF(F1107&gt;0,"% discounts",IF($H$1781&gt;0,"% discounts","% discount"))))))</f>
        <v/>
      </c>
      <c r="N1107" s="832"/>
      <c r="O1107" s="832"/>
      <c r="P1107" s="832"/>
      <c r="Q1107" s="832"/>
      <c r="R1107" s="832"/>
      <c r="S1107" s="303">
        <f t="shared" si="2823"/>
        <v>0</v>
      </c>
      <c r="T1107" s="541">
        <f>VLOOKUP(A1107,'Discount Lookup'!D:E,2,FALSE)*G1107</f>
        <v>0</v>
      </c>
      <c r="U1107" s="83">
        <f>VLOOKUP(A1107,'Discount Lookup'!G:H,2,FALSE)*G1107</f>
        <v>0</v>
      </c>
      <c r="V1107" s="100">
        <f>E1107*($J$1782)*G1107</f>
        <v>0</v>
      </c>
      <c r="W1107" s="100">
        <f t="shared" si="2824"/>
        <v>0</v>
      </c>
      <c r="X1107" s="100" t="b">
        <f t="shared" si="2825"/>
        <v>0</v>
      </c>
      <c r="Y1107" s="201"/>
      <c r="Z1107" s="829" t="str">
        <f t="shared" si="2826"/>
        <v/>
      </c>
      <c r="AA1107" s="829"/>
      <c r="AB1107" s="830" t="str">
        <f>IF(G1107=0,"",IF(AD1107="free","re-planting",IF(AD1107="me","not NVP, by",IF($AD$8="yes",(VLOOKUP(A1107,'Discount Lookup'!J:K,2)*G1107*(1-$AC$1786)*(1+$AC$1788)),IF(AD1107="NVP",(VLOOKUP(A1107,'Discount Lookup'!J:K,2)*G1107*(1-$AC$1786)*(1+$AC$1788)),IF(AD1107="free","re-planting",IF(G1107=0,"",IF($AD$8="",IF(AD1107="me","not NVP, by",IF(AD1107="",IF(G1107&gt;0,(VLOOKUP(A1107,'Discount Lookup'!J:K,2)*G1107*(1-$AC$1786)*(1+$AC$1788)),""),"")),"not NVP, by"))))))))</f>
        <v/>
      </c>
      <c r="AC1107" s="830"/>
      <c r="AD1107" s="375" t="str">
        <f t="shared" si="2809"/>
        <v/>
      </c>
      <c r="AE1107" s="833" t="str">
        <f t="shared" si="2827"/>
        <v/>
      </c>
      <c r="AF1107" s="833"/>
      <c r="AG1107" s="833"/>
      <c r="AH1107" s="91" t="str">
        <f>IF(AD1107="free",0,IF(AD1107="me","",IF(G1107&gt;0,(VLOOKUP(A1107,'Discount Lookup'!J:K,2)*G1107),"")))</f>
        <v/>
      </c>
      <c r="AI1107" s="92" t="str">
        <f t="shared" si="2757"/>
        <v/>
      </c>
      <c r="AJ1107" s="828" t="str">
        <f t="shared" si="2828"/>
        <v/>
      </c>
      <c r="AK1107" s="828"/>
      <c r="AL1107" s="313" t="str">
        <f t="shared" si="2808"/>
        <v/>
      </c>
      <c r="AM1107" s="312"/>
      <c r="AN1107" s="101"/>
      <c r="AO1107" s="101"/>
      <c r="AP1107" s="101"/>
      <c r="AQ1107" s="101"/>
      <c r="AR1107" s="101"/>
      <c r="AS1107" s="101"/>
      <c r="AT1107" s="101"/>
    </row>
    <row r="1108" spans="1:46" ht="12.95" customHeight="1">
      <c r="A1108" s="487"/>
      <c r="B1108" s="173" t="s">
        <v>628</v>
      </c>
      <c r="C1108" s="117"/>
      <c r="D1108" s="118"/>
      <c r="E1108" s="119"/>
      <c r="F1108" s="711"/>
      <c r="G1108" s="356"/>
      <c r="H1108" s="745"/>
      <c r="I1108" s="119"/>
      <c r="J1108" s="119"/>
      <c r="K1108" s="609"/>
      <c r="L1108" s="609"/>
      <c r="M1108" s="121"/>
      <c r="N1108" s="121"/>
      <c r="O1108" s="123"/>
      <c r="P1108" s="124"/>
      <c r="Q1108" s="124"/>
      <c r="R1108" s="83"/>
      <c r="S1108" s="82"/>
      <c r="T1108" s="540"/>
      <c r="U1108" s="83"/>
      <c r="V1108" s="100"/>
      <c r="W1108" s="100"/>
      <c r="X1108" s="100"/>
      <c r="Y1108" s="201"/>
      <c r="Z1108" s="829" t="str">
        <f>IF(G1108=0,"",IF(AD1108="me","",IF($AD$8="me","",IF(AD1108="free","warranty",IF($AD$8="yes","NVP planting:","to NVP install:")))))</f>
        <v/>
      </c>
      <c r="AA1108" s="829"/>
      <c r="AB1108" s="830" t="str">
        <f>IF(G1108=0,"",IF(AD1108="free","re-planting",IF(AD1108="me","not NVP, by",IF($AD$8="yes",(VLOOKUP(A1108,'Discount Lookup'!J:K,2)*G1108*(1-$AC$1786)*(1+$AC$1788)),IF(AD1108="NVP",(VLOOKUP(A1108,'Discount Lookup'!J:K,2)*G1108*(1-$AC$1786)*(1+$AC$1788)),IF(AD1108="free","re-planting",IF(G1108=0,"",IF($AD$8="",IF(AD1108="me","not NVP, by",IF(AD1108="",IF(G1108&gt;0,(VLOOKUP(A1108,'Discount Lookup'!J:K,2)*G1108*(1-$AC$1786)*(1+$AC$1788)),""),"")),"not NVP, by"))))))))</f>
        <v/>
      </c>
      <c r="AC1108" s="830"/>
      <c r="AD1108" s="375" t="str">
        <f t="shared" si="2809"/>
        <v/>
      </c>
      <c r="AE1108" s="833" t="str">
        <f t="shared" ref="AE1108:AE1114" si="2829">IF(G1108&gt;0,(CONCATENATE((G1108)," quantity, ",(A1108)," ",B1108)),"")</f>
        <v/>
      </c>
      <c r="AF1108" s="833"/>
      <c r="AG1108" s="833"/>
      <c r="AH1108" s="91" t="s">
        <v>109</v>
      </c>
      <c r="AI1108" s="92" t="str">
        <f t="shared" si="2757"/>
        <v/>
      </c>
      <c r="AJ1108" s="828" t="str">
        <f>IF(G1108=0,"",IF(AD1108="me","  delivery-only",CONCATENATE(" $",ROUND(AI1108/G1108,2)," each")))</f>
        <v/>
      </c>
      <c r="AK1108" s="828"/>
      <c r="AL1108" s="313" t="str">
        <f t="shared" si="2808"/>
        <v/>
      </c>
      <c r="AM1108" s="312"/>
      <c r="AN1108" s="101"/>
      <c r="AO1108" s="101"/>
      <c r="AP1108" s="101"/>
      <c r="AQ1108" s="101"/>
      <c r="AR1108" s="101"/>
      <c r="AS1108" s="101"/>
      <c r="AT1108" s="101"/>
    </row>
    <row r="1109" spans="1:46" ht="12.95" customHeight="1">
      <c r="A1109" s="903" t="s">
        <v>990</v>
      </c>
      <c r="B1109" s="890"/>
      <c r="C1109" s="890"/>
      <c r="D1109" s="890"/>
      <c r="E1109" s="890"/>
      <c r="F1109" s="890"/>
      <c r="G1109" s="890"/>
      <c r="H1109" s="775" t="s">
        <v>958</v>
      </c>
      <c r="I1109" s="164" t="s">
        <v>79</v>
      </c>
      <c r="J1109" s="157"/>
      <c r="K1109" s="611" t="s">
        <v>45</v>
      </c>
      <c r="L1109" s="630" t="s">
        <v>46</v>
      </c>
      <c r="M1109" s="157"/>
      <c r="N1109" s="158" t="s">
        <v>47</v>
      </c>
      <c r="O1109" s="158"/>
      <c r="P1109" s="164"/>
      <c r="Q1109" s="159" t="s">
        <v>221</v>
      </c>
      <c r="R1109" s="835" t="s">
        <v>49</v>
      </c>
      <c r="S1109" s="835"/>
      <c r="T1109" s="835"/>
      <c r="U1109" s="835"/>
      <c r="V1109" s="100" t="b">
        <f>IF(G1109&gt;0,IF(AD1109="me","",G1109))</f>
        <v>0</v>
      </c>
      <c r="W1109" s="100"/>
      <c r="X1109" s="100"/>
      <c r="Y1109" s="790"/>
      <c r="Z1109" s="838" t="str">
        <f>IF(G1109=0,"",IF(AD1109="me","",IF($AD$8="me","",IF(AD1109="free","warranty",IF($AD$8="yes","NVP planting:","to NVP install:")))))</f>
        <v/>
      </c>
      <c r="AA1109" s="838"/>
      <c r="AB1109" s="830" t="str">
        <f>IF(G1109=0,"",IF(AD1109="free","re-planting",IF(AD1109="me","not NVP, by",IF($AD$8="yes",(VLOOKUP(A1109,'Discount Lookup'!J:K,2)*G1109*(1-$AC$1786)*(1+$AC$1788)),IF(AD1109="NVP",(VLOOKUP(A1109,'Discount Lookup'!J:K,2)*G1109*(1-$AC$1786)*(1+$AC$1788)),IF(AD1109="free","re-planting",IF(G1109=0,"",IF($AD$8="",IF(AD1109="me","not NVP, by",IF(AD1109="",IF(G1109&gt;0,(VLOOKUP(A1109,'Discount Lookup'!J:K,2)*G1109*(1-$AC$1786)*(1+$AC$1788)),""),"")),"not NVP, by"))))))))</f>
        <v/>
      </c>
      <c r="AC1109" s="830"/>
      <c r="AD1109" s="375" t="str">
        <f>IF(G1109=0,"",IF($AD$8="me","me",IF(H1109="warranty","free",IF($AD$8="yes","NVP",""))))</f>
        <v/>
      </c>
      <c r="AE1109" s="833" t="str">
        <f t="shared" si="2829"/>
        <v/>
      </c>
      <c r="AF1109" s="833"/>
      <c r="AG1109" s="833"/>
      <c r="AH1109" s="91" t="s">
        <v>109</v>
      </c>
      <c r="AI1109" s="92" t="str">
        <f t="shared" si="2757"/>
        <v/>
      </c>
      <c r="AJ1109" s="828" t="str">
        <f>IF(G1109=0,"",IF(AD1109="me","  delivery-only",CONCATENATE(" $",ROUND(AI1109/G1109,2)," each")))</f>
        <v/>
      </c>
      <c r="AK1109" s="828"/>
      <c r="AL1109" s="313" t="str">
        <f t="shared" si="2808"/>
        <v/>
      </c>
      <c r="AM1109" s="312"/>
      <c r="AN1109" s="101"/>
      <c r="AO1109" s="101"/>
      <c r="AP1109" s="101"/>
      <c r="AQ1109" s="101"/>
      <c r="AR1109" s="101"/>
      <c r="AS1109" s="101"/>
      <c r="AT1109" s="101"/>
    </row>
    <row r="1110" spans="1:46" ht="13.5" customHeight="1">
      <c r="A1110" s="448">
        <v>3</v>
      </c>
      <c r="B1110" s="158" t="s">
        <v>50</v>
      </c>
      <c r="C1110" s="160" t="s">
        <v>236</v>
      </c>
      <c r="D1110" s="161" t="s">
        <v>94</v>
      </c>
      <c r="E1110" s="162">
        <v>25.95</v>
      </c>
      <c r="F1110" s="713" t="s">
        <v>1306</v>
      </c>
      <c r="G1110" s="357">
        <v>0</v>
      </c>
      <c r="H1110" s="748" t="str">
        <f t="shared" ref="H1110" si="2830">IF(G1110=0,"",IF(F1110="Qty=",IF(G1110=1,"plant","plants"),IF(F1110&gt;0.0001,"warranty","Error")))</f>
        <v/>
      </c>
      <c r="I1110" s="592">
        <f t="shared" ref="I1110" si="2831">IF(F1110="Qty=",(E1110*G1110),((E1110*(1-F1110))*G1110))</f>
        <v>0</v>
      </c>
      <c r="J1110" s="592">
        <f>IF(H1110="warranty",0,(I1110*($J$1782)))</f>
        <v>0</v>
      </c>
      <c r="K1110" s="834">
        <f t="shared" ref="K1110" si="2832">I1110+J1110</f>
        <v>0</v>
      </c>
      <c r="L1110" s="834"/>
      <c r="M1110" s="832" t="str">
        <f>IF($H$1784=0,"",IF(G1110=0,"",IF(F1110="Qty=",CONCATENATE("$",ROUND(K1110*(1-$H$1784),2)," with ",($H$1784*100),"% discount"),CONCATENATE("$",ROUND(K1110*(1-$H$1784),2)," with ",(($H$1784*100+F1110*100)-($H$1784*100*F1110)),IF(F1110&gt;0,"% discounts",IF($H$1781&gt;0,"% discounts","% discount"))))))</f>
        <v/>
      </c>
      <c r="N1110" s="832"/>
      <c r="O1110" s="832"/>
      <c r="P1110" s="832"/>
      <c r="Q1110" s="832"/>
      <c r="R1110" s="832"/>
      <c r="S1110" s="303">
        <f t="shared" ref="S1110" si="2833">E1110*G1110</f>
        <v>0</v>
      </c>
      <c r="T1110" s="541">
        <f>VLOOKUP(A1110,'Discount Lookup'!D:E,2,FALSE)*G1110</f>
        <v>0</v>
      </c>
      <c r="U1110" s="83">
        <f>VLOOKUP(A1110,'Discount Lookup'!G:H,2,FALSE)*G1110</f>
        <v>0</v>
      </c>
      <c r="V1110" s="100">
        <f>E1110*($J$1782)*G1110</f>
        <v>0</v>
      </c>
      <c r="W1110" s="100">
        <f t="shared" ref="W1110" si="2834">I1110</f>
        <v>0</v>
      </c>
      <c r="X1110" s="100" t="b">
        <f>IF(G1110&gt;0,IF(AD1110="me","",G1110))</f>
        <v>0</v>
      </c>
      <c r="Y1110" s="790"/>
      <c r="Z1110" s="838" t="str">
        <f>IF(G1110=0,"",IF(AD1110="me","",IF($AD$8="me","",IF(AD1110="free","warranty",IF($AD$8="yes","NVP planting:","to NVP install:")))))</f>
        <v/>
      </c>
      <c r="AA1110" s="838"/>
      <c r="AB1110" s="830" t="str">
        <f>IF(G1110=0,"",IF(AD1110="free","re-planting",IF(AD1110="me","not NVP, by",IF($AD$8="yes",(VLOOKUP(A1110,'Discount Lookup'!J:K,2)*G1110*(1-$AC$1786)*(1+$AC$1788)),IF(AD1110="NVP",(VLOOKUP(A1110,'Discount Lookup'!J:K,2)*G1110*(1-$AC$1786)*(1+$AC$1788)),IF(AD1110="free","re-planting",IF(G1110=0,"",IF($AD$8="",IF(AD1110="me","not NVP, by",IF(AD1110="",IF(G1110&gt;0,(VLOOKUP(A1110,'Discount Lookup'!J:K,2)*G1110*(1-$AC$1786)*(1+$AC$1788)),""),"")),"not NVP, by"))))))))</f>
        <v/>
      </c>
      <c r="AC1110" s="830"/>
      <c r="AD1110" s="375" t="str">
        <f>IF(G1110=0,"",IF($AD$8="me","me",IF(H1110="warranty","free",IF($AD$8="yes","NVP",""))))</f>
        <v/>
      </c>
      <c r="AE1110" s="833" t="str">
        <f t="shared" si="2829"/>
        <v/>
      </c>
      <c r="AF1110" s="833"/>
      <c r="AG1110" s="833"/>
      <c r="AH1110" s="91" t="str">
        <f>IF(AD1110="free",0,IF(AD1110="me","",IF(G1110&gt;0,(VLOOKUP(A1110,'Discount Lookup'!J:K,2)*G1110),"")))</f>
        <v/>
      </c>
      <c r="AI1110" s="92" t="str">
        <f t="shared" si="2757"/>
        <v/>
      </c>
      <c r="AJ1110" s="828" t="str">
        <f>IF(G1110=0,"",IF(AD1110="me","  delivery-only",CONCATENATE(" $",ROUND(AI1110/G1110,2)," each")))</f>
        <v/>
      </c>
      <c r="AK1110" s="828"/>
      <c r="AL1110" s="313" t="str">
        <f t="shared" si="2808"/>
        <v/>
      </c>
      <c r="AM1110" s="312"/>
      <c r="AN1110" s="101"/>
      <c r="AO1110" s="101"/>
      <c r="AP1110" s="101"/>
      <c r="AQ1110" s="101"/>
      <c r="AR1110" s="101"/>
      <c r="AS1110" s="101"/>
      <c r="AT1110" s="101"/>
    </row>
    <row r="1111" spans="1:46" ht="13.5" customHeight="1">
      <c r="A1111" s="476"/>
      <c r="B1111" s="149" t="s">
        <v>992</v>
      </c>
      <c r="C1111" s="118"/>
      <c r="D1111" s="104"/>
      <c r="E1111" s="105"/>
      <c r="F1111" s="709"/>
      <c r="G1111" s="358"/>
      <c r="H1111" s="743"/>
      <c r="I1111" s="102"/>
      <c r="J1111" s="102"/>
      <c r="K1111" s="607"/>
      <c r="L1111" s="607"/>
      <c r="M1111" s="121"/>
      <c r="N1111" s="122" t="s">
        <v>336</v>
      </c>
      <c r="O1111" s="151"/>
      <c r="P1111" s="152"/>
      <c r="Q1111" s="152"/>
      <c r="R1111" s="152"/>
      <c r="S1111" s="153"/>
      <c r="T1111" s="545"/>
      <c r="U1111" s="111"/>
      <c r="V1111" s="100" t="b">
        <f>IF(G1111&gt;0,IF(AD1111="me","",G1111))</f>
        <v>0</v>
      </c>
      <c r="W1111" s="100"/>
      <c r="X1111" s="100"/>
      <c r="Y1111" s="790"/>
      <c r="Z1111" s="838" t="str">
        <f>IF(G1111=0,"",IF(AD1111="me","",IF($AD$8="me","",IF(AD1111="free","warranty",IF($AD$8="yes","NVP planting:","to NVP install:")))))</f>
        <v/>
      </c>
      <c r="AA1111" s="838"/>
      <c r="AB1111" s="830" t="str">
        <f>IF(G1111=0,"",IF(AD1111="free","re-planting",IF(AD1111="me","not NVP, by",IF($AD$8="yes",(VLOOKUP(A1111,'Discount Lookup'!J:K,2)*G1111*(1-$AC$1786)*(1+$AC$1788)),IF(AD1111="NVP",(VLOOKUP(A1111,'Discount Lookup'!J:K,2)*G1111*(1-$AC$1786)*(1+$AC$1788)),IF(AD1111="free","re-planting",IF(G1111=0,"",IF($AD$8="",IF(AD1111="me","not NVP, by",IF(AD1111="",IF(G1111&gt;0,(VLOOKUP(A1111,'Discount Lookup'!J:K,2)*G1111*(1-$AC$1786)*(1+$AC$1788)),""),"")),"not NVP, by"))))))))</f>
        <v/>
      </c>
      <c r="AC1111" s="830"/>
      <c r="AD1111" s="375" t="str">
        <f>IF(G1111=0,"",IF($AD$8="me","me",IF(H1111="warranty","free",IF($AD$8="yes","NVP",""))))</f>
        <v/>
      </c>
      <c r="AE1111" s="833" t="str">
        <f t="shared" si="2829"/>
        <v/>
      </c>
      <c r="AF1111" s="833"/>
      <c r="AG1111" s="833"/>
      <c r="AH1111" s="91" t="s">
        <v>109</v>
      </c>
      <c r="AI1111" s="92" t="str">
        <f t="shared" si="2757"/>
        <v/>
      </c>
      <c r="AJ1111" s="828" t="str">
        <f>IF(G1111=0,"",IF(AD1111="me","  delivery-only",CONCATENATE(" $",ROUND(AI1111/G1111,2)," each")))</f>
        <v/>
      </c>
      <c r="AK1111" s="828"/>
      <c r="AL1111" s="313" t="str">
        <f t="shared" si="2808"/>
        <v/>
      </c>
      <c r="AM1111" s="312"/>
      <c r="AN1111" s="101"/>
      <c r="AO1111" s="101"/>
      <c r="AP1111" s="101"/>
      <c r="AQ1111" s="101"/>
      <c r="AR1111" s="101"/>
      <c r="AS1111" s="101"/>
      <c r="AT1111" s="101"/>
    </row>
    <row r="1112" spans="1:46" ht="12.95" customHeight="1">
      <c r="A1112" s="926" t="s">
        <v>1236</v>
      </c>
      <c r="B1112" s="837"/>
      <c r="C1112" s="837"/>
      <c r="D1112" s="837"/>
      <c r="E1112" s="837"/>
      <c r="F1112" s="837"/>
      <c r="G1112" s="837"/>
      <c r="H1112" s="775" t="s">
        <v>1012</v>
      </c>
      <c r="I1112" s="164" t="s">
        <v>79</v>
      </c>
      <c r="J1112" s="157"/>
      <c r="K1112" s="611" t="s">
        <v>45</v>
      </c>
      <c r="L1112" s="630" t="s">
        <v>46</v>
      </c>
      <c r="M1112" s="157"/>
      <c r="N1112" s="158" t="s">
        <v>69</v>
      </c>
      <c r="O1112" s="158"/>
      <c r="P1112" s="164"/>
      <c r="Q1112" s="164"/>
      <c r="R1112" s="157"/>
      <c r="S1112" s="170"/>
      <c r="T1112" s="547"/>
      <c r="U1112" s="171"/>
      <c r="V1112" s="100" t="b">
        <f>IF(G1112&gt;0,IF(AD1112="me","",G1112))</f>
        <v>0</v>
      </c>
      <c r="W1112" s="100"/>
      <c r="X1112" s="100"/>
      <c r="Y1112" s="201"/>
      <c r="Z1112" s="829" t="str">
        <f t="shared" si="2719"/>
        <v/>
      </c>
      <c r="AA1112" s="829"/>
      <c r="AB1112" s="830" t="str">
        <f>IF(G1112=0,"",IF(AD1112="free","re-planting",IF(AD1112="me","not NVP, by",IF($AD$8="yes",(VLOOKUP(A1112,'Discount Lookup'!J:K,2)*G1112*(1-$AC$1786)*(1+$AC$1788)),IF(AD1112="NVP",(VLOOKUP(A1112,'Discount Lookup'!J:K,2)*G1112*(1-$AC$1786)*(1+$AC$1788)),IF(AD1112="free","re-planting",IF(G1112=0,"",IF($AD$8="",IF(AD1112="me","not NVP, by",IF(AD1112="",IF(G1112&gt;0,(VLOOKUP(A1112,'Discount Lookup'!J:K,2)*G1112*(1-$AC$1786)*(1+$AC$1788)),""),"")),"not NVP, by"))))))))</f>
        <v/>
      </c>
      <c r="AC1112" s="830"/>
      <c r="AD1112" s="375" t="str">
        <f t="shared" si="2809"/>
        <v/>
      </c>
      <c r="AE1112" s="833" t="str">
        <f t="shared" si="2829"/>
        <v/>
      </c>
      <c r="AF1112" s="833"/>
      <c r="AG1112" s="833"/>
      <c r="AH1112" s="91">
        <f>IF(AD1112="free",0,IF(AD1112="me",0,IF(G1112&gt;0,(VLOOKUP(A1112,'Discount Lookup'!J:K,2)*G1112),0)))</f>
        <v>0</v>
      </c>
      <c r="AI1112" s="92" t="str">
        <f t="shared" ref="AI1112:AI1143" si="2835">IF(G1112=0,"",IF(AD1112="free",(K1112*(1-$H$1784)),IF($AD$8="me",(K1112*(1-$H$1784)),IF(AD1112="me",(K1112*(1-$H$1784)),(K1112*(1-$H$1784))+AB1112))))</f>
        <v/>
      </c>
      <c r="AJ1112" s="828" t="str">
        <f t="shared" si="2721"/>
        <v/>
      </c>
      <c r="AK1112" s="828"/>
      <c r="AL1112" s="313" t="str">
        <f t="shared" si="2808"/>
        <v/>
      </c>
      <c r="AM1112" s="312"/>
      <c r="AN1112" s="101"/>
      <c r="AO1112" s="101"/>
      <c r="AP1112" s="101"/>
      <c r="AQ1112" s="101"/>
      <c r="AR1112" s="101"/>
      <c r="AS1112" s="101"/>
      <c r="AT1112" s="101"/>
    </row>
    <row r="1113" spans="1:46" ht="12.95" customHeight="1">
      <c r="A1113" s="448">
        <v>3</v>
      </c>
      <c r="B1113" s="158" t="s">
        <v>50</v>
      </c>
      <c r="C1113" s="160" t="s">
        <v>170</v>
      </c>
      <c r="D1113" s="161" t="s">
        <v>62</v>
      </c>
      <c r="E1113" s="162">
        <v>22.95</v>
      </c>
      <c r="F1113" s="713" t="s">
        <v>1306</v>
      </c>
      <c r="G1113" s="357">
        <v>0</v>
      </c>
      <c r="H1113" s="748" t="str">
        <f t="shared" ref="H1113" si="2836">IF(G1113=0,"",IF(F1113="Qty=",IF(G1113=1,"plant","plants"),IF(F1113&gt;0.0001,"warranty","Error")))</f>
        <v/>
      </c>
      <c r="I1113" s="592">
        <f t="shared" ref="I1113" si="2837">IF(F1113="Qty=",(E1113*G1113),((E1113*(1-F1113))*G1113))</f>
        <v>0</v>
      </c>
      <c r="J1113" s="592">
        <f>IF(H1113="warranty",0,(I1113*($J$1782)))</f>
        <v>0</v>
      </c>
      <c r="K1113" s="834">
        <f t="shared" ref="K1113" si="2838">I1113+J1113</f>
        <v>0</v>
      </c>
      <c r="L1113" s="834"/>
      <c r="M1113" s="832" t="str">
        <f>IF($H$1784=0,"",IF(G1113=0,"",IF(F1113="Qty=",CONCATENATE("$",ROUND(K1113*(1-$H$1784),2)," with ",($H$1784*100),"% discount"),CONCATENATE("$",ROUND(K1113*(1-$H$1784),2)," with ",(($H$1784*100+F1113*100)-($H$1784*100*F1113)),IF(F1113&gt;0,"% discounts",IF($H$1781&gt;0,"% discounts","% discount"))))))</f>
        <v/>
      </c>
      <c r="N1113" s="832"/>
      <c r="O1113" s="832"/>
      <c r="P1113" s="832"/>
      <c r="Q1113" s="832"/>
      <c r="R1113" s="832"/>
      <c r="S1113" s="303">
        <f t="shared" ref="S1113" si="2839">E1113*G1113</f>
        <v>0</v>
      </c>
      <c r="T1113" s="541">
        <f>VLOOKUP(A1113,'Discount Lookup'!D:E,2,FALSE)*G1113</f>
        <v>0</v>
      </c>
      <c r="U1113" s="83">
        <f>VLOOKUP(A1113,'Discount Lookup'!G:H,2,FALSE)*G1113</f>
        <v>0</v>
      </c>
      <c r="V1113" s="100">
        <f>E1113*($J$1782)*G1113</f>
        <v>0</v>
      </c>
      <c r="W1113" s="100">
        <f t="shared" ref="W1113" si="2840">I1113</f>
        <v>0</v>
      </c>
      <c r="X1113" s="100" t="b">
        <f>IF(G1113&gt;0,IF(AD1113="me","",G1113))</f>
        <v>0</v>
      </c>
      <c r="Y1113" s="201"/>
      <c r="Z1113" s="829" t="str">
        <f t="shared" si="2719"/>
        <v/>
      </c>
      <c r="AA1113" s="829"/>
      <c r="AB1113" s="830" t="str">
        <f>IF(G1113=0,"",IF(AD1113="free","re-planting",IF(AD1113="me","not NVP, by",IF($AD$8="yes",(VLOOKUP(A1113,'Discount Lookup'!J:K,2)*G1113*(1-$AC$1786)*(1+$AC$1788)),IF(AD1113="NVP",(VLOOKUP(A1113,'Discount Lookup'!J:K,2)*G1113*(1-$AC$1786)*(1+$AC$1788)),IF(AD1113="free","re-planting",IF(G1113=0,"",IF($AD$8="",IF(AD1113="me","not NVP, by",IF(AD1113="",IF(G1113&gt;0,(VLOOKUP(A1113,'Discount Lookup'!J:K,2)*G1113*(1-$AC$1786)*(1+$AC$1788)),""),"")),"not NVP, by"))))))))</f>
        <v/>
      </c>
      <c r="AC1113" s="830"/>
      <c r="AD1113" s="375" t="str">
        <f t="shared" si="2809"/>
        <v/>
      </c>
      <c r="AE1113" s="833" t="str">
        <f t="shared" si="2829"/>
        <v/>
      </c>
      <c r="AF1113" s="833"/>
      <c r="AG1113" s="833"/>
      <c r="AH1113" s="91">
        <f>IF(AD1113="free",0,IF(AD1113="me",0,IF(G1113&gt;0,(VLOOKUP(A1113,'Discount Lookup'!J:K,2)*G1113),0)))</f>
        <v>0</v>
      </c>
      <c r="AI1113" s="92" t="str">
        <f t="shared" si="2835"/>
        <v/>
      </c>
      <c r="AJ1113" s="828" t="str">
        <f t="shared" si="2721"/>
        <v/>
      </c>
      <c r="AK1113" s="828"/>
      <c r="AL1113" s="313" t="str">
        <f t="shared" si="2808"/>
        <v/>
      </c>
      <c r="AM1113" s="312"/>
      <c r="AN1113" s="101"/>
      <c r="AO1113" s="101"/>
      <c r="AP1113" s="101"/>
      <c r="AQ1113" s="101"/>
      <c r="AR1113" s="101"/>
      <c r="AS1113" s="101"/>
      <c r="AT1113" s="101"/>
    </row>
    <row r="1114" spans="1:46" ht="12.95" customHeight="1">
      <c r="A1114" s="505"/>
      <c r="B1114" s="149" t="s">
        <v>1238</v>
      </c>
      <c r="C1114" s="117"/>
      <c r="D1114" s="118"/>
      <c r="E1114" s="119"/>
      <c r="F1114" s="711"/>
      <c r="G1114" s="356"/>
      <c r="H1114" s="745"/>
      <c r="I1114" s="119"/>
      <c r="J1114" s="119"/>
      <c r="K1114" s="609"/>
      <c r="L1114" s="609"/>
      <c r="M1114" s="147"/>
      <c r="N1114" s="122" t="s">
        <v>176</v>
      </c>
      <c r="O1114" s="169"/>
      <c r="P1114" s="195"/>
      <c r="Q1114" s="195"/>
      <c r="R1114" s="169"/>
      <c r="S1114" s="82">
        <f>E1114*G1114</f>
        <v>0</v>
      </c>
      <c r="T1114" s="540"/>
      <c r="U1114" s="83"/>
      <c r="V1114" s="100" t="b">
        <f>IF(G1114&gt;0,IF(AD1114="me","",G1114))</f>
        <v>0</v>
      </c>
      <c r="W1114" s="100"/>
      <c r="X1114" s="100"/>
      <c r="Y1114" s="201"/>
      <c r="Z1114" s="829" t="str">
        <f t="shared" si="2719"/>
        <v/>
      </c>
      <c r="AA1114" s="829"/>
      <c r="AB1114" s="830" t="str">
        <f>IF(G1114=0,"",IF(AD1114="free","re-planting",IF(AD1114="me","not NVP, by",IF($AD$8="yes",(VLOOKUP(A1114,'Discount Lookup'!J:K,2)*G1114*(1-$AC$1786)*(1+$AC$1788)),IF(AD1114="NVP",(VLOOKUP(A1114,'Discount Lookup'!J:K,2)*G1114*(1-$AC$1786)*(1+$AC$1788)),IF(AD1114="free","re-planting",IF(G1114=0,"",IF($AD$8="",IF(AD1114="me","not NVP, by",IF(AD1114="",IF(G1114&gt;0,(VLOOKUP(A1114,'Discount Lookup'!J:K,2)*G1114*(1-$AC$1786)*(1+$AC$1788)),""),"")),"not NVP, by"))))))))</f>
        <v/>
      </c>
      <c r="AC1114" s="830"/>
      <c r="AD1114" s="375" t="str">
        <f t="shared" si="2809"/>
        <v/>
      </c>
      <c r="AE1114" s="833" t="str">
        <f t="shared" si="2829"/>
        <v/>
      </c>
      <c r="AF1114" s="833"/>
      <c r="AG1114" s="833"/>
      <c r="AH1114" s="91">
        <f>IF(AD1114="free",0,IF(AD1114="me",0,IF(G1114&gt;0,(VLOOKUP(A1114,'Discount Lookup'!J:K,2)*G1114),0)))</f>
        <v>0</v>
      </c>
      <c r="AI1114" s="92" t="str">
        <f t="shared" si="2835"/>
        <v/>
      </c>
      <c r="AJ1114" s="828" t="str">
        <f t="shared" si="2721"/>
        <v/>
      </c>
      <c r="AK1114" s="828"/>
      <c r="AL1114" s="313" t="str">
        <f t="shared" si="2808"/>
        <v/>
      </c>
      <c r="AM1114" s="312"/>
      <c r="AN1114" s="101"/>
      <c r="AO1114" s="101"/>
      <c r="AP1114" s="101"/>
      <c r="AQ1114" s="101"/>
      <c r="AR1114" s="101"/>
      <c r="AS1114" s="101"/>
      <c r="AT1114" s="101"/>
    </row>
    <row r="1115" spans="1:46" ht="12.95" customHeight="1">
      <c r="A1115" s="836" t="s">
        <v>1237</v>
      </c>
      <c r="B1115" s="837"/>
      <c r="C1115" s="837"/>
      <c r="D1115" s="837"/>
      <c r="E1115" s="837"/>
      <c r="F1115" s="837"/>
      <c r="G1115" s="837"/>
      <c r="H1115" s="775" t="s">
        <v>629</v>
      </c>
      <c r="I1115" s="164" t="s">
        <v>79</v>
      </c>
      <c r="J1115" s="157"/>
      <c r="K1115" s="611" t="s">
        <v>45</v>
      </c>
      <c r="L1115" s="630" t="s">
        <v>46</v>
      </c>
      <c r="M1115" s="157"/>
      <c r="N1115" s="158" t="s">
        <v>69</v>
      </c>
      <c r="O1115" s="158"/>
      <c r="P1115" s="164"/>
      <c r="Q1115" s="164"/>
      <c r="R1115" s="157"/>
      <c r="S1115" s="170"/>
      <c r="T1115" s="547"/>
      <c r="U1115" s="171"/>
      <c r="V1115" s="100" t="b">
        <f>IF(G1115&gt;0,IF(AD1115="me","",G1115))</f>
        <v>0</v>
      </c>
      <c r="W1115" s="100"/>
      <c r="X1115" s="100"/>
      <c r="Y1115" s="201"/>
      <c r="Z1115" s="829" t="str">
        <f t="shared" si="2719"/>
        <v/>
      </c>
      <c r="AA1115" s="829"/>
      <c r="AB1115" s="830" t="str">
        <f>IF(G1115=0,"",IF(AD1115="free","re-planting",IF(AD1115="me","not NVP, by",IF($AD$8="yes",(VLOOKUP(A1115,'Discount Lookup'!J:K,2)*G1115*(1-$AC$1786)*(1+$AC$1788)),IF(AD1115="NVP",(VLOOKUP(A1115,'Discount Lookup'!J:K,2)*G1115*(1-$AC$1786)*(1+$AC$1788)),IF(AD1115="free","re-planting",IF(G1115=0,"",IF($AD$8="",IF(AD1115="me","not NVP, by",IF(AD1115="",IF(G1115&gt;0,(VLOOKUP(A1115,'Discount Lookup'!J:K,2)*G1115*(1-$AC$1786)*(1+$AC$1788)),""),"")),"not NVP, by"))))))))</f>
        <v/>
      </c>
      <c r="AC1115" s="830"/>
      <c r="AD1115" s="375" t="str">
        <f t="shared" si="2809"/>
        <v/>
      </c>
      <c r="AE1115" s="833" t="str">
        <f t="shared" si="2810"/>
        <v/>
      </c>
      <c r="AF1115" s="833"/>
      <c r="AG1115" s="833"/>
      <c r="AH1115" s="91">
        <f>IF(AD1115="free",0,IF(AD1115="me",0,IF(G1115&gt;0,(VLOOKUP(A1115,'Discount Lookup'!J:K,2)*G1115),0)))</f>
        <v>0</v>
      </c>
      <c r="AI1115" s="92" t="str">
        <f t="shared" si="2835"/>
        <v/>
      </c>
      <c r="AJ1115" s="828" t="str">
        <f t="shared" si="2721"/>
        <v/>
      </c>
      <c r="AK1115" s="828"/>
      <c r="AL1115" s="313" t="str">
        <f t="shared" si="2808"/>
        <v/>
      </c>
      <c r="AM1115" s="312"/>
      <c r="AN1115" s="101"/>
      <c r="AO1115" s="101"/>
      <c r="AP1115" s="101"/>
      <c r="AQ1115" s="101"/>
      <c r="AR1115" s="101"/>
      <c r="AS1115" s="101"/>
      <c r="AT1115" s="101"/>
    </row>
    <row r="1116" spans="1:46" ht="12.95" customHeight="1">
      <c r="A1116" s="383">
        <v>3</v>
      </c>
      <c r="B1116" s="158" t="s">
        <v>50</v>
      </c>
      <c r="C1116" s="160" t="s">
        <v>170</v>
      </c>
      <c r="D1116" s="161" t="s">
        <v>62</v>
      </c>
      <c r="E1116" s="162">
        <v>22.95</v>
      </c>
      <c r="F1116" s="713" t="s">
        <v>1306</v>
      </c>
      <c r="G1116" s="357">
        <v>0</v>
      </c>
      <c r="H1116" s="748" t="str">
        <f t="shared" ref="H1116" si="2841">IF(G1116=0,"",IF(F1116="Qty=",IF(G1116=1,"plant","plants"),IF(F1116&gt;0.0001,"warranty","Error")))</f>
        <v/>
      </c>
      <c r="I1116" s="592">
        <f t="shared" ref="I1116" si="2842">IF(F1116="Qty=",(E1116*G1116),((E1116*(1-F1116))*G1116))</f>
        <v>0</v>
      </c>
      <c r="J1116" s="592">
        <f>IF(H1116="warranty",0,(I1116*($J$1782)))</f>
        <v>0</v>
      </c>
      <c r="K1116" s="834">
        <f t="shared" ref="K1116" si="2843">I1116+J1116</f>
        <v>0</v>
      </c>
      <c r="L1116" s="834"/>
      <c r="M1116" s="832" t="str">
        <f>IF($H$1784=0,"",IF(G1116=0,"",IF(F1116="Qty=",CONCATENATE("$",ROUND(K1116*(1-$H$1784),2)," with ",($H$1784*100),"% discount"),CONCATENATE("$",ROUND(K1116*(1-$H$1784),2)," with ",(($H$1784*100+F1116*100)-($H$1784*100*F1116)),IF(F1116&gt;0,"% discounts",IF($H$1781&gt;0,"% discounts","% discount"))))))</f>
        <v/>
      </c>
      <c r="N1116" s="832"/>
      <c r="O1116" s="832"/>
      <c r="P1116" s="832"/>
      <c r="Q1116" s="832"/>
      <c r="R1116" s="832"/>
      <c r="S1116" s="303">
        <f t="shared" ref="S1116" si="2844">E1116*G1116</f>
        <v>0</v>
      </c>
      <c r="T1116" s="541">
        <f>VLOOKUP(A1116,'Discount Lookup'!D:E,2,FALSE)*G1116</f>
        <v>0</v>
      </c>
      <c r="U1116" s="83">
        <f>VLOOKUP(A1116,'Discount Lookup'!G:H,2,FALSE)*G1116</f>
        <v>0</v>
      </c>
      <c r="V1116" s="100">
        <f>E1116*($J$1782)*G1116</f>
        <v>0</v>
      </c>
      <c r="W1116" s="100">
        <f t="shared" ref="W1116" si="2845">I1116</f>
        <v>0</v>
      </c>
      <c r="X1116" s="100" t="b">
        <f>IF(G1116&gt;0,IF(AD1116="me","",G1116))</f>
        <v>0</v>
      </c>
      <c r="Y1116" s="201"/>
      <c r="Z1116" s="829" t="str">
        <f t="shared" ref="Z1116" si="2846">IF(G1116=0,"",IF(AD1116="me","",IF($AD$8="me","",IF(AD1116="free","warranty",IF($AD$8="yes","NVP planting:","to NVP install:")))))</f>
        <v/>
      </c>
      <c r="AA1116" s="829"/>
      <c r="AB1116" s="830" t="str">
        <f>IF(G1116=0,"",IF(AD1116="free","re-planting",IF(AD1116="me","not NVP, by",IF($AD$8="yes",(VLOOKUP(A1116,'Discount Lookup'!J:K,2)*G1116*(1-$AC$1786)*(1+$AC$1788)),IF(AD1116="NVP",(VLOOKUP(A1116,'Discount Lookup'!J:K,2)*G1116*(1-$AC$1786)*(1+$AC$1788)),IF(AD1116="free","re-planting",IF(G1116=0,"",IF($AD$8="",IF(AD1116="me","not NVP, by",IF(AD1116="",IF(G1116&gt;0,(VLOOKUP(A1116,'Discount Lookup'!J:K,2)*G1116*(1-$AC$1786)*(1+$AC$1788)),""),"")),"not NVP, by"))))))))</f>
        <v/>
      </c>
      <c r="AC1116" s="830"/>
      <c r="AD1116" s="375" t="str">
        <f t="shared" ref="AD1116" si="2847">IF(G1116=0,"",IF($AD$8="me","me",IF(H1116="warranty","free",IF($AD$8="yes","NVP",""))))</f>
        <v/>
      </c>
      <c r="AE1116" s="833" t="str">
        <f t="shared" ref="AE1116" si="2848">IF(G1116&gt;0,(CONCATENATE((G1116)," quantity, ",(A1116)," ",B1116)),"")</f>
        <v/>
      </c>
      <c r="AF1116" s="833"/>
      <c r="AG1116" s="833"/>
      <c r="AH1116" s="91">
        <f>IF(AD1116="free",0,IF(AD1116="me",0,IF(G1116&gt;0,(VLOOKUP(A1116,'Discount Lookup'!J:K,2)*G1116),0)))</f>
        <v>0</v>
      </c>
      <c r="AI1116" s="92" t="str">
        <f t="shared" si="2835"/>
        <v/>
      </c>
      <c r="AJ1116" s="828" t="str">
        <f t="shared" ref="AJ1116" si="2849">IF(G1116=0,"",IF(AD1116="me","  delivery-only",IF($AD$8="me","  delivery-only",CONCATENATE(" $",ROUND(AI1116/G1116,2)," each"))))</f>
        <v/>
      </c>
      <c r="AK1116" s="828"/>
      <c r="AL1116" s="313" t="str">
        <f t="shared" si="2808"/>
        <v/>
      </c>
      <c r="AM1116" s="312"/>
      <c r="AN1116" s="101"/>
      <c r="AO1116" s="101"/>
      <c r="AP1116" s="101"/>
      <c r="AQ1116" s="101"/>
      <c r="AR1116" s="101"/>
      <c r="AS1116" s="101"/>
      <c r="AT1116" s="101"/>
    </row>
    <row r="1117" spans="1:46" ht="12.95" customHeight="1">
      <c r="A1117" s="383">
        <v>3</v>
      </c>
      <c r="B1117" s="158" t="s">
        <v>50</v>
      </c>
      <c r="C1117" s="160" t="s">
        <v>85</v>
      </c>
      <c r="D1117" s="161" t="s">
        <v>90</v>
      </c>
      <c r="E1117" s="162">
        <v>28.95</v>
      </c>
      <c r="F1117" s="713" t="s">
        <v>1306</v>
      </c>
      <c r="G1117" s="357">
        <v>0</v>
      </c>
      <c r="H1117" s="748" t="str">
        <f t="shared" ref="H1117" si="2850">IF(G1117=0,"",IF(F1117="Qty=",IF(G1117=1,"plant","plants"),IF(F1117&gt;0.0001,"warranty","Error")))</f>
        <v/>
      </c>
      <c r="I1117" s="592">
        <f t="shared" ref="I1117" si="2851">IF(F1117="Qty=",(E1117*G1117),((E1117*(1-F1117))*G1117))</f>
        <v>0</v>
      </c>
      <c r="J1117" s="592">
        <f>IF(H1117="warranty",0,(I1117*($J$1782)))</f>
        <v>0</v>
      </c>
      <c r="K1117" s="834">
        <f t="shared" ref="K1117" si="2852">I1117+J1117</f>
        <v>0</v>
      </c>
      <c r="L1117" s="834"/>
      <c r="M1117" s="832" t="str">
        <f>IF($H$1784=0,"",IF(G1117=0,"",IF(F1117="Qty=",CONCATENATE("$",ROUND(K1117*(1-$H$1784),2)," with ",($H$1784*100),"% discount"),CONCATENATE("$",ROUND(K1117*(1-$H$1784),2)," with ",(($H$1784*100+F1117*100)-($H$1784*100*F1117)),IF(F1117&gt;0,"% discounts",IF($H$1781&gt;0,"% discounts","% discount"))))))</f>
        <v/>
      </c>
      <c r="N1117" s="832"/>
      <c r="O1117" s="832"/>
      <c r="P1117" s="832"/>
      <c r="Q1117" s="832"/>
      <c r="R1117" s="832"/>
      <c r="S1117" s="303">
        <f t="shared" ref="S1117" si="2853">E1117*G1117</f>
        <v>0</v>
      </c>
      <c r="T1117" s="541">
        <f>VLOOKUP(A1117,'Discount Lookup'!D:E,2,FALSE)*G1117</f>
        <v>0</v>
      </c>
      <c r="U1117" s="83">
        <f>VLOOKUP(A1117,'Discount Lookup'!G:H,2,FALSE)*G1117</f>
        <v>0</v>
      </c>
      <c r="V1117" s="100">
        <f>E1117*($J$1782)*G1117</f>
        <v>0</v>
      </c>
      <c r="W1117" s="100">
        <f t="shared" ref="W1117" si="2854">I1117</f>
        <v>0</v>
      </c>
      <c r="X1117" s="100" t="b">
        <f>IF(G1117&gt;0,IF(AD1117="me","",G1117))</f>
        <v>0</v>
      </c>
      <c r="Y1117" s="201"/>
      <c r="Z1117" s="829" t="str">
        <f t="shared" si="2719"/>
        <v/>
      </c>
      <c r="AA1117" s="829"/>
      <c r="AB1117" s="830" t="str">
        <f>IF(G1117=0,"",IF(AD1117="free","re-planting",IF(AD1117="me","not NVP, by",IF($AD$8="yes",(VLOOKUP(A1117,'Discount Lookup'!J:K,2)*G1117*(1-$AC$1786)*(1+$AC$1788)),IF(AD1117="NVP",(VLOOKUP(A1117,'Discount Lookup'!J:K,2)*G1117*(1-$AC$1786)*(1+$AC$1788)),IF(AD1117="free","re-planting",IF(G1117=0,"",IF($AD$8="",IF(AD1117="me","not NVP, by",IF(AD1117="",IF(G1117&gt;0,(VLOOKUP(A1117,'Discount Lookup'!J:K,2)*G1117*(1-$AC$1786)*(1+$AC$1788)),""),"")),"not NVP, by"))))))))</f>
        <v/>
      </c>
      <c r="AC1117" s="830"/>
      <c r="AD1117" s="375" t="str">
        <f t="shared" si="2809"/>
        <v/>
      </c>
      <c r="AE1117" s="833" t="str">
        <f t="shared" si="2810"/>
        <v/>
      </c>
      <c r="AF1117" s="833"/>
      <c r="AG1117" s="833"/>
      <c r="AH1117" s="91">
        <f>IF(AD1117="free",0,IF(AD1117="me",0,IF(G1117&gt;0,(VLOOKUP(A1117,'Discount Lookup'!J:K,2)*G1117),0)))</f>
        <v>0</v>
      </c>
      <c r="AI1117" s="92" t="str">
        <f t="shared" si="2835"/>
        <v/>
      </c>
      <c r="AJ1117" s="828" t="str">
        <f t="shared" si="2721"/>
        <v/>
      </c>
      <c r="AK1117" s="828"/>
      <c r="AL1117" s="313" t="str">
        <f t="shared" si="2808"/>
        <v/>
      </c>
      <c r="AM1117" s="312"/>
      <c r="AN1117" s="101"/>
      <c r="AO1117" s="101"/>
      <c r="AP1117" s="101"/>
      <c r="AQ1117" s="101"/>
      <c r="AR1117" s="101"/>
      <c r="AS1117" s="101"/>
      <c r="AT1117" s="101"/>
    </row>
    <row r="1118" spans="1:46" ht="12.95" customHeight="1">
      <c r="A1118" s="481"/>
      <c r="B1118" s="149" t="s">
        <v>1239</v>
      </c>
      <c r="C1118" s="147"/>
      <c r="D1118" s="147"/>
      <c r="E1118" s="169"/>
      <c r="F1118" s="717"/>
      <c r="G1118" s="363"/>
      <c r="H1118" s="749"/>
      <c r="I1118" s="169"/>
      <c r="J1118" s="169"/>
      <c r="K1118" s="586"/>
      <c r="L1118" s="586"/>
      <c r="M1118" s="147"/>
      <c r="N1118" s="122" t="s">
        <v>176</v>
      </c>
      <c r="O1118" s="169"/>
      <c r="P1118" s="195"/>
      <c r="Q1118" s="195"/>
      <c r="R1118" s="169"/>
      <c r="S1118" s="82">
        <f>E1118*G1118</f>
        <v>0</v>
      </c>
      <c r="T1118" s="540"/>
      <c r="U1118" s="83"/>
      <c r="V1118" s="100" t="b">
        <f>IF(G1118&gt;0,IF(AD1118="me","",G1118))</f>
        <v>0</v>
      </c>
      <c r="W1118" s="100"/>
      <c r="X1118" s="100"/>
      <c r="Y1118" s="201"/>
      <c r="Z1118" s="829" t="str">
        <f t="shared" si="2719"/>
        <v/>
      </c>
      <c r="AA1118" s="829"/>
      <c r="AB1118" s="830" t="str">
        <f>IF(G1118=0,"",IF(AD1118="free","re-planting",IF(AD1118="me","not NVP, by",IF($AD$8="yes",(VLOOKUP(A1118,'Discount Lookup'!J:K,2)*G1118*(1-$AC$1786)*(1+$AC$1788)),IF(AD1118="NVP",(VLOOKUP(A1118,'Discount Lookup'!J:K,2)*G1118*(1-$AC$1786)*(1+$AC$1788)),IF(AD1118="free","re-planting",IF(G1118=0,"",IF($AD$8="",IF(AD1118="me","not NVP, by",IF(AD1118="",IF(G1118&gt;0,(VLOOKUP(A1118,'Discount Lookup'!J:K,2)*G1118*(1-$AC$1786)*(1+$AC$1788)),""),"")),"not NVP, by"))))))))</f>
        <v/>
      </c>
      <c r="AC1118" s="830"/>
      <c r="AD1118" s="375" t="str">
        <f t="shared" si="2809"/>
        <v/>
      </c>
      <c r="AE1118" s="833" t="str">
        <f t="shared" si="2810"/>
        <v/>
      </c>
      <c r="AF1118" s="833"/>
      <c r="AG1118" s="833"/>
      <c r="AH1118" s="91">
        <f>IF(AD1118="free",0,IF(AD1118="me",0,IF(G1118&gt;0,(VLOOKUP(A1118,'Discount Lookup'!J:K,2)*G1118),0)))</f>
        <v>0</v>
      </c>
      <c r="AI1118" s="92" t="str">
        <f t="shared" si="2835"/>
        <v/>
      </c>
      <c r="AJ1118" s="828" t="str">
        <f t="shared" si="2721"/>
        <v/>
      </c>
      <c r="AK1118" s="828"/>
      <c r="AL1118" s="313" t="str">
        <f t="shared" si="2808"/>
        <v/>
      </c>
      <c r="AM1118" s="312"/>
      <c r="AN1118" s="101"/>
      <c r="AO1118" s="101"/>
      <c r="AP1118" s="101"/>
      <c r="AQ1118" s="101"/>
      <c r="AR1118" s="101"/>
      <c r="AS1118" s="101"/>
      <c r="AT1118" s="101"/>
    </row>
    <row r="1119" spans="1:46" ht="12.95" customHeight="1">
      <c r="A1119" s="836" t="s">
        <v>1175</v>
      </c>
      <c r="B1119" s="837"/>
      <c r="C1119" s="837"/>
      <c r="D1119" s="837"/>
      <c r="E1119" s="837"/>
      <c r="F1119" s="837"/>
      <c r="G1119" s="837"/>
      <c r="H1119" s="775" t="s">
        <v>630</v>
      </c>
      <c r="I1119" s="349" t="s">
        <v>280</v>
      </c>
      <c r="J1119" s="157"/>
      <c r="K1119" s="611" t="s">
        <v>45</v>
      </c>
      <c r="L1119" s="630" t="s">
        <v>46</v>
      </c>
      <c r="M1119" s="157"/>
      <c r="N1119" s="352" t="s">
        <v>75</v>
      </c>
      <c r="O1119" s="158"/>
      <c r="P1119" s="164"/>
      <c r="Q1119" s="164"/>
      <c r="R1119" s="157"/>
      <c r="S1119" s="170"/>
      <c r="T1119" s="547"/>
      <c r="U1119" s="171"/>
      <c r="V1119" s="100" t="b">
        <f>IF(G1119&gt;0,IF(AD1119="me","",G1119))</f>
        <v>0</v>
      </c>
      <c r="W1119" s="100"/>
      <c r="X1119" s="100"/>
      <c r="Y1119" s="201"/>
      <c r="Z1119" s="829" t="str">
        <f t="shared" si="2719"/>
        <v/>
      </c>
      <c r="AA1119" s="829"/>
      <c r="AB1119" s="830" t="str">
        <f>IF(G1119=0,"",IF(AD1119="free","re-planting",IF(AD1119="me","not NVP, by",IF($AD$8="yes",(VLOOKUP(A1119,'Discount Lookup'!J:K,2)*G1119*(1-$AC$1786)*(1+$AC$1788)),IF(AD1119="NVP",(VLOOKUP(A1119,'Discount Lookup'!J:K,2)*G1119*(1-$AC$1786)*(1+$AC$1788)),IF(AD1119="free","re-planting",IF(G1119=0,"",IF($AD$8="",IF(AD1119="me","not NVP, by",IF(AD1119="",IF(G1119&gt;0,(VLOOKUP(A1119,'Discount Lookup'!J:K,2)*G1119*(1-$AC$1786)*(1+$AC$1788)),""),"")),"not NVP, by"))))))))</f>
        <v/>
      </c>
      <c r="AC1119" s="830"/>
      <c r="AD1119" s="375" t="str">
        <f t="shared" si="2809"/>
        <v/>
      </c>
      <c r="AE1119" s="833" t="str">
        <f t="shared" si="2810"/>
        <v/>
      </c>
      <c r="AF1119" s="833"/>
      <c r="AG1119" s="833"/>
      <c r="AH1119" s="91">
        <f>IF(AD1119="free",0,IF(AD1119="me",0,IF(G1119&gt;0,(VLOOKUP(A1119,'Discount Lookup'!J:K,2)*G1119),0)))</f>
        <v>0</v>
      </c>
      <c r="AI1119" s="92" t="str">
        <f t="shared" si="2835"/>
        <v/>
      </c>
      <c r="AJ1119" s="828" t="str">
        <f t="shared" si="2721"/>
        <v/>
      </c>
      <c r="AK1119" s="828"/>
      <c r="AL1119" s="313" t="str">
        <f t="shared" si="2808"/>
        <v/>
      </c>
      <c r="AM1119" s="312"/>
      <c r="AN1119" s="101"/>
      <c r="AO1119" s="101"/>
      <c r="AP1119" s="101"/>
      <c r="AQ1119" s="101"/>
      <c r="AR1119" s="101"/>
      <c r="AS1119" s="101"/>
      <c r="AT1119" s="101"/>
    </row>
    <row r="1120" spans="1:46" ht="12.95" customHeight="1">
      <c r="A1120" s="383">
        <v>3</v>
      </c>
      <c r="B1120" s="158" t="s">
        <v>50</v>
      </c>
      <c r="C1120" s="160" t="s">
        <v>160</v>
      </c>
      <c r="D1120" s="161" t="s">
        <v>86</v>
      </c>
      <c r="E1120" s="162">
        <v>26.95</v>
      </c>
      <c r="F1120" s="713" t="s">
        <v>1306</v>
      </c>
      <c r="G1120" s="357">
        <v>0</v>
      </c>
      <c r="H1120" s="748" t="str">
        <f t="shared" ref="H1120:H1122" si="2855">IF(G1120=0,"",IF(F1120="Qty=",IF(G1120=1,"plant","plants"),IF(F1120&gt;0.0001,"warranty","Error")))</f>
        <v/>
      </c>
      <c r="I1120" s="592">
        <f t="shared" ref="I1120:I1122" si="2856">IF(F1120="Qty=",(E1120*G1120),((E1120*(1-F1120))*G1120))</f>
        <v>0</v>
      </c>
      <c r="J1120" s="592">
        <f>IF(H1120="warranty",0,(I1120*($J$1782)))</f>
        <v>0</v>
      </c>
      <c r="K1120" s="834">
        <f t="shared" ref="K1120:K1122" si="2857">I1120+J1120</f>
        <v>0</v>
      </c>
      <c r="L1120" s="834"/>
      <c r="M1120" s="832" t="str">
        <f>IF($H$1784=0,"",IF(G1120=0,"",IF(F1120="Qty=",CONCATENATE("$",ROUND(K1120*(1-$H$1784),2)," with ",($H$1784*100),"% discount"),CONCATENATE("$",ROUND(K1120*(1-$H$1784),2)," with ",(($H$1784*100+F1120*100)-($H$1784*100*F1120)),IF(F1120&gt;0,"% discounts",IF($H$1781&gt;0,"% discounts","% discount"))))))</f>
        <v/>
      </c>
      <c r="N1120" s="832"/>
      <c r="O1120" s="832"/>
      <c r="P1120" s="832"/>
      <c r="Q1120" s="832"/>
      <c r="R1120" s="832"/>
      <c r="S1120" s="303">
        <f t="shared" ref="S1120:S1121" si="2858">E1120*G1120</f>
        <v>0</v>
      </c>
      <c r="T1120" s="541">
        <f>VLOOKUP(A1120,'Discount Lookup'!D:E,2,FALSE)*G1120</f>
        <v>0</v>
      </c>
      <c r="U1120" s="83">
        <f>VLOOKUP(A1120,'Discount Lookup'!G:H,2,FALSE)*G1120</f>
        <v>0</v>
      </c>
      <c r="V1120" s="100">
        <f>E1120*($J$1782)*G1120</f>
        <v>0</v>
      </c>
      <c r="W1120" s="100">
        <f t="shared" ref="W1120:W1121" si="2859">I1120</f>
        <v>0</v>
      </c>
      <c r="X1120" s="100" t="b">
        <f>IF(G1120&gt;0,IF(AD1120="me","",G1120))</f>
        <v>0</v>
      </c>
      <c r="Y1120" s="201"/>
      <c r="Z1120" s="829" t="str">
        <f t="shared" si="2719"/>
        <v/>
      </c>
      <c r="AA1120" s="829"/>
      <c r="AB1120" s="830" t="str">
        <f>IF(G1120=0,"",IF(AD1120="free","re-planting",IF(AD1120="me","not NVP, by",IF($AD$8="yes",(VLOOKUP(A1120,'Discount Lookup'!J:K,2)*G1120*(1-$AC$1786)*(1+$AC$1788)),IF(AD1120="NVP",(VLOOKUP(A1120,'Discount Lookup'!J:K,2)*G1120*(1-$AC$1786)*(1+$AC$1788)),IF(AD1120="free","re-planting",IF(G1120=0,"",IF($AD$8="",IF(AD1120="me","not NVP, by",IF(AD1120="",IF(G1120&gt;0,(VLOOKUP(A1120,'Discount Lookup'!J:K,2)*G1120*(1-$AC$1786)*(1+$AC$1788)),""),"")),"not NVP, by"))))))))</f>
        <v/>
      </c>
      <c r="AC1120" s="830"/>
      <c r="AD1120" s="375" t="str">
        <f t="shared" si="2809"/>
        <v/>
      </c>
      <c r="AE1120" s="833" t="str">
        <f t="shared" si="2810"/>
        <v/>
      </c>
      <c r="AF1120" s="833"/>
      <c r="AG1120" s="833"/>
      <c r="AH1120" s="91">
        <f>IF(AD1120="free",0,IF(AD1120="me",0,IF(G1120&gt;0,(VLOOKUP(A1120,'Discount Lookup'!J:K,2)*G1120),0)))</f>
        <v>0</v>
      </c>
      <c r="AI1120" s="92" t="str">
        <f t="shared" si="2835"/>
        <v/>
      </c>
      <c r="AJ1120" s="828" t="str">
        <f t="shared" si="2721"/>
        <v/>
      </c>
      <c r="AK1120" s="828"/>
      <c r="AL1120" s="313" t="str">
        <f t="shared" si="2808"/>
        <v/>
      </c>
      <c r="AM1120" s="312"/>
      <c r="AN1120" s="101"/>
      <c r="AO1120" s="101"/>
      <c r="AP1120" s="101"/>
      <c r="AQ1120" s="101"/>
      <c r="AR1120" s="101"/>
      <c r="AS1120" s="101"/>
      <c r="AT1120" s="101"/>
    </row>
    <row r="1121" spans="1:46" ht="12.95" customHeight="1">
      <c r="A1121" s="383">
        <v>7</v>
      </c>
      <c r="B1121" s="158" t="s">
        <v>50</v>
      </c>
      <c r="C1121" s="160" t="s">
        <v>153</v>
      </c>
      <c r="D1121" s="161" t="s">
        <v>54</v>
      </c>
      <c r="E1121" s="162">
        <v>86.95</v>
      </c>
      <c r="F1121" s="713" t="s">
        <v>1306</v>
      </c>
      <c r="G1121" s="357">
        <v>0</v>
      </c>
      <c r="H1121" s="748" t="str">
        <f t="shared" si="2855"/>
        <v/>
      </c>
      <c r="I1121" s="592">
        <f t="shared" si="2856"/>
        <v>0</v>
      </c>
      <c r="J1121" s="592">
        <f>IF(H1121="warranty",0,(I1121*($J$1782)))</f>
        <v>0</v>
      </c>
      <c r="K1121" s="834">
        <f t="shared" si="2857"/>
        <v>0</v>
      </c>
      <c r="L1121" s="834"/>
      <c r="M1121" s="832" t="str">
        <f>IF($H$1784=0,"",IF(G1121=0,"",IF(F1121="Qty=",CONCATENATE("$",ROUND(K1121*(1-$H$1784),2)," with ",($H$1784*100),"% discount"),CONCATENATE("$",ROUND(K1121*(1-$H$1784),2)," with ",(($H$1784*100+F1121*100)-($H$1784*100*F1121)),IF(F1121&gt;0,"% discounts",IF($H$1781&gt;0,"% discounts","% discount"))))))</f>
        <v/>
      </c>
      <c r="N1121" s="832"/>
      <c r="O1121" s="832"/>
      <c r="P1121" s="832"/>
      <c r="Q1121" s="832"/>
      <c r="R1121" s="832"/>
      <c r="S1121" s="303">
        <f t="shared" si="2858"/>
        <v>0</v>
      </c>
      <c r="T1121" s="541">
        <f>VLOOKUP(A1121,'Discount Lookup'!D:E,2,FALSE)*G1121</f>
        <v>0</v>
      </c>
      <c r="U1121" s="83">
        <f>VLOOKUP(A1121,'Discount Lookup'!G:H,2,FALSE)*G1121</f>
        <v>0</v>
      </c>
      <c r="V1121" s="100">
        <f>E1121*($J$1782)*G1121</f>
        <v>0</v>
      </c>
      <c r="W1121" s="100">
        <f t="shared" si="2859"/>
        <v>0</v>
      </c>
      <c r="X1121" s="100" t="b">
        <f>IF(G1121&gt;0,IF(AD1121="me","",G1121))</f>
        <v>0</v>
      </c>
      <c r="Y1121" s="201"/>
      <c r="Z1121" s="829" t="str">
        <f t="shared" si="2719"/>
        <v/>
      </c>
      <c r="AA1121" s="829"/>
      <c r="AB1121" s="830" t="str">
        <f>IF(G1121=0,"",IF(AD1121="free","re-planting",IF(AD1121="me","not NVP, by",IF($AD$8="yes",(VLOOKUP(A1121,'Discount Lookup'!J:K,2)*G1121*(1-$AC$1786)*(1+$AC$1788)),IF(AD1121="NVP",(VLOOKUP(A1121,'Discount Lookup'!J:K,2)*G1121*(1-$AC$1786)*(1+$AC$1788)),IF(AD1121="free","re-planting",IF(G1121=0,"",IF($AD$8="",IF(AD1121="me","not NVP, by",IF(AD1121="",IF(G1121&gt;0,(VLOOKUP(A1121,'Discount Lookup'!J:K,2)*G1121*(1-$AC$1786)*(1+$AC$1788)),""),"")),"not NVP, by"))))))))</f>
        <v/>
      </c>
      <c r="AC1121" s="830"/>
      <c r="AD1121" s="375" t="str">
        <f t="shared" si="2809"/>
        <v/>
      </c>
      <c r="AE1121" s="833" t="str">
        <f t="shared" ref="AE1121" si="2860">IF(G1121&gt;0,(CONCATENATE((G1121)," quantity, ",(A1121)," ",B1121)),"")</f>
        <v/>
      </c>
      <c r="AF1121" s="833"/>
      <c r="AG1121" s="833"/>
      <c r="AH1121" s="91">
        <f>IF(AD1121="free",0,IF(AD1121="me",0,IF(G1121&gt;0,(VLOOKUP(A1121,'Discount Lookup'!J:K,2)*G1121),0)))</f>
        <v>0</v>
      </c>
      <c r="AI1121" s="92" t="str">
        <f t="shared" si="2835"/>
        <v/>
      </c>
      <c r="AJ1121" s="828" t="str">
        <f t="shared" si="2721"/>
        <v/>
      </c>
      <c r="AK1121" s="828"/>
      <c r="AL1121" s="313" t="str">
        <f t="shared" si="2808"/>
        <v/>
      </c>
      <c r="AM1121" s="312"/>
      <c r="AN1121" s="101"/>
      <c r="AO1121" s="101"/>
      <c r="AP1121" s="101"/>
      <c r="AQ1121" s="101"/>
      <c r="AR1121" s="101"/>
      <c r="AS1121" s="101"/>
      <c r="AT1121" s="101"/>
    </row>
    <row r="1122" spans="1:46" ht="12.95" customHeight="1">
      <c r="A1122" s="383">
        <v>7</v>
      </c>
      <c r="B1122" s="158" t="s">
        <v>50</v>
      </c>
      <c r="C1122" s="160" t="s">
        <v>1240</v>
      </c>
      <c r="D1122" s="161" t="s">
        <v>54</v>
      </c>
      <c r="E1122" s="162">
        <v>173.95</v>
      </c>
      <c r="F1122" s="713" t="s">
        <v>1306</v>
      </c>
      <c r="G1122" s="357">
        <v>0</v>
      </c>
      <c r="H1122" s="748" t="str">
        <f t="shared" si="2855"/>
        <v/>
      </c>
      <c r="I1122" s="592">
        <f t="shared" si="2856"/>
        <v>0</v>
      </c>
      <c r="J1122" s="592">
        <f>IF(H1122="warranty",0,(I1122*($J$1782)))</f>
        <v>0</v>
      </c>
      <c r="K1122" s="834">
        <f t="shared" si="2857"/>
        <v>0</v>
      </c>
      <c r="L1122" s="834"/>
      <c r="M1122" s="832" t="str">
        <f>IF($H$1784=0,"",IF(G1122=0,"",IF(F1122="Qty=",CONCATENATE("$",ROUND(K1122*(1-$H$1784),2)," with ",($H$1784*100),"% discount"),CONCATENATE("$",ROUND(K1122*(1-$H$1784),2)," with ",(($H$1784*100+F1122*100)-($H$1784*100*F1122)),IF(F1122&gt;0,"% discounts",IF($H$1781&gt;0,"% discounts","% discount"))))))</f>
        <v/>
      </c>
      <c r="N1122" s="832"/>
      <c r="O1122" s="832"/>
      <c r="P1122" s="832"/>
      <c r="Q1122" s="832"/>
      <c r="R1122" s="832"/>
      <c r="S1122" s="303">
        <f t="shared" ref="S1122" si="2861">E1122*G1122</f>
        <v>0</v>
      </c>
      <c r="T1122" s="541">
        <f>VLOOKUP(A1122,'Discount Lookup'!D:E,2,FALSE)*G1122</f>
        <v>0</v>
      </c>
      <c r="U1122" s="83">
        <f>VLOOKUP(A1122,'Discount Lookup'!G:H,2,FALSE)*G1122</f>
        <v>0</v>
      </c>
      <c r="V1122" s="100">
        <f>E1122*($J$1782)*G1122</f>
        <v>0</v>
      </c>
      <c r="W1122" s="100">
        <f t="shared" ref="W1122" si="2862">I1122</f>
        <v>0</v>
      </c>
      <c r="X1122" s="100" t="b">
        <f>IF(G1122&gt;0,IF(AD1122="me","",G1122))</f>
        <v>0</v>
      </c>
      <c r="Y1122" s="201"/>
      <c r="Z1122" s="829" t="str">
        <f t="shared" si="2719"/>
        <v/>
      </c>
      <c r="AA1122" s="829"/>
      <c r="AB1122" s="830" t="str">
        <f>IF(G1122=0,"",IF(AD1122="free","re-planting",IF(AD1122="me","not NVP, by",IF($AD$8="yes",(VLOOKUP(A1122,'Discount Lookup'!J:K,2)*G1122*(1-$AC$1786)*(1+$AC$1788)),IF(AD1122="NVP",(VLOOKUP(A1122,'Discount Lookup'!J:K,2)*G1122*(1-$AC$1786)*(1+$AC$1788)),IF(AD1122="free","re-planting",IF(G1122=0,"",IF($AD$8="",IF(AD1122="me","not NVP, by",IF(AD1122="",IF(G1122&gt;0,(VLOOKUP(A1122,'Discount Lookup'!J:K,2)*G1122*(1-$AC$1786)*(1+$AC$1788)),""),"")),"not NVP, by"))))))))</f>
        <v/>
      </c>
      <c r="AC1122" s="830"/>
      <c r="AD1122" s="375" t="str">
        <f t="shared" si="2809"/>
        <v/>
      </c>
      <c r="AE1122" s="833" t="str">
        <f t="shared" si="2810"/>
        <v/>
      </c>
      <c r="AF1122" s="833"/>
      <c r="AG1122" s="833"/>
      <c r="AH1122" s="91">
        <f>IF(AD1122="free",0,IF(AD1122="me",0,IF(G1122&gt;0,(VLOOKUP(A1122,'Discount Lookup'!J:K,2)*G1122),0)))</f>
        <v>0</v>
      </c>
      <c r="AI1122" s="92" t="str">
        <f t="shared" si="2835"/>
        <v/>
      </c>
      <c r="AJ1122" s="828" t="str">
        <f t="shared" si="2721"/>
        <v/>
      </c>
      <c r="AK1122" s="828"/>
      <c r="AL1122" s="313" t="str">
        <f t="shared" si="2808"/>
        <v/>
      </c>
      <c r="AM1122" s="312"/>
      <c r="AN1122" s="101"/>
      <c r="AO1122" s="101"/>
      <c r="AP1122" s="101"/>
      <c r="AQ1122" s="101"/>
      <c r="AR1122" s="101"/>
      <c r="AS1122" s="101"/>
      <c r="AT1122" s="101"/>
    </row>
    <row r="1123" spans="1:46" ht="12.95" customHeight="1">
      <c r="A1123" s="481"/>
      <c r="B1123" s="173" t="s">
        <v>631</v>
      </c>
      <c r="G1123" s="361"/>
      <c r="H1123" s="746"/>
      <c r="K1123" s="609"/>
      <c r="L1123" s="609"/>
      <c r="M1123" s="121"/>
      <c r="N1123" s="122"/>
      <c r="O1123" s="48"/>
      <c r="P1123" s="111"/>
      <c r="Q1123" s="111"/>
      <c r="R1123" s="48"/>
      <c r="S1123" s="82"/>
      <c r="T1123" s="540"/>
      <c r="U1123" s="83"/>
      <c r="V1123" s="100" t="b">
        <f>IF(G1123&gt;0,IF(AD1123="me","",G1123))</f>
        <v>0</v>
      </c>
      <c r="W1123" s="100"/>
      <c r="X1123" s="100"/>
      <c r="Y1123" s="201"/>
      <c r="Z1123" s="829" t="str">
        <f t="shared" si="2719"/>
        <v/>
      </c>
      <c r="AA1123" s="829"/>
      <c r="AB1123" s="830" t="str">
        <f>IF(G1123=0,"",IF(AD1123="free","re-planting",IF(AD1123="me","not NVP, by",IF($AD$8="yes",(VLOOKUP(A1123,'Discount Lookup'!J:K,2)*G1123*(1-$AC$1786)*(1+$AC$1788)),IF(AD1123="NVP",(VLOOKUP(A1123,'Discount Lookup'!J:K,2)*G1123*(1-$AC$1786)*(1+$AC$1788)),IF(AD1123="free","re-planting",IF(G1123=0,"",IF($AD$8="",IF(AD1123="me","not NVP, by",IF(AD1123="",IF(G1123&gt;0,(VLOOKUP(A1123,'Discount Lookup'!J:K,2)*G1123*(1-$AC$1786)*(1+$AC$1788)),""),"")),"not NVP, by"))))))))</f>
        <v/>
      </c>
      <c r="AC1123" s="830"/>
      <c r="AD1123" s="375" t="str">
        <f t="shared" si="2809"/>
        <v/>
      </c>
      <c r="AE1123" s="833" t="str">
        <f t="shared" si="2810"/>
        <v/>
      </c>
      <c r="AF1123" s="833"/>
      <c r="AG1123" s="833"/>
      <c r="AH1123" s="91">
        <f>IF(AD1123="free",0,IF(AD1123="me",0,IF(G1123&gt;0,(VLOOKUP(A1123,'Discount Lookup'!J:K,2)*G1123),0)))</f>
        <v>0</v>
      </c>
      <c r="AI1123" s="92" t="str">
        <f t="shared" si="2835"/>
        <v/>
      </c>
      <c r="AJ1123" s="828" t="str">
        <f t="shared" si="2721"/>
        <v/>
      </c>
      <c r="AK1123" s="828"/>
      <c r="AL1123" s="313" t="str">
        <f t="shared" si="2808"/>
        <v/>
      </c>
      <c r="AM1123" s="312"/>
      <c r="AN1123" s="101"/>
      <c r="AO1123" s="101"/>
      <c r="AP1123" s="101"/>
      <c r="AQ1123" s="101"/>
      <c r="AR1123" s="101"/>
      <c r="AS1123" s="101"/>
      <c r="AT1123" s="101"/>
    </row>
    <row r="1124" spans="1:46" ht="12.95" customHeight="1">
      <c r="A1124" s="894" t="s">
        <v>632</v>
      </c>
      <c r="B1124" s="895"/>
      <c r="C1124" s="895"/>
      <c r="D1124" s="895"/>
      <c r="E1124" s="895"/>
      <c r="F1124" s="895"/>
      <c r="G1124" s="895"/>
      <c r="H1124" s="775" t="s">
        <v>633</v>
      </c>
      <c r="I1124" s="164" t="s">
        <v>79</v>
      </c>
      <c r="J1124" s="157"/>
      <c r="K1124" s="611" t="s">
        <v>45</v>
      </c>
      <c r="L1124" s="630" t="s">
        <v>46</v>
      </c>
      <c r="M1124" s="157"/>
      <c r="N1124" s="158" t="s">
        <v>69</v>
      </c>
      <c r="O1124" s="158"/>
      <c r="P1124" s="164"/>
      <c r="Q1124" s="164"/>
      <c r="R1124" s="157"/>
      <c r="S1124" s="170"/>
      <c r="T1124" s="547"/>
      <c r="U1124" s="171"/>
      <c r="V1124" s="100" t="b">
        <f>IF(G1124&gt;0,IF(AD1124="me","",G1124))</f>
        <v>0</v>
      </c>
      <c r="W1124" s="100"/>
      <c r="X1124" s="100"/>
      <c r="Y1124" s="201"/>
      <c r="Z1124" s="829" t="str">
        <f t="shared" si="2719"/>
        <v/>
      </c>
      <c r="AA1124" s="829"/>
      <c r="AB1124" s="830" t="str">
        <f>IF(G1124=0,"",IF(AD1124="free","re-planting",IF(AD1124="me","not NVP, by",IF($AD$8="yes",(VLOOKUP(A1124,'Discount Lookup'!J:K,2)*G1124*(1-$AC$1786)*(1+$AC$1788)),IF(AD1124="NVP",(VLOOKUP(A1124,'Discount Lookup'!J:K,2)*G1124*(1-$AC$1786)*(1+$AC$1788)),IF(AD1124="free","re-planting",IF(G1124=0,"",IF($AD$8="",IF(AD1124="me","not NVP, by",IF(AD1124="",IF(G1124&gt;0,(VLOOKUP(A1124,'Discount Lookup'!J:K,2)*G1124*(1-$AC$1786)*(1+$AC$1788)),""),"")),"not NVP, by"))))))))</f>
        <v/>
      </c>
      <c r="AC1124" s="830"/>
      <c r="AD1124" s="375" t="str">
        <f t="shared" si="2809"/>
        <v/>
      </c>
      <c r="AE1124" s="833" t="str">
        <f t="shared" si="2810"/>
        <v/>
      </c>
      <c r="AF1124" s="833"/>
      <c r="AG1124" s="833"/>
      <c r="AH1124" s="91">
        <f>IF(AD1124="free",0,IF(AD1124="me",0,IF(G1124&gt;0,(VLOOKUP(A1124,'Discount Lookup'!J:K,2)*G1124),0)))</f>
        <v>0</v>
      </c>
      <c r="AI1124" s="92" t="str">
        <f t="shared" si="2835"/>
        <v/>
      </c>
      <c r="AJ1124" s="828" t="str">
        <f t="shared" si="2721"/>
        <v/>
      </c>
      <c r="AK1124" s="828"/>
      <c r="AL1124" s="313" t="str">
        <f t="shared" si="2808"/>
        <v/>
      </c>
      <c r="AM1124" s="312"/>
      <c r="AN1124" s="101"/>
      <c r="AO1124" s="101"/>
      <c r="AP1124" s="101"/>
      <c r="AQ1124" s="101"/>
      <c r="AR1124" s="101"/>
      <c r="AS1124" s="101"/>
      <c r="AT1124" s="101"/>
    </row>
    <row r="1125" spans="1:46" ht="12.95" customHeight="1">
      <c r="A1125" s="383">
        <v>3</v>
      </c>
      <c r="B1125" s="158" t="s">
        <v>50</v>
      </c>
      <c r="C1125" s="168" t="s">
        <v>136</v>
      </c>
      <c r="D1125" s="161" t="s">
        <v>62</v>
      </c>
      <c r="E1125" s="162">
        <v>22.95</v>
      </c>
      <c r="F1125" s="713" t="s">
        <v>1306</v>
      </c>
      <c r="G1125" s="357">
        <v>0</v>
      </c>
      <c r="H1125" s="748" t="str">
        <f t="shared" ref="H1125:H1127" si="2863">IF(G1125=0,"",IF(F1125="Qty=",IF(G1125=1,"plant","plants"),IF(F1125&gt;0.0001,"warranty","Error")))</f>
        <v/>
      </c>
      <c r="I1125" s="592">
        <f t="shared" ref="I1125:I1127" si="2864">IF(F1125="Qty=",(E1125*G1125),((E1125*(1-F1125))*G1125))</f>
        <v>0</v>
      </c>
      <c r="J1125" s="592">
        <f>IF(H1125="warranty",0,(I1125*($J$1782)))</f>
        <v>0</v>
      </c>
      <c r="K1125" s="834">
        <f t="shared" ref="K1125:K1127" si="2865">I1125+J1125</f>
        <v>0</v>
      </c>
      <c r="L1125" s="834"/>
      <c r="M1125" s="832" t="str">
        <f>IF($H$1784=0,"",IF(G1125=0,"",IF(F1125="Qty=",CONCATENATE("$",ROUND(K1125*(1-$H$1784),2)," with ",($H$1784*100),"% discount"),CONCATENATE("$",ROUND(K1125*(1-$H$1784),2)," with ",(($H$1784*100+F1125*100)-($H$1784*100*F1125)),IF(F1125&gt;0,"% discounts",IF($H$1781&gt;0,"% discounts","% discount"))))))</f>
        <v/>
      </c>
      <c r="N1125" s="832"/>
      <c r="O1125" s="832"/>
      <c r="P1125" s="832"/>
      <c r="Q1125" s="832"/>
      <c r="R1125" s="832"/>
      <c r="S1125" s="303">
        <f t="shared" ref="S1125" si="2866">E1125*G1125</f>
        <v>0</v>
      </c>
      <c r="T1125" s="541">
        <f>VLOOKUP(A1125,'Discount Lookup'!D:E,2,FALSE)*G1125</f>
        <v>0</v>
      </c>
      <c r="U1125" s="83">
        <f>VLOOKUP(A1125,'Discount Lookup'!G:H,2,FALSE)*G1125</f>
        <v>0</v>
      </c>
      <c r="V1125" s="100">
        <f>E1125*($J$1782)*G1125</f>
        <v>0</v>
      </c>
      <c r="W1125" s="100">
        <f t="shared" ref="W1125" si="2867">I1125</f>
        <v>0</v>
      </c>
      <c r="X1125" s="100" t="b">
        <f>IF(G1125&gt;0,IF(AD1125="me","",G1125))</f>
        <v>0</v>
      </c>
      <c r="Y1125" s="201"/>
      <c r="Z1125" s="829" t="str">
        <f t="shared" si="2719"/>
        <v/>
      </c>
      <c r="AA1125" s="829"/>
      <c r="AB1125" s="830" t="str">
        <f>IF(G1125=0,"",IF(AD1125="free","re-planting",IF(AD1125="me","not NVP, by",IF($AD$8="yes",(VLOOKUP(A1125,'Discount Lookup'!J:K,2)*G1125*(1-$AC$1786)*(1+$AC$1788)),IF(AD1125="NVP",(VLOOKUP(A1125,'Discount Lookup'!J:K,2)*G1125*(1-$AC$1786)*(1+$AC$1788)),IF(AD1125="free","re-planting",IF(G1125=0,"",IF($AD$8="",IF(AD1125="me","not NVP, by",IF(AD1125="",IF(G1125&gt;0,(VLOOKUP(A1125,'Discount Lookup'!J:K,2)*G1125*(1-$AC$1786)*(1+$AC$1788)),""),"")),"not NVP, by"))))))))</f>
        <v/>
      </c>
      <c r="AC1125" s="830"/>
      <c r="AD1125" s="375" t="str">
        <f t="shared" si="2809"/>
        <v/>
      </c>
      <c r="AE1125" s="833" t="str">
        <f t="shared" si="2810"/>
        <v/>
      </c>
      <c r="AF1125" s="833"/>
      <c r="AG1125" s="833"/>
      <c r="AH1125" s="91">
        <f>IF(AD1125="free",0,IF(AD1125="me",0,IF(G1125&gt;0,(VLOOKUP(A1125,'Discount Lookup'!J:K,2)*G1125),0)))</f>
        <v>0</v>
      </c>
      <c r="AI1125" s="92" t="str">
        <f t="shared" si="2835"/>
        <v/>
      </c>
      <c r="AJ1125" s="828" t="str">
        <f t="shared" si="2721"/>
        <v/>
      </c>
      <c r="AK1125" s="828"/>
      <c r="AL1125" s="313" t="str">
        <f t="shared" si="2808"/>
        <v/>
      </c>
      <c r="AM1125" s="312"/>
      <c r="AN1125" s="101"/>
      <c r="AO1125" s="101"/>
      <c r="AP1125" s="101"/>
      <c r="AQ1125" s="101"/>
      <c r="AR1125" s="101"/>
      <c r="AS1125" s="101"/>
      <c r="AT1125" s="101"/>
    </row>
    <row r="1126" spans="1:46" ht="12.75" customHeight="1">
      <c r="A1126" s="383">
        <v>5</v>
      </c>
      <c r="B1126" s="158" t="s">
        <v>50</v>
      </c>
      <c r="C1126" s="160" t="s">
        <v>85</v>
      </c>
      <c r="D1126" s="161" t="s">
        <v>90</v>
      </c>
      <c r="E1126" s="162">
        <v>55.95</v>
      </c>
      <c r="F1126" s="713" t="s">
        <v>1306</v>
      </c>
      <c r="G1126" s="357">
        <v>0</v>
      </c>
      <c r="H1126" s="748" t="str">
        <f t="shared" si="2863"/>
        <v/>
      </c>
      <c r="I1126" s="592">
        <f t="shared" si="2864"/>
        <v>0</v>
      </c>
      <c r="J1126" s="592">
        <f>IF(H1126="warranty",0,(I1126*($J$1782)))</f>
        <v>0</v>
      </c>
      <c r="K1126" s="834">
        <f t="shared" si="2865"/>
        <v>0</v>
      </c>
      <c r="L1126" s="834"/>
      <c r="M1126" s="832" t="str">
        <f>IF($H$1784=0,"",IF(G1126=0,"",IF(F1126="Qty=",CONCATENATE("$",ROUND(K1126*(1-$H$1784),2)," with ",($H$1784*100),"% discount"),CONCATENATE("$",ROUND(K1126*(1-$H$1784),2)," with ",(($H$1784*100+F1126*100)-($H$1784*100*F1126)),IF(F1126&gt;0,"% discounts",IF($H$1781&gt;0,"% discounts","% discount"))))))</f>
        <v/>
      </c>
      <c r="N1126" s="832"/>
      <c r="O1126" s="832"/>
      <c r="P1126" s="832"/>
      <c r="Q1126" s="832"/>
      <c r="R1126" s="832"/>
      <c r="S1126" s="303">
        <f t="shared" ref="S1126:S1127" si="2868">E1126*G1126</f>
        <v>0</v>
      </c>
      <c r="T1126" s="541">
        <f>VLOOKUP(A1126,'Discount Lookup'!D:E,2,FALSE)*G1126</f>
        <v>0</v>
      </c>
      <c r="U1126" s="83">
        <f>VLOOKUP(A1126,'Discount Lookup'!G:H,2,FALSE)*G1126</f>
        <v>0</v>
      </c>
      <c r="V1126" s="100">
        <f>E1126*($J$1782)*G1126</f>
        <v>0</v>
      </c>
      <c r="W1126" s="100">
        <f t="shared" ref="W1126:W1127" si="2869">I1126</f>
        <v>0</v>
      </c>
      <c r="X1126" s="100" t="b">
        <f>IF(G1126&gt;0,IF(AD1126="me","",G1126))</f>
        <v>0</v>
      </c>
      <c r="Y1126" s="201"/>
      <c r="Z1126" s="829" t="str">
        <f t="shared" si="2719"/>
        <v/>
      </c>
      <c r="AA1126" s="829"/>
      <c r="AB1126" s="830" t="str">
        <f>IF(G1126=0,"",IF(AD1126="free","re-planting",IF(AD1126="me","not NVP, by",IF($AD$8="yes",(VLOOKUP(A1126,'Discount Lookup'!J:K,2)*G1126*(1-$AC$1786)*(1+$AC$1788)),IF(AD1126="NVP",(VLOOKUP(A1126,'Discount Lookup'!J:K,2)*G1126*(1-$AC$1786)*(1+$AC$1788)),IF(AD1126="free","re-planting",IF(G1126=0,"",IF($AD$8="",IF(AD1126="me","not NVP, by",IF(AD1126="",IF(G1126&gt;0,(VLOOKUP(A1126,'Discount Lookup'!J:K,2)*G1126*(1-$AC$1786)*(1+$AC$1788)),""),"")),"not NVP, by"))))))))</f>
        <v/>
      </c>
      <c r="AC1126" s="830"/>
      <c r="AD1126" s="375" t="str">
        <f t="shared" si="2809"/>
        <v/>
      </c>
      <c r="AE1126" s="833" t="str">
        <f t="shared" si="2810"/>
        <v/>
      </c>
      <c r="AF1126" s="833"/>
      <c r="AG1126" s="833"/>
      <c r="AH1126" s="91">
        <f>IF(AD1126="free",0,IF(AD1126="me",0,IF(G1126&gt;0,(VLOOKUP(A1126,'Discount Lookup'!J:K,2)*G1126),0)))</f>
        <v>0</v>
      </c>
      <c r="AI1126" s="92" t="str">
        <f t="shared" si="2835"/>
        <v/>
      </c>
      <c r="AJ1126" s="828" t="str">
        <f t="shared" si="2721"/>
        <v/>
      </c>
      <c r="AK1126" s="828"/>
      <c r="AL1126" s="313" t="str">
        <f t="shared" si="2808"/>
        <v/>
      </c>
      <c r="AM1126" s="312"/>
      <c r="AN1126" s="101"/>
      <c r="AO1126" s="101"/>
      <c r="AP1126" s="101"/>
      <c r="AQ1126" s="101"/>
      <c r="AR1126" s="101"/>
      <c r="AS1126" s="101"/>
      <c r="AT1126" s="101"/>
    </row>
    <row r="1127" spans="1:46" ht="12.95" customHeight="1">
      <c r="A1127" s="383">
        <v>7</v>
      </c>
      <c r="B1127" s="158" t="s">
        <v>50</v>
      </c>
      <c r="C1127" s="160" t="s">
        <v>1435</v>
      </c>
      <c r="D1127" s="161" t="s">
        <v>62</v>
      </c>
      <c r="E1127" s="162">
        <v>56.95</v>
      </c>
      <c r="F1127" s="713" t="s">
        <v>1306</v>
      </c>
      <c r="G1127" s="357">
        <v>0</v>
      </c>
      <c r="H1127" s="748" t="str">
        <f t="shared" si="2863"/>
        <v/>
      </c>
      <c r="I1127" s="592">
        <f t="shared" si="2864"/>
        <v>0</v>
      </c>
      <c r="J1127" s="592">
        <f>IF(H1127="warranty",0,(I1127*($J$1782)))</f>
        <v>0</v>
      </c>
      <c r="K1127" s="834">
        <f t="shared" si="2865"/>
        <v>0</v>
      </c>
      <c r="L1127" s="834"/>
      <c r="M1127" s="832" t="str">
        <f>IF($H$1784=0,"",IF(G1127=0,"",IF(F1127="Qty=",CONCATENATE("$",ROUND(K1127*(1-$H$1784),2)," with ",($H$1784*100),"% discount"),CONCATENATE("$",ROUND(K1127*(1-$H$1784),2)," with ",(($H$1784*100+F1127*100)-($H$1784*100*F1127)),IF(F1127&gt;0,"% discounts",IF($H$1781&gt;0,"% discounts","% discount"))))))</f>
        <v/>
      </c>
      <c r="N1127" s="832"/>
      <c r="O1127" s="832"/>
      <c r="P1127" s="832"/>
      <c r="Q1127" s="832"/>
      <c r="R1127" s="832"/>
      <c r="S1127" s="303">
        <f t="shared" si="2868"/>
        <v>0</v>
      </c>
      <c r="T1127" s="541">
        <f>VLOOKUP(A1127,'Discount Lookup'!D:E,2,FALSE)*G1127</f>
        <v>0</v>
      </c>
      <c r="U1127" s="83">
        <f>VLOOKUP(A1127,'Discount Lookup'!G:H,2,FALSE)*G1127</f>
        <v>0</v>
      </c>
      <c r="V1127" s="100">
        <f>E1127*($J$1782)*G1127</f>
        <v>0</v>
      </c>
      <c r="W1127" s="100">
        <f t="shared" si="2869"/>
        <v>0</v>
      </c>
      <c r="X1127" s="100" t="b">
        <f>IF(G1127&gt;0,IF(AD1127="me","",G1127))</f>
        <v>0</v>
      </c>
      <c r="Y1127" s="201"/>
      <c r="Z1127" s="829" t="str">
        <f t="shared" si="2719"/>
        <v/>
      </c>
      <c r="AA1127" s="829"/>
      <c r="AB1127" s="830" t="str">
        <f>IF(G1127=0,"",IF(AD1127="free","re-planting",IF(AD1127="me","not NVP, by",IF($AD$8="yes",(VLOOKUP(A1127,'Discount Lookup'!J:K,2)*G1127*(1-$AC$1786)*(1+$AC$1788)),IF(AD1127="NVP",(VLOOKUP(A1127,'Discount Lookup'!J:K,2)*G1127*(1-$AC$1786)*(1+$AC$1788)),IF(AD1127="free","re-planting",IF(G1127=0,"",IF($AD$8="",IF(AD1127="me","not NVP, by",IF(AD1127="",IF(G1127&gt;0,(VLOOKUP(A1127,'Discount Lookup'!J:K,2)*G1127*(1-$AC$1786)*(1+$AC$1788)),""),"")),"not NVP, by"))))))))</f>
        <v/>
      </c>
      <c r="AC1127" s="830"/>
      <c r="AD1127" s="375" t="str">
        <f t="shared" si="2809"/>
        <v/>
      </c>
      <c r="AE1127" s="833" t="str">
        <f t="shared" ref="AE1127" si="2870">IF(G1127&gt;0,(CONCATENATE((G1127)," quantity, ",(A1127)," ",B1127)),"")</f>
        <v/>
      </c>
      <c r="AF1127" s="833"/>
      <c r="AG1127" s="833"/>
      <c r="AH1127" s="91">
        <f>IF(AD1127="free",0,IF(AD1127="me",0,IF(G1127&gt;0,(VLOOKUP(A1127,'Discount Lookup'!J:K,2)*G1127),0)))</f>
        <v>0</v>
      </c>
      <c r="AI1127" s="92" t="str">
        <f t="shared" si="2835"/>
        <v/>
      </c>
      <c r="AJ1127" s="828" t="str">
        <f t="shared" si="2721"/>
        <v/>
      </c>
      <c r="AK1127" s="828"/>
      <c r="AL1127" s="313" t="str">
        <f t="shared" si="2808"/>
        <v/>
      </c>
      <c r="AM1127" s="312"/>
      <c r="AN1127" s="101"/>
      <c r="AO1127" s="101"/>
      <c r="AP1127" s="101"/>
      <c r="AQ1127" s="101"/>
      <c r="AR1127" s="101"/>
      <c r="AS1127" s="101"/>
      <c r="AT1127" s="101"/>
    </row>
    <row r="1128" spans="1:46" ht="12.95" customHeight="1">
      <c r="A1128" s="481"/>
      <c r="B1128" s="149" t="s">
        <v>634</v>
      </c>
      <c r="G1128" s="361"/>
      <c r="H1128" s="746"/>
      <c r="M1128" s="48"/>
      <c r="N1128" s="122" t="s">
        <v>176</v>
      </c>
      <c r="O1128" s="48"/>
      <c r="P1128" s="48"/>
      <c r="Q1128" s="48"/>
      <c r="R1128" s="48"/>
      <c r="S1128" s="82">
        <f>E1128*G1128</f>
        <v>0</v>
      </c>
      <c r="T1128" s="540"/>
      <c r="U1128" s="83"/>
      <c r="V1128" s="100" t="b">
        <f>IF(G1128&gt;0,IF(AD1128="me","",G1128))</f>
        <v>0</v>
      </c>
      <c r="W1128" s="100"/>
      <c r="X1128" s="100"/>
      <c r="Y1128" s="201"/>
      <c r="Z1128" s="829" t="str">
        <f t="shared" si="2719"/>
        <v/>
      </c>
      <c r="AA1128" s="829"/>
      <c r="AB1128" s="830" t="str">
        <f>IF(G1128=0,"",IF(AD1128="free","re-planting",IF(AD1128="me","not NVP, by",IF($AD$8="yes",(VLOOKUP(A1128,'Discount Lookup'!J:K,2)*G1128*(1-$AC$1786)*(1+$AC$1788)),IF(AD1128="NVP",(VLOOKUP(A1128,'Discount Lookup'!J:K,2)*G1128*(1-$AC$1786)*(1+$AC$1788)),IF(AD1128="free","re-planting",IF(G1128=0,"",IF($AD$8="",IF(AD1128="me","not NVP, by",IF(AD1128="",IF(G1128&gt;0,(VLOOKUP(A1128,'Discount Lookup'!J:K,2)*G1128*(1-$AC$1786)*(1+$AC$1788)),""),"")),"not NVP, by"))))))))</f>
        <v/>
      </c>
      <c r="AC1128" s="830"/>
      <c r="AD1128" s="375" t="str">
        <f t="shared" si="2809"/>
        <v/>
      </c>
      <c r="AE1128" s="833" t="str">
        <f t="shared" si="2810"/>
        <v/>
      </c>
      <c r="AF1128" s="833"/>
      <c r="AG1128" s="833"/>
      <c r="AH1128" s="91">
        <f>IF(AD1128="free",0,IF(AD1128="me",0,IF(G1128&gt;0,(VLOOKUP(A1128,'Discount Lookup'!J:K,2)*G1128),0)))</f>
        <v>0</v>
      </c>
      <c r="AI1128" s="92" t="str">
        <f t="shared" si="2835"/>
        <v/>
      </c>
      <c r="AJ1128" s="828" t="str">
        <f t="shared" si="2721"/>
        <v/>
      </c>
      <c r="AK1128" s="828"/>
      <c r="AL1128" s="313" t="str">
        <f t="shared" si="2808"/>
        <v/>
      </c>
      <c r="AM1128" s="312"/>
      <c r="AN1128" s="101"/>
      <c r="AO1128" s="101"/>
      <c r="AP1128" s="101"/>
      <c r="AQ1128" s="101"/>
      <c r="AR1128" s="101"/>
      <c r="AS1128" s="101"/>
      <c r="AT1128" s="101"/>
    </row>
    <row r="1129" spans="1:46" ht="12.95" customHeight="1">
      <c r="A1129" s="919" t="s">
        <v>1023</v>
      </c>
      <c r="B1129" s="890"/>
      <c r="C1129" s="890"/>
      <c r="D1129" s="890"/>
      <c r="E1129" s="890"/>
      <c r="F1129" s="890"/>
      <c r="G1129" s="890"/>
      <c r="H1129" s="775" t="s">
        <v>253</v>
      </c>
      <c r="I1129" s="164" t="s">
        <v>127</v>
      </c>
      <c r="J1129" s="157"/>
      <c r="K1129" s="611" t="s">
        <v>45</v>
      </c>
      <c r="L1129" s="630" t="s">
        <v>46</v>
      </c>
      <c r="M1129" s="157"/>
      <c r="N1129" s="352" t="s">
        <v>75</v>
      </c>
      <c r="O1129" s="158"/>
      <c r="P1129" s="164"/>
      <c r="Q1129" s="164"/>
      <c r="R1129" s="835" t="s">
        <v>49</v>
      </c>
      <c r="S1129" s="835"/>
      <c r="T1129" s="835"/>
      <c r="U1129" s="835"/>
      <c r="V1129" s="100" t="b">
        <f>IF(G1129&gt;0,IF(AD1129="me","",G1129))</f>
        <v>0</v>
      </c>
      <c r="W1129" s="100"/>
      <c r="X1129" s="100"/>
      <c r="Y1129" s="201"/>
      <c r="Z1129" s="829" t="str">
        <f t="shared" si="2719"/>
        <v/>
      </c>
      <c r="AA1129" s="829"/>
      <c r="AB1129" s="830" t="str">
        <f>IF(G1129=0,"",IF(AD1129="free","re-planting",IF(AD1129="me","not NVP, by",IF($AD$8="yes",(VLOOKUP(A1129,'Discount Lookup'!J:K,2)*G1129*(1-$AC$1786)*(1+$AC$1788)),IF(AD1129="NVP",(VLOOKUP(A1129,'Discount Lookup'!J:K,2)*G1129*(1-$AC$1786)*(1+$AC$1788)),IF(AD1129="free","re-planting",IF(G1129=0,"",IF($AD$8="",IF(AD1129="me","not NVP, by",IF(AD1129="",IF(G1129&gt;0,(VLOOKUP(A1129,'Discount Lookup'!J:K,2)*G1129*(1-$AC$1786)*(1+$AC$1788)),""),"")),"not NVP, by"))))))))</f>
        <v/>
      </c>
      <c r="AC1129" s="830"/>
      <c r="AD1129" s="375" t="str">
        <f t="shared" si="2809"/>
        <v/>
      </c>
      <c r="AE1129" s="833" t="str">
        <f>IF(G1129&gt;0,(CONCATENATE((G1129)," quantity, ",(A1129)," ",B1129)),"")</f>
        <v/>
      </c>
      <c r="AF1129" s="833"/>
      <c r="AG1129" s="833"/>
      <c r="AH1129" s="91" t="str">
        <f>IF(AD1129="free",0,IF(AD1129="me","",IF(G1129&gt;0,(VLOOKUP(A1129,'Discount Lookup'!J:K,2)*G1129),"")))</f>
        <v/>
      </c>
      <c r="AI1129" s="92" t="str">
        <f t="shared" si="2835"/>
        <v/>
      </c>
      <c r="AJ1129" s="828" t="str">
        <f t="shared" si="2721"/>
        <v/>
      </c>
      <c r="AK1129" s="828"/>
      <c r="AL1129" s="313" t="str">
        <f t="shared" si="2808"/>
        <v/>
      </c>
      <c r="AM1129" s="312"/>
      <c r="AN1129" s="101"/>
      <c r="AO1129" s="101"/>
      <c r="AP1129" s="101"/>
      <c r="AQ1129" s="101"/>
      <c r="AR1129" s="101"/>
      <c r="AS1129" s="101"/>
      <c r="AT1129" s="101"/>
    </row>
    <row r="1130" spans="1:46" ht="12.95" customHeight="1">
      <c r="A1130" s="412">
        <v>5</v>
      </c>
      <c r="B1130" s="158" t="s">
        <v>50</v>
      </c>
      <c r="C1130" s="160" t="s">
        <v>135</v>
      </c>
      <c r="D1130" s="161" t="s">
        <v>90</v>
      </c>
      <c r="E1130" s="162">
        <v>69.95</v>
      </c>
      <c r="F1130" s="713" t="s">
        <v>1306</v>
      </c>
      <c r="G1130" s="357">
        <v>0</v>
      </c>
      <c r="H1130" s="748" t="str">
        <f t="shared" ref="H1130" si="2871">IF(G1130=0,"",IF(F1130="Qty=",IF(G1130=1,"plant","plants"),IF(F1130&gt;0.0001,"warranty","Error")))</f>
        <v/>
      </c>
      <c r="I1130" s="592">
        <f t="shared" ref="I1130" si="2872">IF(F1130="Qty=",(E1130*G1130),((E1130*(1-F1130))*G1130))</f>
        <v>0</v>
      </c>
      <c r="J1130" s="592">
        <f>IF(H1130="warranty",0,(I1130*($J$1782)))</f>
        <v>0</v>
      </c>
      <c r="K1130" s="834">
        <f t="shared" ref="K1130" si="2873">I1130+J1130</f>
        <v>0</v>
      </c>
      <c r="L1130" s="834"/>
      <c r="M1130" s="832" t="str">
        <f>IF($H$1784=0,"",IF(G1130=0,"",IF(F1130="Qty=",CONCATENATE("$",ROUND(K1130*(1-$H$1784),2)," with ",($H$1784*100),"% discount"),CONCATENATE("$",ROUND(K1130*(1-$H$1784),2)," with ",(($H$1784*100+F1130*100)-($H$1784*100*F1130)),IF(F1130&gt;0,"% discounts",IF($H$1781&gt;0,"% discounts","% discount"))))))</f>
        <v/>
      </c>
      <c r="N1130" s="832"/>
      <c r="O1130" s="832"/>
      <c r="P1130" s="832"/>
      <c r="Q1130" s="832"/>
      <c r="R1130" s="832"/>
      <c r="S1130" s="303">
        <f t="shared" ref="S1130" si="2874">E1130*G1130</f>
        <v>0</v>
      </c>
      <c r="T1130" s="541">
        <f>VLOOKUP(A1130,'Discount Lookup'!D:E,2,FALSE)*G1130</f>
        <v>0</v>
      </c>
      <c r="U1130" s="83">
        <f>VLOOKUP(A1130,'Discount Lookup'!G:H,2,FALSE)*G1130</f>
        <v>0</v>
      </c>
      <c r="V1130" s="100">
        <f>E1130*($J$1782)*G1130</f>
        <v>0</v>
      </c>
      <c r="W1130" s="100">
        <f t="shared" ref="W1130" si="2875">I1130</f>
        <v>0</v>
      </c>
      <c r="X1130" s="100" t="b">
        <f t="shared" ref="X1130" si="2876">IF(G1130&gt;0,IF(AD1130="me","",G1130))</f>
        <v>0</v>
      </c>
      <c r="Y1130" s="201"/>
      <c r="Z1130" s="829" t="str">
        <f t="shared" si="2719"/>
        <v/>
      </c>
      <c r="AA1130" s="829"/>
      <c r="AB1130" s="830" t="str">
        <f>IF(G1130=0,"",IF(AD1130="free","re-planting",IF(AD1130="me","not NVP, by",IF($AD$8="yes",(VLOOKUP(A1130,'Discount Lookup'!J:K,2)*G1130*(1-$AC$1786)*(1+$AC$1788)),IF(AD1130="NVP",(VLOOKUP(A1130,'Discount Lookup'!J:K,2)*G1130*(1-$AC$1786)*(1+$AC$1788)),IF(AD1130="free","re-planting",IF(G1130=0,"",IF($AD$8="",IF(AD1130="me","not NVP, by",IF(AD1130="",IF(G1130&gt;0,(VLOOKUP(A1130,'Discount Lookup'!J:K,2)*G1130*(1-$AC$1786)*(1+$AC$1788)),""),"")),"not NVP, by"))))))))</f>
        <v/>
      </c>
      <c r="AC1130" s="830"/>
      <c r="AD1130" s="375" t="str">
        <f t="shared" si="2809"/>
        <v/>
      </c>
      <c r="AE1130" s="833" t="str">
        <f t="shared" ref="AE1130" si="2877">IF(G1130&gt;0,(CONCATENATE((G1130)," quantity, ",(A1130)," ",B1130)),"")</f>
        <v/>
      </c>
      <c r="AF1130" s="833"/>
      <c r="AG1130" s="833"/>
      <c r="AH1130" s="91" t="str">
        <f>IF(AD1130="free",0,IF(AD1130="me","",IF(G1130&gt;0,(VLOOKUP(A1130,'Discount Lookup'!J:K,2)*G1130),"")))</f>
        <v/>
      </c>
      <c r="AI1130" s="92" t="str">
        <f t="shared" si="2835"/>
        <v/>
      </c>
      <c r="AJ1130" s="828" t="str">
        <f t="shared" si="2721"/>
        <v/>
      </c>
      <c r="AK1130" s="828"/>
      <c r="AL1130" s="313" t="str">
        <f t="shared" si="2808"/>
        <v/>
      </c>
      <c r="AM1130" s="312"/>
      <c r="AN1130" s="101"/>
      <c r="AO1130" s="101"/>
      <c r="AP1130" s="101"/>
      <c r="AQ1130" s="101"/>
      <c r="AR1130" s="101"/>
      <c r="AS1130" s="101"/>
      <c r="AT1130" s="101"/>
    </row>
    <row r="1131" spans="1:46" ht="12.95" customHeight="1">
      <c r="A1131" s="383">
        <v>7</v>
      </c>
      <c r="B1131" s="158" t="s">
        <v>50</v>
      </c>
      <c r="C1131" s="160" t="s">
        <v>1630</v>
      </c>
      <c r="D1131" s="161" t="s">
        <v>94</v>
      </c>
      <c r="E1131" s="162">
        <v>59.95</v>
      </c>
      <c r="F1131" s="713" t="s">
        <v>1306</v>
      </c>
      <c r="G1131" s="357">
        <v>0</v>
      </c>
      <c r="H1131" s="748" t="str">
        <f>IF(G1131=0,"",IF(F1131="Qty=",IF(G1131=1,"plant","plants"),IF(F1131&gt;0.0001,"warranty","Error")))</f>
        <v/>
      </c>
      <c r="I1131" s="592">
        <f>IF(F1131="Qty=",(E1131*G1131),((E1131*(1-F1131))*G1131))</f>
        <v>0</v>
      </c>
      <c r="J1131" s="592">
        <f>IF(H1131="warranty",0,(I1131*($J$1782)))</f>
        <v>0</v>
      </c>
      <c r="K1131" s="834">
        <f>I1131+J1131</f>
        <v>0</v>
      </c>
      <c r="L1131" s="834"/>
      <c r="M1131" s="832" t="str">
        <f>IF($H$1784=0,"",IF(G1131=0,"",IF(F1131="Qty=",CONCATENATE("$",ROUND(K1131*(1-$H$1784),2)," with ",($H$1784*100),"% discount"),CONCATENATE("$",ROUND(K1131*(1-$H$1784),2)," with ",(($H$1784*100+F1131*100)-($H$1784*100*F1131)),IF(F1131&gt;0,"% discounts",IF($H$1781&gt;0,"% discounts","% discount"))))))</f>
        <v/>
      </c>
      <c r="N1131" s="832"/>
      <c r="O1131" s="832"/>
      <c r="P1131" s="832"/>
      <c r="Q1131" s="832"/>
      <c r="R1131" s="832"/>
      <c r="S1131" s="303">
        <f>E1131*G1131</f>
        <v>0</v>
      </c>
      <c r="T1131" s="541">
        <f>VLOOKUP(A1131,'Discount Lookup'!D:E,2,FALSE)*G1131</f>
        <v>0</v>
      </c>
      <c r="U1131" s="83">
        <f>VLOOKUP(A1131,'Discount Lookup'!G:H,2,FALSE)*G1131</f>
        <v>0</v>
      </c>
      <c r="V1131" s="100">
        <f>E1131*($J$1782)*G1131</f>
        <v>0</v>
      </c>
      <c r="W1131" s="100">
        <f>I1131</f>
        <v>0</v>
      </c>
      <c r="X1131" s="100" t="b">
        <f>IF(G1131&gt;0,IF(AD1131="me","",G1131))</f>
        <v>0</v>
      </c>
      <c r="Y1131" s="201"/>
      <c r="Z1131" s="829" t="str">
        <f>IF(G1131=0,"",IF(AD1131="me","",IF($AD$8="me","",IF(AD1131="free","warranty",IF($AD$8="yes","NVP planting:","to NVP install:")))))</f>
        <v/>
      </c>
      <c r="AA1131" s="829"/>
      <c r="AB1131" s="830" t="str">
        <f>IF(G1131=0,"",IF(AD1131="free","re-planting",IF(AD1131="me","not NVP, by",IF($AD$8="yes",(VLOOKUP(A1131,'Discount Lookup'!J:K,2)*G1131*(1-$AC$1786)*(1+$AC$1788)),IF(AD1131="NVP",(VLOOKUP(A1131,'Discount Lookup'!J:K,2)*G1131*(1-$AC$1786)*(1+$AC$1788)),IF(AD1131="free","re-planting",IF(G1131=0,"",IF($AD$8="",IF(AD1131="me","not NVP, by",IF(AD1131="",IF(G1131&gt;0,(VLOOKUP(A1131,'Discount Lookup'!J:K,2)*G1131*(1-$AC$1786)*(1+$AC$1788)),""),"")),"not NVP, by"))))))))</f>
        <v/>
      </c>
      <c r="AC1131" s="830"/>
      <c r="AD1131" s="375" t="str">
        <f>IF(G1131=0,"",IF($AD$8="me","me",IF(H1131="warranty","free",IF($AD$8="yes","NVP",""))))</f>
        <v/>
      </c>
      <c r="AE1131" s="833" t="str">
        <f>IF(G1131&gt;0,(CONCATENATE((G1131)," quantity, ",(A1131)," ",B1131)),"")</f>
        <v/>
      </c>
      <c r="AF1131" s="833"/>
      <c r="AG1131" s="833"/>
      <c r="AH1131" s="91" t="str">
        <f>IF(AD1131="free",0,IF(AD1131="me","",IF(G1131&gt;0,(VLOOKUP(A1131,'Discount Lookup'!J:K,2)*G1131),"")))</f>
        <v/>
      </c>
      <c r="AI1131" s="92" t="str">
        <f t="shared" si="2835"/>
        <v/>
      </c>
      <c r="AJ1131" s="828" t="str">
        <f>IF(G1131=0,"",IF(AD1131="me","  delivery-only",IF($AD$8="me","  delivery-only",CONCATENATE(" $",ROUND(AI1131/G1131,2)," each"))))</f>
        <v/>
      </c>
      <c r="AK1131" s="828"/>
      <c r="AL1131" s="313" t="str">
        <f t="shared" si="2808"/>
        <v/>
      </c>
      <c r="AM1131" s="312"/>
      <c r="AN1131" s="101"/>
      <c r="AO1131" s="101"/>
      <c r="AP1131" s="101"/>
      <c r="AQ1131" s="101"/>
      <c r="AR1131" s="101"/>
      <c r="AS1131" s="101"/>
      <c r="AT1131" s="101"/>
    </row>
    <row r="1132" spans="1:46" ht="12.95" customHeight="1">
      <c r="A1132" s="485"/>
      <c r="B1132" s="149" t="s">
        <v>1024</v>
      </c>
      <c r="G1132" s="361"/>
      <c r="H1132" s="746"/>
      <c r="M1132" s="48"/>
      <c r="N1132" s="122" t="s">
        <v>176</v>
      </c>
      <c r="O1132" s="48"/>
      <c r="P1132" s="48"/>
      <c r="Q1132" s="48"/>
      <c r="R1132" s="48"/>
      <c r="S1132" s="82">
        <f>E1132*G1132</f>
        <v>0</v>
      </c>
      <c r="T1132" s="540"/>
      <c r="U1132" s="83"/>
      <c r="V1132" s="100" t="b">
        <f>IF(G1132&gt;0,IF(AD1132="me","",G1132))</f>
        <v>0</v>
      </c>
      <c r="W1132" s="100"/>
      <c r="X1132" s="100"/>
      <c r="Y1132" s="201"/>
      <c r="Z1132" s="829" t="str">
        <f t="shared" si="2719"/>
        <v/>
      </c>
      <c r="AA1132" s="829"/>
      <c r="AB1132" s="830" t="str">
        <f>IF(G1132=0,"",IF(AD1132="free","re-planting",IF(AD1132="me","not NVP, by",IF($AD$8="yes",(VLOOKUP(A1132,'Discount Lookup'!J:K,2)*G1132*(1-$AC$1786)*(1+$AC$1788)),IF(AD1132="NVP",(VLOOKUP(A1132,'Discount Lookup'!J:K,2)*G1132*(1-$AC$1786)*(1+$AC$1788)),IF(AD1132="free","re-planting",IF(G1132=0,"",IF($AD$8="",IF(AD1132="me","not NVP, by",IF(AD1132="",IF(G1132&gt;0,(VLOOKUP(A1132,'Discount Lookup'!J:K,2)*G1132*(1-$AC$1786)*(1+$AC$1788)),""),"")),"not NVP, by"))))))))</f>
        <v/>
      </c>
      <c r="AC1132" s="830"/>
      <c r="AD1132" s="375" t="str">
        <f t="shared" si="2809"/>
        <v/>
      </c>
      <c r="AE1132" s="833" t="str">
        <f>IF(G1132&gt;0,(CONCATENATE((G1132)," quantity, ",(A1132)," ",B1132)),"")</f>
        <v/>
      </c>
      <c r="AF1132" s="833"/>
      <c r="AG1132" s="833"/>
      <c r="AH1132" s="91" t="str">
        <f>IF(AD1132="free",0,IF(AD1132="me","",IF(G1132&gt;0,(VLOOKUP(A1132,'Discount Lookup'!J:K,2)*G1132),"")))</f>
        <v/>
      </c>
      <c r="AI1132" s="92" t="str">
        <f t="shared" si="2835"/>
        <v/>
      </c>
      <c r="AJ1132" s="828" t="str">
        <f t="shared" si="2721"/>
        <v/>
      </c>
      <c r="AK1132" s="828"/>
      <c r="AL1132" s="313" t="str">
        <f t="shared" si="2808"/>
        <v/>
      </c>
      <c r="AM1132" s="312"/>
      <c r="AN1132" s="101"/>
      <c r="AO1132" s="101"/>
      <c r="AP1132" s="101"/>
      <c r="AQ1132" s="101"/>
      <c r="AR1132" s="101"/>
      <c r="AS1132" s="101"/>
      <c r="AT1132" s="101"/>
    </row>
    <row r="1133" spans="1:46" ht="12.95" customHeight="1">
      <c r="A1133" s="894" t="s">
        <v>635</v>
      </c>
      <c r="B1133" s="895"/>
      <c r="C1133" s="895"/>
      <c r="D1133" s="895"/>
      <c r="E1133" s="895"/>
      <c r="F1133" s="895"/>
      <c r="G1133" s="895"/>
      <c r="H1133" s="775" t="s">
        <v>253</v>
      </c>
      <c r="I1133" s="164" t="s">
        <v>79</v>
      </c>
      <c r="J1133" s="157"/>
      <c r="K1133" s="611" t="s">
        <v>45</v>
      </c>
      <c r="L1133" s="630" t="s">
        <v>46</v>
      </c>
      <c r="M1133" s="157"/>
      <c r="N1133" s="352" t="s">
        <v>75</v>
      </c>
      <c r="O1133" s="158"/>
      <c r="P1133" s="158"/>
      <c r="Q1133" s="158"/>
      <c r="R1133" s="157"/>
      <c r="S1133" s="170"/>
      <c r="T1133" s="547"/>
      <c r="U1133" s="171"/>
      <c r="V1133" s="100" t="b">
        <f>IF(G1133&gt;0,IF(AD1133="me","",G1133))</f>
        <v>0</v>
      </c>
      <c r="W1133" s="100"/>
      <c r="X1133" s="100"/>
      <c r="Y1133" s="201"/>
      <c r="Z1133" s="829" t="str">
        <f t="shared" si="2719"/>
        <v/>
      </c>
      <c r="AA1133" s="829"/>
      <c r="AB1133" s="830" t="str">
        <f>IF(G1133=0,"",IF(AD1133="free","re-planting",IF(AD1133="me","not NVP, by",IF($AD$8="yes",(VLOOKUP(A1133,'Discount Lookup'!J:K,2)*G1133*(1-$AC$1786)*(1+$AC$1788)),IF(AD1133="NVP",(VLOOKUP(A1133,'Discount Lookup'!J:K,2)*G1133*(1-$AC$1786)*(1+$AC$1788)),IF(AD1133="free","re-planting",IF(G1133=0,"",IF($AD$8="",IF(AD1133="me","not NVP, by",IF(AD1133="",IF(G1133&gt;0,(VLOOKUP(A1133,'Discount Lookup'!J:K,2)*G1133*(1-$AC$1786)*(1+$AC$1788)),""),"")),"not NVP, by"))))))))</f>
        <v/>
      </c>
      <c r="AC1133" s="830"/>
      <c r="AD1133" s="375" t="str">
        <f t="shared" si="2809"/>
        <v/>
      </c>
      <c r="AE1133" s="833" t="str">
        <f t="shared" si="2810"/>
        <v/>
      </c>
      <c r="AF1133" s="833"/>
      <c r="AG1133" s="833"/>
      <c r="AH1133" s="91">
        <f>IF(AD1133="free",0,IF(AD1133="me",0,IF(G1133&gt;0,(VLOOKUP(A1133,'Discount Lookup'!J:K,2)*G1133),0)))</f>
        <v>0</v>
      </c>
      <c r="AI1133" s="92" t="str">
        <f t="shared" si="2835"/>
        <v/>
      </c>
      <c r="AJ1133" s="828" t="str">
        <f t="shared" si="2721"/>
        <v/>
      </c>
      <c r="AK1133" s="828"/>
      <c r="AL1133" s="313" t="str">
        <f t="shared" si="2808"/>
        <v/>
      </c>
      <c r="AM1133" s="312"/>
      <c r="AN1133" s="101"/>
      <c r="AO1133" s="101"/>
      <c r="AP1133" s="101"/>
      <c r="AQ1133" s="101"/>
      <c r="AR1133" s="101"/>
      <c r="AS1133" s="101"/>
      <c r="AT1133" s="101"/>
    </row>
    <row r="1134" spans="1:46" ht="12.95" customHeight="1">
      <c r="A1134" s="383">
        <v>3</v>
      </c>
      <c r="B1134" s="158" t="s">
        <v>50</v>
      </c>
      <c r="C1134" s="160" t="s">
        <v>1406</v>
      </c>
      <c r="D1134" s="161" t="s">
        <v>87</v>
      </c>
      <c r="E1134" s="162">
        <v>34.950000000000003</v>
      </c>
      <c r="F1134" s="713" t="s">
        <v>1306</v>
      </c>
      <c r="G1134" s="357">
        <v>0</v>
      </c>
      <c r="H1134" s="748" t="str">
        <f t="shared" ref="H1134:H1139" si="2878">IF(G1134=0,"",IF(F1134="Qty=",IF(G1134=1,"plant","plants"),IF(F1134&gt;0.0001,"warranty","Error")))</f>
        <v/>
      </c>
      <c r="I1134" s="592">
        <f t="shared" ref="I1134:I1139" si="2879">IF(F1134="Qty=",(E1134*G1134),((E1134*(1-F1134))*G1134))</f>
        <v>0</v>
      </c>
      <c r="J1134" s="592">
        <f t="shared" ref="J1134:J1139" si="2880">IF(H1134="warranty",0,(I1134*($J$1782)))</f>
        <v>0</v>
      </c>
      <c r="K1134" s="834">
        <f t="shared" ref="K1134:K1139" si="2881">I1134+J1134</f>
        <v>0</v>
      </c>
      <c r="L1134" s="834"/>
      <c r="M1134" s="832" t="str">
        <f t="shared" ref="M1134:M1139" si="2882">IF($H$1784=0,"",IF(G1134=0,"",IF(F1134="Qty=",CONCATENATE("$",ROUND(K1134*(1-$H$1784),2)," with ",($H$1784*100),"% discount"),CONCATENATE("$",ROUND(K1134*(1-$H$1784),2)," with ",(($H$1784*100+F1134*100)-($H$1784*100*F1134)),IF(F1134&gt;0,"% discounts",IF($H$1781&gt;0,"% discounts","% discount"))))))</f>
        <v/>
      </c>
      <c r="N1134" s="832"/>
      <c r="O1134" s="832"/>
      <c r="P1134" s="832"/>
      <c r="Q1134" s="832"/>
      <c r="R1134" s="832"/>
      <c r="S1134" s="303">
        <f t="shared" ref="S1134" si="2883">E1134*G1134</f>
        <v>0</v>
      </c>
      <c r="T1134" s="541">
        <f>VLOOKUP(A1134,'Discount Lookup'!D:E,2,FALSE)*G1134</f>
        <v>0</v>
      </c>
      <c r="U1134" s="83">
        <f>VLOOKUP(A1134,'Discount Lookup'!G:H,2,FALSE)*G1134</f>
        <v>0</v>
      </c>
      <c r="V1134" s="100">
        <f t="shared" ref="V1134:V1139" si="2884">E1134*($J$1782)*G1134</f>
        <v>0</v>
      </c>
      <c r="W1134" s="100">
        <f t="shared" ref="W1134" si="2885">I1134</f>
        <v>0</v>
      </c>
      <c r="X1134" s="100" t="b">
        <f t="shared" ref="X1134" si="2886">IF(G1134&gt;0,IF(AD1134="me","",G1134))</f>
        <v>0</v>
      </c>
      <c r="Y1134" s="201"/>
      <c r="Z1134" s="829" t="str">
        <f t="shared" si="2719"/>
        <v/>
      </c>
      <c r="AA1134" s="829"/>
      <c r="AB1134" s="830" t="str">
        <f>IF(G1134=0,"",IF(AD1134="free","re-planting",IF(AD1134="me","not NVP, by",IF($AD$8="yes",(VLOOKUP(A1134,'Discount Lookup'!J:K,2)*G1134*(1-$AC$1786)*(1+$AC$1788)),IF(AD1134="NVP",(VLOOKUP(A1134,'Discount Lookup'!J:K,2)*G1134*(1-$AC$1786)*(1+$AC$1788)),IF(AD1134="free","re-planting",IF(G1134=0,"",IF($AD$8="",IF(AD1134="me","not NVP, by",IF(AD1134="",IF(G1134&gt;0,(VLOOKUP(A1134,'Discount Lookup'!J:K,2)*G1134*(1-$AC$1786)*(1+$AC$1788)),""),"")),"not NVP, by"))))))))</f>
        <v/>
      </c>
      <c r="AC1134" s="830"/>
      <c r="AD1134" s="375" t="str">
        <f t="shared" si="2809"/>
        <v/>
      </c>
      <c r="AE1134" s="833" t="str">
        <f t="shared" ref="AE1134" si="2887">IF(G1134&gt;0,(CONCATENATE((G1134)," quantity, ",(A1134)," ",B1134)),"")</f>
        <v/>
      </c>
      <c r="AF1134" s="833"/>
      <c r="AG1134" s="833"/>
      <c r="AH1134" s="91">
        <f>IF(AD1134="free",0,IF(AD1134="me",0,IF(G1134&gt;0,(VLOOKUP(A1134,'Discount Lookup'!J:K,2)*G1134),0)))</f>
        <v>0</v>
      </c>
      <c r="AI1134" s="92" t="str">
        <f t="shared" si="2835"/>
        <v/>
      </c>
      <c r="AJ1134" s="828" t="str">
        <f t="shared" si="2721"/>
        <v/>
      </c>
      <c r="AK1134" s="828"/>
      <c r="AL1134" s="313" t="str">
        <f t="shared" si="2808"/>
        <v/>
      </c>
      <c r="AM1134" s="312"/>
      <c r="AN1134" s="101"/>
      <c r="AO1134" s="101"/>
      <c r="AP1134" s="101"/>
      <c r="AQ1134" s="101"/>
      <c r="AR1134" s="101"/>
      <c r="AS1134" s="101"/>
      <c r="AT1134" s="101"/>
    </row>
    <row r="1135" spans="1:46" ht="12.95" customHeight="1">
      <c r="A1135" s="383">
        <v>3</v>
      </c>
      <c r="B1135" s="158" t="s">
        <v>50</v>
      </c>
      <c r="C1135" s="160" t="s">
        <v>102</v>
      </c>
      <c r="D1135" s="161" t="s">
        <v>54</v>
      </c>
      <c r="E1135" s="162">
        <v>36.950000000000003</v>
      </c>
      <c r="F1135" s="713" t="s">
        <v>1306</v>
      </c>
      <c r="G1135" s="357">
        <v>0</v>
      </c>
      <c r="H1135" s="748" t="str">
        <f t="shared" si="2878"/>
        <v/>
      </c>
      <c r="I1135" s="592">
        <f t="shared" si="2879"/>
        <v>0</v>
      </c>
      <c r="J1135" s="592">
        <f t="shared" si="2880"/>
        <v>0</v>
      </c>
      <c r="K1135" s="834">
        <f t="shared" si="2881"/>
        <v>0</v>
      </c>
      <c r="L1135" s="834"/>
      <c r="M1135" s="832" t="str">
        <f t="shared" si="2882"/>
        <v/>
      </c>
      <c r="N1135" s="832"/>
      <c r="O1135" s="832"/>
      <c r="P1135" s="832"/>
      <c r="Q1135" s="832"/>
      <c r="R1135" s="832"/>
      <c r="S1135" s="303">
        <f t="shared" ref="S1135" si="2888">E1135*G1135</f>
        <v>0</v>
      </c>
      <c r="T1135" s="541">
        <f>VLOOKUP(A1135,'Discount Lookup'!D:E,2,FALSE)*G1135</f>
        <v>0</v>
      </c>
      <c r="U1135" s="83">
        <f>VLOOKUP(A1135,'Discount Lookup'!G:H,2,FALSE)*G1135</f>
        <v>0</v>
      </c>
      <c r="V1135" s="100">
        <f t="shared" si="2884"/>
        <v>0</v>
      </c>
      <c r="W1135" s="100">
        <f t="shared" ref="W1135" si="2889">I1135</f>
        <v>0</v>
      </c>
      <c r="X1135" s="100" t="b">
        <f t="shared" ref="X1135:X1139" si="2890">IF(G1135&gt;0,IF(AD1135="me","",G1135))</f>
        <v>0</v>
      </c>
      <c r="Y1135" s="201"/>
      <c r="Z1135" s="829" t="str">
        <f t="shared" ref="Z1135:Z1199" si="2891">IF(G1135=0,"",IF(AD1135="me","",IF($AD$8="me","",IF(AD1135="free","warranty",IF($AD$8="yes","NVP planting:","to NVP install:")))))</f>
        <v/>
      </c>
      <c r="AA1135" s="829"/>
      <c r="AB1135" s="830" t="str">
        <f>IF(G1135=0,"",IF(AD1135="free","re-planting",IF(AD1135="me","not NVP, by",IF($AD$8="yes",(VLOOKUP(A1135,'Discount Lookup'!J:K,2)*G1135*(1-$AC$1786)*(1+$AC$1788)),IF(AD1135="NVP",(VLOOKUP(A1135,'Discount Lookup'!J:K,2)*G1135*(1-$AC$1786)*(1+$AC$1788)),IF(AD1135="free","re-planting",IF(G1135=0,"",IF($AD$8="",IF(AD1135="me","not NVP, by",IF(AD1135="",IF(G1135&gt;0,(VLOOKUP(A1135,'Discount Lookup'!J:K,2)*G1135*(1-$AC$1786)*(1+$AC$1788)),""),"")),"not NVP, by"))))))))</f>
        <v/>
      </c>
      <c r="AC1135" s="830"/>
      <c r="AD1135" s="375" t="str">
        <f t="shared" si="2809"/>
        <v/>
      </c>
      <c r="AE1135" s="833" t="str">
        <f t="shared" si="2810"/>
        <v/>
      </c>
      <c r="AF1135" s="833"/>
      <c r="AG1135" s="833"/>
      <c r="AH1135" s="91">
        <f>IF(AD1135="free",0,IF(AD1135="me",0,IF(G1135&gt;0,(VLOOKUP(A1135,'Discount Lookup'!J:K,2)*G1135),0)))</f>
        <v>0</v>
      </c>
      <c r="AI1135" s="92" t="str">
        <f t="shared" si="2835"/>
        <v/>
      </c>
      <c r="AJ1135" s="828" t="str">
        <f t="shared" ref="AJ1135:AJ1199" si="2892">IF(G1135=0,"",IF(AD1135="me","  delivery-only",IF($AD$8="me","  delivery-only",CONCATENATE(" $",ROUND(AI1135/G1135,2)," each"))))</f>
        <v/>
      </c>
      <c r="AK1135" s="828"/>
      <c r="AL1135" s="313" t="str">
        <f t="shared" si="2808"/>
        <v/>
      </c>
      <c r="AM1135" s="312"/>
      <c r="AN1135" s="101"/>
      <c r="AO1135" s="101"/>
      <c r="AP1135" s="101"/>
      <c r="AQ1135" s="101"/>
      <c r="AR1135" s="101"/>
      <c r="AS1135" s="101"/>
      <c r="AT1135" s="101"/>
    </row>
    <row r="1136" spans="1:46" ht="12.95" customHeight="1">
      <c r="A1136" s="383">
        <v>7</v>
      </c>
      <c r="B1136" s="158" t="s">
        <v>50</v>
      </c>
      <c r="C1136" s="168" t="s">
        <v>136</v>
      </c>
      <c r="D1136" s="161" t="s">
        <v>62</v>
      </c>
      <c r="E1136" s="162">
        <v>56.95</v>
      </c>
      <c r="F1136" s="713" t="s">
        <v>1306</v>
      </c>
      <c r="G1136" s="357">
        <v>0</v>
      </c>
      <c r="H1136" s="748" t="str">
        <f t="shared" si="2878"/>
        <v/>
      </c>
      <c r="I1136" s="592">
        <f t="shared" si="2879"/>
        <v>0</v>
      </c>
      <c r="J1136" s="592">
        <f t="shared" si="2880"/>
        <v>0</v>
      </c>
      <c r="K1136" s="834">
        <f t="shared" si="2881"/>
        <v>0</v>
      </c>
      <c r="L1136" s="834"/>
      <c r="M1136" s="832" t="str">
        <f t="shared" si="2882"/>
        <v/>
      </c>
      <c r="N1136" s="832"/>
      <c r="O1136" s="832"/>
      <c r="P1136" s="832"/>
      <c r="Q1136" s="832"/>
      <c r="R1136" s="832"/>
      <c r="S1136" s="303">
        <f t="shared" ref="S1136:S1139" si="2893">E1136*G1136</f>
        <v>0</v>
      </c>
      <c r="T1136" s="541">
        <f>VLOOKUP(A1136,'Discount Lookup'!D:E,2,FALSE)*G1136</f>
        <v>0</v>
      </c>
      <c r="U1136" s="83">
        <f>VLOOKUP(A1136,'Discount Lookup'!G:H,2,FALSE)*G1136</f>
        <v>0</v>
      </c>
      <c r="V1136" s="100">
        <f t="shared" si="2884"/>
        <v>0</v>
      </c>
      <c r="W1136" s="100">
        <f t="shared" ref="W1136:W1139" si="2894">I1136</f>
        <v>0</v>
      </c>
      <c r="X1136" s="100" t="b">
        <f t="shared" si="2890"/>
        <v>0</v>
      </c>
      <c r="Y1136" s="201"/>
      <c r="Z1136" s="829" t="str">
        <f t="shared" si="2891"/>
        <v/>
      </c>
      <c r="AA1136" s="829"/>
      <c r="AB1136" s="830" t="str">
        <f>IF(G1136=0,"",IF(AD1136="free","re-planting",IF(AD1136="me","not NVP, by",IF($AD$8="yes",(VLOOKUP(A1136,'Discount Lookup'!J:K,2)*G1136*(1-$AC$1786)*(1+$AC$1788)),IF(AD1136="NVP",(VLOOKUP(A1136,'Discount Lookup'!J:K,2)*G1136*(1-$AC$1786)*(1+$AC$1788)),IF(AD1136="free","re-planting",IF(G1136=0,"",IF($AD$8="",IF(AD1136="me","not NVP, by",IF(AD1136="",IF(G1136&gt;0,(VLOOKUP(A1136,'Discount Lookup'!J:K,2)*G1136*(1-$AC$1786)*(1+$AC$1788)),""),"")),"not NVP, by"))))))))</f>
        <v/>
      </c>
      <c r="AC1136" s="830"/>
      <c r="AD1136" s="375" t="str">
        <f t="shared" si="2809"/>
        <v/>
      </c>
      <c r="AE1136" s="833" t="str">
        <f t="shared" si="2810"/>
        <v/>
      </c>
      <c r="AF1136" s="833"/>
      <c r="AG1136" s="833"/>
      <c r="AH1136" s="91">
        <f>IF(AD1136="free",0,IF(AD1136="me",0,IF(G1136&gt;0,(VLOOKUP(A1136,'Discount Lookup'!J:K,2)*G1136),0)))</f>
        <v>0</v>
      </c>
      <c r="AI1136" s="92" t="str">
        <f t="shared" si="2835"/>
        <v/>
      </c>
      <c r="AJ1136" s="828" t="str">
        <f t="shared" si="2892"/>
        <v/>
      </c>
      <c r="AK1136" s="828"/>
      <c r="AL1136" s="313" t="str">
        <f t="shared" si="2808"/>
        <v/>
      </c>
      <c r="AM1136" s="312"/>
      <c r="AN1136" s="101"/>
      <c r="AO1136" s="101"/>
      <c r="AP1136" s="101"/>
      <c r="AQ1136" s="101"/>
      <c r="AR1136" s="101"/>
      <c r="AS1136" s="101"/>
      <c r="AT1136" s="101"/>
    </row>
    <row r="1137" spans="1:46" ht="12.95" customHeight="1">
      <c r="A1137" s="383">
        <v>7</v>
      </c>
      <c r="B1137" s="158" t="s">
        <v>50</v>
      </c>
      <c r="C1137" s="160" t="s">
        <v>199</v>
      </c>
      <c r="D1137" s="161" t="s">
        <v>54</v>
      </c>
      <c r="E1137" s="162">
        <v>86.95</v>
      </c>
      <c r="F1137" s="713" t="s">
        <v>1306</v>
      </c>
      <c r="G1137" s="357">
        <v>0</v>
      </c>
      <c r="H1137" s="748" t="str">
        <f t="shared" si="2878"/>
        <v/>
      </c>
      <c r="I1137" s="592">
        <f t="shared" si="2879"/>
        <v>0</v>
      </c>
      <c r="J1137" s="592">
        <f t="shared" si="2880"/>
        <v>0</v>
      </c>
      <c r="K1137" s="834">
        <f t="shared" si="2881"/>
        <v>0</v>
      </c>
      <c r="L1137" s="834"/>
      <c r="M1137" s="832" t="str">
        <f t="shared" si="2882"/>
        <v/>
      </c>
      <c r="N1137" s="832"/>
      <c r="O1137" s="832"/>
      <c r="P1137" s="832"/>
      <c r="Q1137" s="832"/>
      <c r="R1137" s="832"/>
      <c r="S1137" s="303">
        <f t="shared" ref="S1137" si="2895">E1137*G1137</f>
        <v>0</v>
      </c>
      <c r="T1137" s="541">
        <f>VLOOKUP(A1137,'Discount Lookup'!D:E,2,FALSE)*G1137</f>
        <v>0</v>
      </c>
      <c r="U1137" s="83">
        <f>VLOOKUP(A1137,'Discount Lookup'!G:H,2,FALSE)*G1137</f>
        <v>0</v>
      </c>
      <c r="V1137" s="100">
        <f t="shared" si="2884"/>
        <v>0</v>
      </c>
      <c r="W1137" s="100">
        <f t="shared" ref="W1137" si="2896">I1137</f>
        <v>0</v>
      </c>
      <c r="X1137" s="100" t="b">
        <f t="shared" si="2890"/>
        <v>0</v>
      </c>
      <c r="Y1137" s="201"/>
      <c r="Z1137" s="829" t="str">
        <f t="shared" si="2891"/>
        <v/>
      </c>
      <c r="AA1137" s="829"/>
      <c r="AB1137" s="830" t="str">
        <f>IF(G1137=0,"",IF(AD1137="free","re-planting",IF(AD1137="me","not NVP, by",IF($AD$8="yes",(VLOOKUP(A1137,'Discount Lookup'!J:K,2)*G1137*(1-$AC$1786)*(1+$AC$1788)),IF(AD1137="NVP",(VLOOKUP(A1137,'Discount Lookup'!J:K,2)*G1137*(1-$AC$1786)*(1+$AC$1788)),IF(AD1137="free","re-planting",IF(G1137=0,"",IF($AD$8="",IF(AD1137="me","not NVP, by",IF(AD1137="",IF(G1137&gt;0,(VLOOKUP(A1137,'Discount Lookup'!J:K,2)*G1137*(1-$AC$1786)*(1+$AC$1788)),""),"")),"not NVP, by"))))))))</f>
        <v/>
      </c>
      <c r="AC1137" s="830"/>
      <c r="AD1137" s="375" t="str">
        <f t="shared" si="2809"/>
        <v/>
      </c>
      <c r="AE1137" s="833" t="str">
        <f t="shared" ref="AE1137" si="2897">IF(G1137&gt;0,(CONCATENATE((G1137)," quantity, ",(A1137)," ",B1137)),"")</f>
        <v/>
      </c>
      <c r="AF1137" s="833"/>
      <c r="AG1137" s="833"/>
      <c r="AH1137" s="91">
        <f>IF(AD1137="free",0,IF(AD1137="me",0,IF(G1137&gt;0,(VLOOKUP(A1137,'Discount Lookup'!J:K,2)*G1137),0)))</f>
        <v>0</v>
      </c>
      <c r="AI1137" s="92" t="str">
        <f t="shared" si="2835"/>
        <v/>
      </c>
      <c r="AJ1137" s="828" t="str">
        <f t="shared" si="2892"/>
        <v/>
      </c>
      <c r="AK1137" s="828"/>
      <c r="AL1137" s="313" t="str">
        <f t="shared" si="2808"/>
        <v/>
      </c>
      <c r="AM1137" s="312"/>
      <c r="AN1137" s="101"/>
      <c r="AO1137" s="101"/>
      <c r="AP1137" s="101"/>
      <c r="AQ1137" s="101"/>
      <c r="AR1137" s="101"/>
      <c r="AS1137" s="101"/>
      <c r="AT1137" s="101"/>
    </row>
    <row r="1138" spans="1:46" ht="12.95" customHeight="1">
      <c r="A1138" s="383">
        <v>10</v>
      </c>
      <c r="B1138" s="158" t="s">
        <v>50</v>
      </c>
      <c r="C1138" s="168" t="s">
        <v>1295</v>
      </c>
      <c r="D1138" s="161" t="s">
        <v>54</v>
      </c>
      <c r="E1138" s="162">
        <v>215.95</v>
      </c>
      <c r="F1138" s="713" t="s">
        <v>1306</v>
      </c>
      <c r="G1138" s="357">
        <v>0</v>
      </c>
      <c r="H1138" s="748" t="str">
        <f t="shared" ref="H1138" si="2898">IF(G1138=0,"",IF(F1138="Qty=",IF(G1138=1,"plant","plants"),IF(F1138&gt;0.0001,"warranty","Error")))</f>
        <v/>
      </c>
      <c r="I1138" s="592">
        <f t="shared" ref="I1138" si="2899">IF(F1138="Qty=",(E1138*G1138),((E1138*(1-F1138))*G1138))</f>
        <v>0</v>
      </c>
      <c r="J1138" s="592">
        <f t="shared" si="2880"/>
        <v>0</v>
      </c>
      <c r="K1138" s="834">
        <f t="shared" si="2881"/>
        <v>0</v>
      </c>
      <c r="L1138" s="834"/>
      <c r="M1138" s="832" t="str">
        <f t="shared" si="2882"/>
        <v/>
      </c>
      <c r="N1138" s="832"/>
      <c r="O1138" s="832"/>
      <c r="P1138" s="832"/>
      <c r="Q1138" s="832"/>
      <c r="R1138" s="832"/>
      <c r="S1138" s="303">
        <f t="shared" ref="S1138" si="2900">E1138*G1138</f>
        <v>0</v>
      </c>
      <c r="T1138" s="541">
        <f>VLOOKUP(A1138,'Discount Lookup'!D:E,2,FALSE)*G1138</f>
        <v>0</v>
      </c>
      <c r="U1138" s="83">
        <f>VLOOKUP(A1138,'Discount Lookup'!G:H,2,FALSE)*G1138</f>
        <v>0</v>
      </c>
      <c r="V1138" s="100">
        <f t="shared" si="2884"/>
        <v>0</v>
      </c>
      <c r="W1138" s="100">
        <f t="shared" ref="W1138" si="2901">I1138</f>
        <v>0</v>
      </c>
      <c r="X1138" s="100" t="b">
        <f t="shared" ref="X1138" si="2902">IF(G1138&gt;0,IF(AD1138="me","",G1138))</f>
        <v>0</v>
      </c>
      <c r="Y1138" s="201"/>
      <c r="Z1138" s="829" t="str">
        <f t="shared" ref="Z1138" si="2903">IF(G1138=0,"",IF(AD1138="me","",IF($AD$8="me","",IF(AD1138="free","warranty",IF($AD$8="yes","NVP planting:","to NVP install:")))))</f>
        <v/>
      </c>
      <c r="AA1138" s="829"/>
      <c r="AB1138" s="830" t="str">
        <f>IF(G1138=0,"",IF(AD1138="free","re-planting",IF(AD1138="me","not NVP, by",IF($AD$8="yes",(VLOOKUP(A1138,'Discount Lookup'!J:K,2)*G1138*(1-$AC$1786)*(1+$AC$1788)),IF(AD1138="NVP",(VLOOKUP(A1138,'Discount Lookup'!J:K,2)*G1138*(1-$AC$1786)*(1+$AC$1788)),IF(AD1138="free","re-planting",IF(G1138=0,"",IF($AD$8="",IF(AD1138="me","not NVP, by",IF(AD1138="",IF(G1138&gt;0,(VLOOKUP(A1138,'Discount Lookup'!J:K,2)*G1138*(1-$AC$1786)*(1+$AC$1788)),""),"")),"not NVP, by"))))))))</f>
        <v/>
      </c>
      <c r="AC1138" s="830"/>
      <c r="AD1138" s="375" t="str">
        <f t="shared" si="2809"/>
        <v/>
      </c>
      <c r="AE1138" s="833" t="str">
        <f t="shared" si="2810"/>
        <v/>
      </c>
      <c r="AF1138" s="833"/>
      <c r="AG1138" s="833"/>
      <c r="AH1138" s="91">
        <f>IF(AD1138="free",0,IF(AD1138="me",0,IF(G1138&gt;0,(VLOOKUP(A1138,'Discount Lookup'!J:K,2)*G1138),0)))</f>
        <v>0</v>
      </c>
      <c r="AI1138" s="92" t="str">
        <f t="shared" si="2835"/>
        <v/>
      </c>
      <c r="AJ1138" s="828" t="str">
        <f t="shared" ref="AJ1138" si="2904">IF(G1138=0,"",IF(AD1138="me","  delivery-only",IF($AD$8="me","  delivery-only",CONCATENATE(" $",ROUND(AI1138/G1138,2)," each"))))</f>
        <v/>
      </c>
      <c r="AK1138" s="828"/>
      <c r="AL1138" s="313" t="str">
        <f t="shared" si="2808"/>
        <v/>
      </c>
      <c r="AM1138" s="312"/>
      <c r="AN1138" s="101"/>
      <c r="AO1138" s="101"/>
      <c r="AP1138" s="101"/>
      <c r="AQ1138" s="101"/>
      <c r="AR1138" s="101"/>
      <c r="AS1138" s="101"/>
      <c r="AT1138" s="101"/>
    </row>
    <row r="1139" spans="1:46" ht="12.95" customHeight="1">
      <c r="A1139" s="383">
        <v>15</v>
      </c>
      <c r="B1139" s="158" t="s">
        <v>50</v>
      </c>
      <c r="C1139" s="168" t="s">
        <v>1293</v>
      </c>
      <c r="D1139" s="161" t="s">
        <v>90</v>
      </c>
      <c r="E1139" s="162">
        <v>323.95</v>
      </c>
      <c r="F1139" s="713" t="s">
        <v>1306</v>
      </c>
      <c r="G1139" s="357">
        <v>0</v>
      </c>
      <c r="H1139" s="748" t="str">
        <f t="shared" si="2878"/>
        <v/>
      </c>
      <c r="I1139" s="592">
        <f t="shared" si="2879"/>
        <v>0</v>
      </c>
      <c r="J1139" s="592">
        <f t="shared" si="2880"/>
        <v>0</v>
      </c>
      <c r="K1139" s="834">
        <f t="shared" si="2881"/>
        <v>0</v>
      </c>
      <c r="L1139" s="834"/>
      <c r="M1139" s="832" t="str">
        <f t="shared" si="2882"/>
        <v/>
      </c>
      <c r="N1139" s="832"/>
      <c r="O1139" s="832"/>
      <c r="P1139" s="832"/>
      <c r="Q1139" s="832"/>
      <c r="R1139" s="832"/>
      <c r="S1139" s="303">
        <f t="shared" si="2893"/>
        <v>0</v>
      </c>
      <c r="T1139" s="541">
        <f>VLOOKUP(A1139,'Discount Lookup'!D:E,2,FALSE)*G1139</f>
        <v>0</v>
      </c>
      <c r="U1139" s="83">
        <f>VLOOKUP(A1139,'Discount Lookup'!G:H,2,FALSE)*G1139</f>
        <v>0</v>
      </c>
      <c r="V1139" s="100">
        <f t="shared" si="2884"/>
        <v>0</v>
      </c>
      <c r="W1139" s="100">
        <f t="shared" si="2894"/>
        <v>0</v>
      </c>
      <c r="X1139" s="100" t="b">
        <f t="shared" si="2890"/>
        <v>0</v>
      </c>
      <c r="Y1139" s="201"/>
      <c r="Z1139" s="829" t="str">
        <f t="shared" si="2891"/>
        <v/>
      </c>
      <c r="AA1139" s="829"/>
      <c r="AB1139" s="830" t="str">
        <f>IF(G1139=0,"",IF(AD1139="free","re-planting",IF(AD1139="me","not NVP, by",IF($AD$8="yes",(VLOOKUP(A1139,'Discount Lookup'!J:K,2)*G1139*(1-$AC$1786)*(1+$AC$1788)),IF(AD1139="NVP",(VLOOKUP(A1139,'Discount Lookup'!J:K,2)*G1139*(1-$AC$1786)*(1+$AC$1788)),IF(AD1139="free","re-planting",IF(G1139=0,"",IF($AD$8="",IF(AD1139="me","not NVP, by",IF(AD1139="",IF(G1139&gt;0,(VLOOKUP(A1139,'Discount Lookup'!J:K,2)*G1139*(1-$AC$1786)*(1+$AC$1788)),""),"")),"not NVP, by"))))))))</f>
        <v/>
      </c>
      <c r="AC1139" s="830"/>
      <c r="AD1139" s="375" t="str">
        <f t="shared" si="2809"/>
        <v/>
      </c>
      <c r="AE1139" s="833" t="str">
        <f t="shared" ref="AE1139" si="2905">IF(G1139&gt;0,(CONCATENATE((G1139)," quantity, ",(A1139)," ",B1139)),"")</f>
        <v/>
      </c>
      <c r="AF1139" s="833"/>
      <c r="AG1139" s="833"/>
      <c r="AH1139" s="91">
        <f>IF(AD1139="free",0,IF(AD1139="me",0,IF(G1139&gt;0,(VLOOKUP(A1139,'Discount Lookup'!J:K,2)*G1139),0)))</f>
        <v>0</v>
      </c>
      <c r="AI1139" s="92" t="str">
        <f t="shared" si="2835"/>
        <v/>
      </c>
      <c r="AJ1139" s="828" t="str">
        <f t="shared" si="2892"/>
        <v/>
      </c>
      <c r="AK1139" s="828"/>
      <c r="AL1139" s="313" t="str">
        <f t="shared" si="2808"/>
        <v/>
      </c>
      <c r="AM1139" s="312"/>
      <c r="AN1139" s="101"/>
      <c r="AO1139" s="101"/>
      <c r="AP1139" s="101"/>
      <c r="AQ1139" s="101"/>
      <c r="AR1139" s="101"/>
      <c r="AS1139" s="101"/>
      <c r="AT1139" s="101"/>
    </row>
    <row r="1140" spans="1:46" ht="12.95" customHeight="1">
      <c r="A1140" s="481"/>
      <c r="B1140" s="149" t="s">
        <v>636</v>
      </c>
      <c r="C1140" s="396"/>
      <c r="D1140" s="104"/>
      <c r="E1140" s="131"/>
      <c r="F1140" s="710"/>
      <c r="G1140" s="358"/>
      <c r="H1140" s="744"/>
      <c r="I1140" s="131"/>
      <c r="J1140" s="131"/>
      <c r="K1140" s="608"/>
      <c r="L1140" s="608"/>
      <c r="M1140" s="121"/>
      <c r="N1140" s="122"/>
      <c r="O1140" s="123"/>
      <c r="P1140" s="124"/>
      <c r="Q1140" s="841" t="s">
        <v>125</v>
      </c>
      <c r="R1140" s="841"/>
      <c r="S1140" s="841"/>
      <c r="T1140" s="841"/>
      <c r="U1140" s="841"/>
      <c r="V1140" s="841"/>
      <c r="Y1140" s="132"/>
      <c r="Z1140" s="829" t="str">
        <f t="shared" si="2891"/>
        <v/>
      </c>
      <c r="AA1140" s="829"/>
      <c r="AB1140" s="830" t="str">
        <f>IF(G1140=0,"",IF(AD1140="free","re-planting",IF(AD1140="me","not NVP, by",IF($AD$8="yes",(VLOOKUP(A1140,'Discount Lookup'!J:K,2)*G1140*(1-$AC$1786)*(1+$AC$1788)),IF(AD1140="NVP",(VLOOKUP(A1140,'Discount Lookup'!J:K,2)*G1140*(1-$AC$1786)*(1+$AC$1788)),IF(AD1140="free","re-planting",IF(G1140=0,"",IF($AD$8="",IF(AD1140="me","not NVP, by",IF(AD1140="",IF(G1140&gt;0,(VLOOKUP(A1140,'Discount Lookup'!J:K,2)*G1140*(1-$AC$1786)*(1+$AC$1788)),""),"")),"not NVP, by"))))))))</f>
        <v/>
      </c>
      <c r="AC1140" s="830"/>
      <c r="AD1140" s="375" t="str">
        <f t="shared" si="2809"/>
        <v/>
      </c>
      <c r="AE1140" s="833" t="str">
        <f t="shared" si="2810"/>
        <v/>
      </c>
      <c r="AF1140" s="833"/>
      <c r="AG1140" s="833"/>
      <c r="AH1140" s="91">
        <f>IF(AD1140="free",0,IF(AD1140="me",0,IF(G1140&gt;0,(VLOOKUP(A1140,'Discount Lookup'!J:K,2)*G1140),0)))</f>
        <v>0</v>
      </c>
      <c r="AI1140" s="92" t="str">
        <f t="shared" si="2835"/>
        <v/>
      </c>
      <c r="AJ1140" s="828" t="str">
        <f t="shared" si="2892"/>
        <v/>
      </c>
      <c r="AK1140" s="828"/>
      <c r="AL1140" s="313" t="str">
        <f t="shared" si="2808"/>
        <v/>
      </c>
      <c r="AM1140" s="312"/>
      <c r="AN1140" s="101"/>
      <c r="AO1140" s="101"/>
      <c r="AP1140" s="101"/>
      <c r="AQ1140" s="101"/>
      <c r="AR1140" s="101"/>
      <c r="AS1140" s="101"/>
      <c r="AT1140" s="101"/>
    </row>
    <row r="1141" spans="1:46" ht="12.95" customHeight="1">
      <c r="A1141" s="836" t="s">
        <v>637</v>
      </c>
      <c r="B1141" s="837"/>
      <c r="C1141" s="837"/>
      <c r="D1141" s="837"/>
      <c r="E1141" s="837"/>
      <c r="F1141" s="837"/>
      <c r="G1141" s="837"/>
      <c r="H1141" s="775" t="s">
        <v>488</v>
      </c>
      <c r="I1141" s="164" t="s">
        <v>79</v>
      </c>
      <c r="J1141" s="157"/>
      <c r="K1141" s="611" t="s">
        <v>45</v>
      </c>
      <c r="L1141" s="630" t="s">
        <v>46</v>
      </c>
      <c r="M1141" s="157"/>
      <c r="N1141" s="158" t="s">
        <v>69</v>
      </c>
      <c r="O1141" s="158"/>
      <c r="P1141" s="164"/>
      <c r="Q1141" s="164"/>
      <c r="R1141" s="835" t="s">
        <v>49</v>
      </c>
      <c r="S1141" s="835"/>
      <c r="T1141" s="835"/>
      <c r="U1141" s="835"/>
      <c r="V1141" s="100" t="b">
        <f>IF(G1141&gt;0,IF(AD1141="me","",G1141))</f>
        <v>0</v>
      </c>
      <c r="W1141" s="100"/>
      <c r="X1141" s="100"/>
      <c r="Y1141" s="201"/>
      <c r="Z1141" s="829" t="str">
        <f t="shared" si="2891"/>
        <v/>
      </c>
      <c r="AA1141" s="829"/>
      <c r="AB1141" s="830" t="str">
        <f>IF(G1141=0,"",IF(AD1141="free","re-planting",IF(AD1141="me","not NVP, by",IF($AD$8="yes",(VLOOKUP(A1141,'Discount Lookup'!J:K,2)*G1141*(1-$AC$1786)*(1+$AC$1788)),IF(AD1141="NVP",(VLOOKUP(A1141,'Discount Lookup'!J:K,2)*G1141*(1-$AC$1786)*(1+$AC$1788)),IF(AD1141="free","re-planting",IF(G1141=0,"",IF($AD$8="",IF(AD1141="me","not NVP, by",IF(AD1141="",IF(G1141&gt;0,(VLOOKUP(A1141,'Discount Lookup'!J:K,2)*G1141*(1-$AC$1786)*(1+$AC$1788)),""),"")),"not NVP, by"))))))))</f>
        <v/>
      </c>
      <c r="AC1141" s="830"/>
      <c r="AD1141" s="375" t="str">
        <f t="shared" si="2809"/>
        <v/>
      </c>
      <c r="AE1141" s="833" t="str">
        <f t="shared" si="2810"/>
        <v/>
      </c>
      <c r="AF1141" s="833"/>
      <c r="AG1141" s="833"/>
      <c r="AH1141" s="91">
        <f>IF(AD1141="free",0,IF(AD1141="me",0,IF(G1141&gt;0,(VLOOKUP(A1141,'Discount Lookup'!J:K,2)*G1141),0)))</f>
        <v>0</v>
      </c>
      <c r="AI1141" s="92" t="str">
        <f t="shared" si="2835"/>
        <v/>
      </c>
      <c r="AJ1141" s="828" t="str">
        <f t="shared" si="2892"/>
        <v/>
      </c>
      <c r="AK1141" s="828"/>
      <c r="AL1141" s="313" t="str">
        <f t="shared" si="2808"/>
        <v/>
      </c>
      <c r="AM1141" s="312"/>
      <c r="AN1141" s="101"/>
      <c r="AO1141" s="101"/>
      <c r="AP1141" s="101"/>
      <c r="AQ1141" s="101"/>
      <c r="AR1141" s="101"/>
      <c r="AS1141" s="101"/>
      <c r="AT1141" s="101"/>
    </row>
    <row r="1142" spans="1:46" ht="12.95" customHeight="1">
      <c r="A1142" s="383">
        <v>3</v>
      </c>
      <c r="B1142" s="158" t="s">
        <v>50</v>
      </c>
      <c r="C1142" s="160" t="s">
        <v>135</v>
      </c>
      <c r="D1142" s="161" t="s">
        <v>87</v>
      </c>
      <c r="E1142" s="162">
        <v>39.950000000000003</v>
      </c>
      <c r="F1142" s="713" t="s">
        <v>1306</v>
      </c>
      <c r="G1142" s="357">
        <v>0</v>
      </c>
      <c r="H1142" s="748" t="str">
        <f t="shared" ref="H1142" si="2906">IF(G1142=0,"",IF(F1142="Qty=",IF(G1142=1,"plant","plants"),IF(F1142&gt;0.0001,"warranty","Error")))</f>
        <v/>
      </c>
      <c r="I1142" s="592">
        <f t="shared" ref="I1142" si="2907">IF(F1142="Qty=",(E1142*G1142),((E1142*(1-F1142))*G1142))</f>
        <v>0</v>
      </c>
      <c r="J1142" s="592">
        <f>IF(H1142="warranty",0,(I1142*($J$1782)))</f>
        <v>0</v>
      </c>
      <c r="K1142" s="834">
        <f t="shared" ref="K1142:K1146" si="2908">I1142+J1142</f>
        <v>0</v>
      </c>
      <c r="L1142" s="834"/>
      <c r="M1142" s="832" t="str">
        <f>IF($H$1784=0,"",IF(G1142=0,"",IF(F1142="Qty=",CONCATENATE("$",ROUND(K1142*(1-$H$1784),2)," with ",($H$1784*100),"% discount"),CONCATENATE("$",ROUND(K1142*(1-$H$1784),2)," with ",(($H$1784*100+F1142*100)-($H$1784*100*F1142)),IF(F1142&gt;0,"% discounts",IF($H$1781&gt;0,"% discounts","% discount"))))))</f>
        <v/>
      </c>
      <c r="N1142" s="832"/>
      <c r="O1142" s="832"/>
      <c r="P1142" s="832"/>
      <c r="Q1142" s="832"/>
      <c r="R1142" s="832"/>
      <c r="S1142" s="303">
        <f t="shared" ref="S1142" si="2909">E1142*G1142</f>
        <v>0</v>
      </c>
      <c r="T1142" s="541">
        <f>VLOOKUP(A1142,'Discount Lookup'!D:E,2,FALSE)*G1142</f>
        <v>0</v>
      </c>
      <c r="U1142" s="83">
        <f>VLOOKUP(A1142,'Discount Lookup'!G:H,2,FALSE)*G1142</f>
        <v>0</v>
      </c>
      <c r="V1142" s="100">
        <f>E1142*($J$1782)*G1142</f>
        <v>0</v>
      </c>
      <c r="W1142" s="100">
        <f t="shared" ref="W1142" si="2910">I1142</f>
        <v>0</v>
      </c>
      <c r="X1142" s="100" t="b">
        <f>IF(G1142&gt;0,IF(AD1142="me","",G1142))</f>
        <v>0</v>
      </c>
      <c r="Y1142" s="201"/>
      <c r="Z1142" s="829" t="str">
        <f t="shared" ref="Z1142" si="2911">IF(G1142=0,"",IF(AD1142="me","",IF($AD$8="me","",IF(AD1142="free","warranty",IF($AD$8="yes","NVP planting:","to NVP install:")))))</f>
        <v/>
      </c>
      <c r="AA1142" s="829"/>
      <c r="AB1142" s="830" t="str">
        <f>IF(G1142=0,"",IF(AD1142="free","re-planting",IF(AD1142="me","not NVP, by",IF($AD$8="yes",(VLOOKUP(A1142,'Discount Lookup'!J:K,2)*G1142*(1-$AC$1786)*(1+$AC$1788)),IF(AD1142="NVP",(VLOOKUP(A1142,'Discount Lookup'!J:K,2)*G1142*(1-$AC$1786)*(1+$AC$1788)),IF(AD1142="free","re-planting",IF(G1142=0,"",IF($AD$8="",IF(AD1142="me","not NVP, by",IF(AD1142="",IF(G1142&gt;0,(VLOOKUP(A1142,'Discount Lookup'!J:K,2)*G1142*(1-$AC$1786)*(1+$AC$1788)),""),"")),"not NVP, by"))))))))</f>
        <v/>
      </c>
      <c r="AC1142" s="830"/>
      <c r="AD1142" s="375" t="str">
        <f t="shared" ref="AD1142" si="2912">IF(G1142=0,"",IF($AD$8="me","me",IF(H1142="warranty","free",IF($AD$8="yes","NVP",""))))</f>
        <v/>
      </c>
      <c r="AE1142" s="833" t="str">
        <f t="shared" ref="AE1142" si="2913">IF(G1142&gt;0,(CONCATENATE((G1142)," quantity, ",(A1142)," ",B1142)),"")</f>
        <v/>
      </c>
      <c r="AF1142" s="833"/>
      <c r="AG1142" s="833"/>
      <c r="AH1142" s="91">
        <f>IF(AD1142="free",0,IF(AD1142="me",0,IF(G1142&gt;0,(VLOOKUP(A1142,'Discount Lookup'!J:K,2)*G1142),0)))</f>
        <v>0</v>
      </c>
      <c r="AI1142" s="92" t="str">
        <f t="shared" si="2835"/>
        <v/>
      </c>
      <c r="AJ1142" s="828" t="str">
        <f t="shared" ref="AJ1142" si="2914">IF(G1142=0,"",IF(AD1142="me","  delivery-only",IF($AD$8="me","  delivery-only",CONCATENATE(" $",ROUND(AI1142/G1142,2)," each"))))</f>
        <v/>
      </c>
      <c r="AK1142" s="828"/>
      <c r="AL1142" s="313" t="str">
        <f t="shared" si="2808"/>
        <v/>
      </c>
      <c r="AM1142" s="312"/>
      <c r="AN1142" s="101"/>
      <c r="AO1142" s="101"/>
      <c r="AP1142" s="101"/>
      <c r="AQ1142" s="101"/>
      <c r="AR1142" s="101"/>
      <c r="AS1142" s="101"/>
      <c r="AT1142" s="101"/>
    </row>
    <row r="1143" spans="1:46" ht="12.95" customHeight="1">
      <c r="A1143" s="383">
        <v>3</v>
      </c>
      <c r="B1143" s="158" t="s">
        <v>50</v>
      </c>
      <c r="C1143" s="160" t="s">
        <v>85</v>
      </c>
      <c r="D1143" s="161" t="s">
        <v>54</v>
      </c>
      <c r="E1143" s="162">
        <v>38.950000000000003</v>
      </c>
      <c r="F1143" s="713" t="s">
        <v>1306</v>
      </c>
      <c r="G1143" s="357">
        <v>0</v>
      </c>
      <c r="H1143" s="748" t="str">
        <f t="shared" ref="H1143:H1146" si="2915">IF(G1143=0,"",IF(F1143="Qty=",IF(G1143=1,"plant","plants"),IF(F1143&gt;0.0001,"warranty","Error")))</f>
        <v/>
      </c>
      <c r="I1143" s="592">
        <f t="shared" ref="I1143:I1146" si="2916">IF(F1143="Qty=",(E1143*G1143),((E1143*(1-F1143))*G1143))</f>
        <v>0</v>
      </c>
      <c r="J1143" s="592">
        <f>IF(H1143="warranty",0,(I1143*($J$1782)))</f>
        <v>0</v>
      </c>
      <c r="K1143" s="834">
        <f t="shared" si="2908"/>
        <v>0</v>
      </c>
      <c r="L1143" s="834"/>
      <c r="M1143" s="832" t="str">
        <f>IF($H$1784=0,"",IF(G1143=0,"",IF(F1143="Qty=",CONCATENATE("$",ROUND(K1143*(1-$H$1784),2)," with ",($H$1784*100),"% discount"),CONCATENATE("$",ROUND(K1143*(1-$H$1784),2)," with ",(($H$1784*100+F1143*100)-($H$1784*100*F1143)),IF(F1143&gt;0,"% discounts",IF($H$1781&gt;0,"% discounts","% discount"))))))</f>
        <v/>
      </c>
      <c r="N1143" s="832"/>
      <c r="O1143" s="832"/>
      <c r="P1143" s="832"/>
      <c r="Q1143" s="832"/>
      <c r="R1143" s="832"/>
      <c r="S1143" s="303">
        <f t="shared" ref="S1143" si="2917">E1143*G1143</f>
        <v>0</v>
      </c>
      <c r="T1143" s="541">
        <f>VLOOKUP(A1143,'Discount Lookup'!D:E,2,FALSE)*G1143</f>
        <v>0</v>
      </c>
      <c r="U1143" s="83">
        <f>VLOOKUP(A1143,'Discount Lookup'!G:H,2,FALSE)*G1143</f>
        <v>0</v>
      </c>
      <c r="V1143" s="100">
        <f>E1143*($J$1782)*G1143</f>
        <v>0</v>
      </c>
      <c r="W1143" s="100">
        <f t="shared" ref="W1143" si="2918">I1143</f>
        <v>0</v>
      </c>
      <c r="X1143" s="100" t="b">
        <f>IF(G1143&gt;0,IF(AD1143="me","",G1143))</f>
        <v>0</v>
      </c>
      <c r="Y1143" s="201"/>
      <c r="Z1143" s="829" t="str">
        <f t="shared" si="2891"/>
        <v/>
      </c>
      <c r="AA1143" s="829"/>
      <c r="AB1143" s="830" t="str">
        <f>IF(G1143=0,"",IF(AD1143="free","re-planting",IF(AD1143="me","not NVP, by",IF($AD$8="yes",(VLOOKUP(A1143,'Discount Lookup'!J:K,2)*G1143*(1-$AC$1786)*(1+$AC$1788)),IF(AD1143="NVP",(VLOOKUP(A1143,'Discount Lookup'!J:K,2)*G1143*(1-$AC$1786)*(1+$AC$1788)),IF(AD1143="free","re-planting",IF(G1143=0,"",IF($AD$8="",IF(AD1143="me","not NVP, by",IF(AD1143="",IF(G1143&gt;0,(VLOOKUP(A1143,'Discount Lookup'!J:K,2)*G1143*(1-$AC$1786)*(1+$AC$1788)),""),"")),"not NVP, by"))))))))</f>
        <v/>
      </c>
      <c r="AC1143" s="830"/>
      <c r="AD1143" s="375" t="str">
        <f t="shared" si="2809"/>
        <v/>
      </c>
      <c r="AE1143" s="833" t="str">
        <f t="shared" si="2810"/>
        <v/>
      </c>
      <c r="AF1143" s="833"/>
      <c r="AG1143" s="833"/>
      <c r="AH1143" s="91">
        <f>IF(AD1143="free",0,IF(AD1143="me",0,IF(G1143&gt;0,(VLOOKUP(A1143,'Discount Lookup'!J:K,2)*G1143),0)))</f>
        <v>0</v>
      </c>
      <c r="AI1143" s="92" t="str">
        <f t="shared" si="2835"/>
        <v/>
      </c>
      <c r="AJ1143" s="828" t="str">
        <f t="shared" si="2892"/>
        <v/>
      </c>
      <c r="AK1143" s="828"/>
      <c r="AL1143" s="313" t="str">
        <f t="shared" si="2808"/>
        <v/>
      </c>
      <c r="AM1143" s="312"/>
      <c r="AN1143" s="101"/>
      <c r="AO1143" s="101"/>
      <c r="AP1143" s="101"/>
      <c r="AQ1143" s="101"/>
      <c r="AR1143" s="101"/>
      <c r="AS1143" s="101"/>
      <c r="AT1143" s="101"/>
    </row>
    <row r="1144" spans="1:46" ht="12.95" customHeight="1">
      <c r="A1144" s="383">
        <v>3</v>
      </c>
      <c r="B1144" s="158" t="s">
        <v>50</v>
      </c>
      <c r="C1144" s="160" t="s">
        <v>102</v>
      </c>
      <c r="D1144" s="161" t="s">
        <v>63</v>
      </c>
      <c r="E1144" s="162">
        <v>40.950000000000003</v>
      </c>
      <c r="F1144" s="713" t="s">
        <v>1306</v>
      </c>
      <c r="G1144" s="357">
        <v>0</v>
      </c>
      <c r="H1144" s="748" t="str">
        <f t="shared" si="2915"/>
        <v/>
      </c>
      <c r="I1144" s="592">
        <f t="shared" si="2916"/>
        <v>0</v>
      </c>
      <c r="J1144" s="592">
        <f>IF(H1144="warranty",0,(I1144*($J$1782)))</f>
        <v>0</v>
      </c>
      <c r="K1144" s="834">
        <f t="shared" si="2908"/>
        <v>0</v>
      </c>
      <c r="L1144" s="834"/>
      <c r="M1144" s="832" t="str">
        <f>IF($H$1784=0,"",IF(G1144=0,"",IF(F1144="Qty=",CONCATENATE("$",ROUND(K1144*(1-$H$1784),2)," with ",($H$1784*100),"% discount"),CONCATENATE("$",ROUND(K1144*(1-$H$1784),2)," with ",(($H$1784*100+F1144*100)-($H$1784*100*F1144)),IF(F1144&gt;0,"% discounts",IF($H$1781&gt;0,"% discounts","% discount"))))))</f>
        <v/>
      </c>
      <c r="N1144" s="832"/>
      <c r="O1144" s="832"/>
      <c r="P1144" s="832"/>
      <c r="Q1144" s="832"/>
      <c r="R1144" s="832"/>
      <c r="S1144" s="303">
        <f>E1144*G1144</f>
        <v>0</v>
      </c>
      <c r="T1144" s="541">
        <f>VLOOKUP(A1144,'Discount Lookup'!D:E,2,FALSE)*G1144</f>
        <v>0</v>
      </c>
      <c r="U1144" s="83">
        <f>VLOOKUP(A1144,'Discount Lookup'!G:H,2,FALSE)*G1144</f>
        <v>0</v>
      </c>
      <c r="V1144" s="100">
        <f>E1144*($J$1782)*G1144</f>
        <v>0</v>
      </c>
      <c r="W1144" s="100">
        <f>I1144</f>
        <v>0</v>
      </c>
      <c r="X1144" s="100" t="b">
        <f>IF(G1144&gt;0,IF(AD1144="me","",G1144))</f>
        <v>0</v>
      </c>
      <c r="Y1144" s="201"/>
      <c r="Z1144" s="829" t="str">
        <f t="shared" si="2891"/>
        <v/>
      </c>
      <c r="AA1144" s="829"/>
      <c r="AB1144" s="830" t="str">
        <f>IF(G1144=0,"",IF(AD1144="free","re-planting",IF(AD1144="me","not NVP, by",IF($AD$8="yes",(VLOOKUP(A1144,'Discount Lookup'!J:K,2)*G1144*(1-$AC$1786)*(1+$AC$1788)),IF(AD1144="NVP",(VLOOKUP(A1144,'Discount Lookup'!J:K,2)*G1144*(1-$AC$1786)*(1+$AC$1788)),IF(AD1144="free","re-planting",IF(G1144=0,"",IF($AD$8="",IF(AD1144="me","not NVP, by",IF(AD1144="",IF(G1144&gt;0,(VLOOKUP(A1144,'Discount Lookup'!J:K,2)*G1144*(1-$AC$1786)*(1+$AC$1788)),""),"")),"not NVP, by"))))))))</f>
        <v/>
      </c>
      <c r="AC1144" s="830"/>
      <c r="AD1144" s="375" t="str">
        <f t="shared" si="2809"/>
        <v/>
      </c>
      <c r="AE1144" s="833" t="str">
        <f>IF(G1144&gt;0,(CONCATENATE((G1144)," quantity, ",(A1144)," ",B1144)),"")</f>
        <v/>
      </c>
      <c r="AF1144" s="833"/>
      <c r="AG1144" s="833"/>
      <c r="AH1144" s="91">
        <f>IF(AD1144="free",0,IF(AD1144="me",0,IF(G1144&gt;0,(VLOOKUP(A1144,'Discount Lookup'!J:K,2)*G1144),0)))</f>
        <v>0</v>
      </c>
      <c r="AI1144" s="92" t="str">
        <f t="shared" ref="AI1144:AI1163" si="2919">IF(G1144=0,"",IF(AD1144="free",(K1144*(1-$H$1784)),IF($AD$8="me",(K1144*(1-$H$1784)),IF(AD1144="me",(K1144*(1-$H$1784)),(K1144*(1-$H$1784))+AB1144))))</f>
        <v/>
      </c>
      <c r="AJ1144" s="828" t="str">
        <f t="shared" si="2892"/>
        <v/>
      </c>
      <c r="AK1144" s="828"/>
      <c r="AL1144" s="313" t="str">
        <f t="shared" si="2808"/>
        <v/>
      </c>
      <c r="AM1144" s="312"/>
      <c r="AN1144" s="101"/>
      <c r="AO1144" s="101"/>
      <c r="AP1144" s="101"/>
      <c r="AQ1144" s="101"/>
      <c r="AR1144" s="101"/>
      <c r="AS1144" s="101"/>
      <c r="AT1144" s="101"/>
    </row>
    <row r="1145" spans="1:46" ht="12.95" customHeight="1">
      <c r="A1145" s="383">
        <v>7</v>
      </c>
      <c r="B1145" s="158" t="s">
        <v>50</v>
      </c>
      <c r="C1145" s="160" t="s">
        <v>1293</v>
      </c>
      <c r="D1145" s="161" t="s">
        <v>54</v>
      </c>
      <c r="E1145" s="162">
        <v>125.95</v>
      </c>
      <c r="F1145" s="713" t="s">
        <v>1306</v>
      </c>
      <c r="G1145" s="357">
        <v>0</v>
      </c>
      <c r="H1145" s="748" t="str">
        <f t="shared" ref="H1145" si="2920">IF(G1145=0,"",IF(F1145="Qty=",IF(G1145=1,"plant","plants"),IF(F1145&gt;0.0001,"warranty","Error")))</f>
        <v/>
      </c>
      <c r="I1145" s="592">
        <f t="shared" ref="I1145" si="2921">IF(F1145="Qty=",(E1145*G1145),((E1145*(1-F1145))*G1145))</f>
        <v>0</v>
      </c>
      <c r="J1145" s="592">
        <f>IF(H1145="warranty",0,(I1145*($J$1782)))</f>
        <v>0</v>
      </c>
      <c r="K1145" s="834">
        <f t="shared" si="2908"/>
        <v>0</v>
      </c>
      <c r="L1145" s="834"/>
      <c r="M1145" s="832" t="str">
        <f>IF($H$1784=0,"",IF(G1145=0,"",IF(F1145="Qty=",CONCATENATE("$",ROUND(K1145*(1-$H$1784),2)," with ",($H$1784*100),"% discount"),CONCATENATE("$",ROUND(K1145*(1-$H$1784),2)," with ",(($H$1784*100+F1145*100)-($H$1784*100*F1145)),IF(F1145&gt;0,"% discounts",IF($H$1781&gt;0,"% discounts","% discount"))))))</f>
        <v/>
      </c>
      <c r="N1145" s="832"/>
      <c r="O1145" s="832"/>
      <c r="P1145" s="832"/>
      <c r="Q1145" s="832"/>
      <c r="R1145" s="832"/>
      <c r="S1145" s="303">
        <f t="shared" ref="S1145" si="2922">E1145*G1145</f>
        <v>0</v>
      </c>
      <c r="T1145" s="541">
        <f>VLOOKUP(A1145,'Discount Lookup'!D:E,2,FALSE)*G1145</f>
        <v>0</v>
      </c>
      <c r="U1145" s="83">
        <f>VLOOKUP(A1145,'Discount Lookup'!G:H,2,FALSE)*G1145</f>
        <v>0</v>
      </c>
      <c r="V1145" s="100">
        <f>E1145*($J$1782)*G1145</f>
        <v>0</v>
      </c>
      <c r="W1145" s="100">
        <f t="shared" ref="W1145" si="2923">I1145</f>
        <v>0</v>
      </c>
      <c r="X1145" s="100" t="b">
        <f>IF(G1145&gt;0,IF(AD1145="me","",G1145))</f>
        <v>0</v>
      </c>
      <c r="Y1145" s="201"/>
      <c r="Z1145" s="829" t="str">
        <f t="shared" ref="Z1145" si="2924">IF(G1145=0,"",IF(AD1145="me","",IF($AD$8="me","",IF(AD1145="free","warranty",IF($AD$8="yes","NVP planting:","to NVP install:")))))</f>
        <v/>
      </c>
      <c r="AA1145" s="829"/>
      <c r="AB1145" s="830" t="str">
        <f>IF(G1145=0,"",IF(AD1145="free","re-planting",IF(AD1145="me","not NVP, by",IF($AD$8="yes",(VLOOKUP(A1145,'Discount Lookup'!J:K,2)*G1145*(1-$AC$1786)*(1+$AC$1788)),IF(AD1145="NVP",(VLOOKUP(A1145,'Discount Lookup'!J:K,2)*G1145*(1-$AC$1786)*(1+$AC$1788)),IF(AD1145="free","re-planting",IF(G1145=0,"",IF($AD$8="",IF(AD1145="me","not NVP, by",IF(AD1145="",IF(G1145&gt;0,(VLOOKUP(A1145,'Discount Lookup'!J:K,2)*G1145*(1-$AC$1786)*(1+$AC$1788)),""),"")),"not NVP, by"))))))))</f>
        <v/>
      </c>
      <c r="AC1145" s="830"/>
      <c r="AD1145" s="375" t="str">
        <f t="shared" si="2809"/>
        <v/>
      </c>
      <c r="AE1145" s="833" t="str">
        <f t="shared" ref="AE1145" si="2925">IF(G1145&gt;0,(CONCATENATE((G1145)," quantity, ",(A1145)," ",B1145)),"")</f>
        <v/>
      </c>
      <c r="AF1145" s="833"/>
      <c r="AG1145" s="833"/>
      <c r="AH1145" s="91">
        <f>IF(AD1145="free",0,IF(AD1145="me",0,IF(G1145&gt;0,(VLOOKUP(A1145,'Discount Lookup'!J:K,2)*G1145),0)))</f>
        <v>0</v>
      </c>
      <c r="AI1145" s="92" t="str">
        <f t="shared" si="2919"/>
        <v/>
      </c>
      <c r="AJ1145" s="828" t="str">
        <f t="shared" ref="AJ1145" si="2926">IF(G1145=0,"",IF(AD1145="me","  delivery-only",IF($AD$8="me","  delivery-only",CONCATENATE(" $",ROUND(AI1145/G1145,2)," each"))))</f>
        <v/>
      </c>
      <c r="AK1145" s="828"/>
      <c r="AL1145" s="313" t="str">
        <f t="shared" si="2808"/>
        <v/>
      </c>
      <c r="AM1145" s="312"/>
      <c r="AN1145" s="101"/>
      <c r="AO1145" s="101"/>
      <c r="AP1145" s="101"/>
      <c r="AQ1145" s="101"/>
      <c r="AR1145" s="101"/>
      <c r="AS1145" s="101"/>
      <c r="AT1145" s="101"/>
    </row>
    <row r="1146" spans="1:46" ht="12.95" customHeight="1">
      <c r="A1146" s="383">
        <v>10</v>
      </c>
      <c r="B1146" s="158" t="s">
        <v>50</v>
      </c>
      <c r="C1146" s="160" t="s">
        <v>1459</v>
      </c>
      <c r="D1146" s="161" t="s">
        <v>54</v>
      </c>
      <c r="E1146" s="162">
        <v>171.95</v>
      </c>
      <c r="F1146" s="713" t="s">
        <v>1306</v>
      </c>
      <c r="G1146" s="357">
        <v>0</v>
      </c>
      <c r="H1146" s="748" t="str">
        <f t="shared" si="2915"/>
        <v/>
      </c>
      <c r="I1146" s="592">
        <f t="shared" si="2916"/>
        <v>0</v>
      </c>
      <c r="J1146" s="592">
        <f>IF(H1146="warranty",0,(I1146*($J$1782)))</f>
        <v>0</v>
      </c>
      <c r="K1146" s="834">
        <f t="shared" si="2908"/>
        <v>0</v>
      </c>
      <c r="L1146" s="834"/>
      <c r="M1146" s="832" t="str">
        <f>IF($H$1784=0,"",IF(G1146=0,"",IF(F1146="Qty=",CONCATENATE("$",ROUND(K1146*(1-$H$1784),2)," with ",($H$1784*100),"% discount"),CONCATENATE("$",ROUND(K1146*(1-$H$1784),2)," with ",(($H$1784*100+F1146*100)-($H$1784*100*F1146)),IF(F1146&gt;0,"% discounts",IF($H$1781&gt;0,"% discounts","% discount"))))))</f>
        <v/>
      </c>
      <c r="N1146" s="832"/>
      <c r="O1146" s="832"/>
      <c r="P1146" s="832"/>
      <c r="Q1146" s="832"/>
      <c r="R1146" s="832"/>
      <c r="S1146" s="303">
        <f t="shared" ref="S1146" si="2927">E1146*G1146</f>
        <v>0</v>
      </c>
      <c r="T1146" s="541">
        <f>VLOOKUP(A1146,'Discount Lookup'!D:E,2,FALSE)*G1146</f>
        <v>0</v>
      </c>
      <c r="U1146" s="83">
        <f>VLOOKUP(A1146,'Discount Lookup'!G:H,2,FALSE)*G1146</f>
        <v>0</v>
      </c>
      <c r="V1146" s="100">
        <f>E1146*($J$1782)*G1146</f>
        <v>0</v>
      </c>
      <c r="W1146" s="100">
        <f t="shared" ref="W1146" si="2928">I1146</f>
        <v>0</v>
      </c>
      <c r="X1146" s="100" t="b">
        <f>IF(G1146&gt;0,IF(AD1146="me","",G1146))</f>
        <v>0</v>
      </c>
      <c r="Y1146" s="201"/>
      <c r="Z1146" s="829" t="str">
        <f t="shared" si="2891"/>
        <v/>
      </c>
      <c r="AA1146" s="829"/>
      <c r="AB1146" s="830" t="str">
        <f>IF(G1146=0,"",IF(AD1146="free","re-planting",IF(AD1146="me","not NVP, by",IF($AD$8="yes",(VLOOKUP(A1146,'Discount Lookup'!J:K,2)*G1146*(1-$AC$1786)*(1+$AC$1788)),IF(AD1146="NVP",(VLOOKUP(A1146,'Discount Lookup'!J:K,2)*G1146*(1-$AC$1786)*(1+$AC$1788)),IF(AD1146="free","re-planting",IF(G1146=0,"",IF($AD$8="",IF(AD1146="me","not NVP, by",IF(AD1146="",IF(G1146&gt;0,(VLOOKUP(A1146,'Discount Lookup'!J:K,2)*G1146*(1-$AC$1786)*(1+$AC$1788)),""),"")),"not NVP, by"))))))))</f>
        <v/>
      </c>
      <c r="AC1146" s="830"/>
      <c r="AD1146" s="375" t="str">
        <f t="shared" si="2809"/>
        <v/>
      </c>
      <c r="AE1146" s="833" t="str">
        <f t="shared" si="2810"/>
        <v/>
      </c>
      <c r="AF1146" s="833"/>
      <c r="AG1146" s="833"/>
      <c r="AH1146" s="91">
        <f>IF(AD1146="free",0,IF(AD1146="me",0,IF(G1146&gt;0,(VLOOKUP(A1146,'Discount Lookup'!J:K,2)*G1146),0)))</f>
        <v>0</v>
      </c>
      <c r="AI1146" s="92" t="str">
        <f t="shared" si="2919"/>
        <v/>
      </c>
      <c r="AJ1146" s="828" t="str">
        <f t="shared" si="2892"/>
        <v/>
      </c>
      <c r="AK1146" s="828"/>
      <c r="AL1146" s="313" t="str">
        <f t="shared" si="2808"/>
        <v/>
      </c>
      <c r="AM1146" s="312"/>
      <c r="AN1146" s="101"/>
      <c r="AO1146" s="101"/>
      <c r="AP1146" s="101"/>
      <c r="AQ1146" s="101"/>
      <c r="AR1146" s="101"/>
      <c r="AS1146" s="101"/>
      <c r="AT1146" s="101"/>
    </row>
    <row r="1147" spans="1:46" ht="12.95" customHeight="1">
      <c r="A1147" s="481"/>
      <c r="B1147" s="149" t="s">
        <v>638</v>
      </c>
      <c r="G1147" s="359"/>
      <c r="H1147" s="746"/>
      <c r="L1147" s="609"/>
      <c r="M1147" s="121"/>
      <c r="N1147" s="122" t="s">
        <v>639</v>
      </c>
      <c r="O1147" s="123"/>
      <c r="P1147" s="124"/>
      <c r="Y1147" s="132"/>
      <c r="Z1147" s="829" t="str">
        <f t="shared" si="2891"/>
        <v/>
      </c>
      <c r="AA1147" s="829"/>
      <c r="AB1147" s="830" t="str">
        <f>IF(G1147=0,"",IF(AD1147="free","re-planting",IF(AD1147="me","not NVP, by",IF($AD$8="yes",(VLOOKUP(A1147,'Discount Lookup'!J:K,2)*G1147*(1-$AC$1786)*(1+$AC$1788)),IF(AD1147="NVP",(VLOOKUP(A1147,'Discount Lookup'!J:K,2)*G1147*(1-$AC$1786)*(1+$AC$1788)),IF(AD1147="free","re-planting",IF(G1147=0,"",IF($AD$8="",IF(AD1147="me","not NVP, by",IF(AD1147="",IF(G1147&gt;0,(VLOOKUP(A1147,'Discount Lookup'!J:K,2)*G1147*(1-$AC$1786)*(1+$AC$1788)),""),"")),"not NVP, by"))))))))</f>
        <v/>
      </c>
      <c r="AC1147" s="830"/>
      <c r="AD1147" s="375" t="str">
        <f t="shared" si="2809"/>
        <v/>
      </c>
      <c r="AE1147" s="833" t="str">
        <f t="shared" si="2810"/>
        <v/>
      </c>
      <c r="AF1147" s="833"/>
      <c r="AG1147" s="833"/>
      <c r="AH1147" s="91">
        <f>IF(AD1147="free",0,IF(AD1147="me",0,IF(G1147&gt;0,(VLOOKUP(A1147,'Discount Lookup'!J:K,2)*G1147),0)))</f>
        <v>0</v>
      </c>
      <c r="AI1147" s="92" t="str">
        <f t="shared" si="2919"/>
        <v/>
      </c>
      <c r="AJ1147" s="828" t="str">
        <f t="shared" si="2892"/>
        <v/>
      </c>
      <c r="AK1147" s="828"/>
      <c r="AL1147" s="313" t="str">
        <f t="shared" si="2808"/>
        <v/>
      </c>
      <c r="AM1147" s="312"/>
      <c r="AN1147" s="101"/>
      <c r="AO1147" s="101"/>
      <c r="AP1147" s="101"/>
      <c r="AQ1147" s="101"/>
      <c r="AR1147" s="101"/>
      <c r="AS1147" s="101"/>
      <c r="AT1147" s="101"/>
    </row>
    <row r="1148" spans="1:46" ht="12.95" customHeight="1">
      <c r="A1148" s="894" t="s">
        <v>640</v>
      </c>
      <c r="B1148" s="895"/>
      <c r="C1148" s="895"/>
      <c r="D1148" s="895"/>
      <c r="E1148" s="895"/>
      <c r="F1148" s="895"/>
      <c r="G1148" s="895"/>
      <c r="H1148" s="775" t="s">
        <v>488</v>
      </c>
      <c r="I1148" s="349" t="s">
        <v>280</v>
      </c>
      <c r="J1148" s="157"/>
      <c r="K1148" s="611" t="s">
        <v>45</v>
      </c>
      <c r="L1148" s="630" t="s">
        <v>46</v>
      </c>
      <c r="M1148" s="157"/>
      <c r="N1148" s="158" t="s">
        <v>98</v>
      </c>
      <c r="O1148" s="158"/>
      <c r="P1148" s="164"/>
      <c r="Q1148" s="164"/>
      <c r="R1148" s="157"/>
      <c r="S1148" s="170"/>
      <c r="T1148" s="547"/>
      <c r="U1148" s="159" t="s">
        <v>48</v>
      </c>
      <c r="V1148" s="100" t="b">
        <f>IF(G1148&gt;0,IF(AD1148="me","",G1148))</f>
        <v>0</v>
      </c>
      <c r="W1148" s="100"/>
      <c r="X1148" s="100"/>
      <c r="Y1148" s="201"/>
      <c r="Z1148" s="829" t="str">
        <f t="shared" si="2891"/>
        <v/>
      </c>
      <c r="AA1148" s="829"/>
      <c r="AB1148" s="830" t="str">
        <f>IF(G1148=0,"",IF(AD1148="free","re-planting",IF(AD1148="me","not NVP, by",IF($AD$8="yes",(VLOOKUP(A1148,'Discount Lookup'!J:K,2)*G1148*(1-$AC$1786)*(1+$AC$1788)),IF(AD1148="NVP",(VLOOKUP(A1148,'Discount Lookup'!J:K,2)*G1148*(1-$AC$1786)*(1+$AC$1788)),IF(AD1148="free","re-planting",IF(G1148=0,"",IF($AD$8="",IF(AD1148="me","not NVP, by",IF(AD1148="",IF(G1148&gt;0,(VLOOKUP(A1148,'Discount Lookup'!J:K,2)*G1148*(1-$AC$1786)*(1+$AC$1788)),""),"")),"not NVP, by"))))))))</f>
        <v/>
      </c>
      <c r="AC1148" s="830"/>
      <c r="AD1148" s="375" t="str">
        <f t="shared" si="2809"/>
        <v/>
      </c>
      <c r="AE1148" s="833" t="str">
        <f t="shared" si="2810"/>
        <v/>
      </c>
      <c r="AF1148" s="833"/>
      <c r="AG1148" s="833"/>
      <c r="AH1148" s="91">
        <f>IF(AD1148="free",0,IF(AD1148="me",0,IF(G1148&gt;0,(VLOOKUP(A1148,'Discount Lookup'!J:K,2)*G1148),0)))</f>
        <v>0</v>
      </c>
      <c r="AI1148" s="92" t="str">
        <f t="shared" si="2919"/>
        <v/>
      </c>
      <c r="AJ1148" s="828" t="str">
        <f t="shared" si="2892"/>
        <v/>
      </c>
      <c r="AK1148" s="828"/>
      <c r="AL1148" s="313" t="str">
        <f t="shared" si="2808"/>
        <v/>
      </c>
      <c r="AM1148" s="312"/>
      <c r="AN1148" s="101"/>
      <c r="AO1148" s="101"/>
      <c r="AP1148" s="101"/>
      <c r="AQ1148" s="101"/>
      <c r="AR1148" s="101"/>
      <c r="AS1148" s="101"/>
      <c r="AT1148" s="101"/>
    </row>
    <row r="1149" spans="1:46" ht="12.95" customHeight="1">
      <c r="A1149" s="383">
        <v>3</v>
      </c>
      <c r="B1149" s="158" t="s">
        <v>50</v>
      </c>
      <c r="C1149" s="168" t="s">
        <v>136</v>
      </c>
      <c r="D1149" s="161" t="s">
        <v>87</v>
      </c>
      <c r="E1149" s="162">
        <v>29.95</v>
      </c>
      <c r="F1149" s="713" t="s">
        <v>1306</v>
      </c>
      <c r="G1149" s="357">
        <v>0</v>
      </c>
      <c r="H1149" s="748" t="str">
        <f t="shared" ref="H1149:H1151" si="2929">IF(G1149=0,"",IF(F1149="Qty=",IF(G1149=1,"plant","plants"),IF(F1149&gt;0.0001,"warranty","Error")))</f>
        <v/>
      </c>
      <c r="I1149" s="592">
        <f t="shared" ref="I1149:I1151" si="2930">IF(F1149="Qty=",(E1149*G1149),((E1149*(1-F1149))*G1149))</f>
        <v>0</v>
      </c>
      <c r="J1149" s="592">
        <f>IF(H1149="warranty",0,(I1149*($J$1782)))</f>
        <v>0</v>
      </c>
      <c r="K1149" s="834">
        <f t="shared" ref="K1149:K1151" si="2931">I1149+J1149</f>
        <v>0</v>
      </c>
      <c r="L1149" s="834"/>
      <c r="M1149" s="832" t="str">
        <f>IF($H$1784=0,"",IF(G1149=0,"",IF(F1149="Qty=",CONCATENATE("$",ROUND(K1149*(1-$H$1784),2)," with ",($H$1784*100),"% discount"),CONCATENATE("$",ROUND(K1149*(1-$H$1784),2)," with ",(($H$1784*100+F1149*100)-($H$1784*100*F1149)),IF(F1149&gt;0,"% discounts",IF($H$1781&gt;0,"% discounts","% discount"))))))</f>
        <v/>
      </c>
      <c r="N1149" s="832"/>
      <c r="O1149" s="832"/>
      <c r="P1149" s="832"/>
      <c r="Q1149" s="832"/>
      <c r="R1149" s="832"/>
      <c r="S1149" s="303">
        <f t="shared" ref="S1149:S1151" si="2932">E1149*G1149</f>
        <v>0</v>
      </c>
      <c r="T1149" s="541">
        <f>VLOOKUP(A1149,'Discount Lookup'!D:E,2,FALSE)*G1149</f>
        <v>0</v>
      </c>
      <c r="U1149" s="83">
        <f>VLOOKUP(A1149,'Discount Lookup'!G:H,2,FALSE)*G1149</f>
        <v>0</v>
      </c>
      <c r="V1149" s="100">
        <f>E1149*($J$1782)*G1149</f>
        <v>0</v>
      </c>
      <c r="W1149" s="100">
        <f t="shared" ref="W1149:W1151" si="2933">I1149</f>
        <v>0</v>
      </c>
      <c r="X1149" s="100" t="b">
        <f>IF(G1149&gt;0,IF(AD1149="me","",G1149))</f>
        <v>0</v>
      </c>
      <c r="Y1149" s="201"/>
      <c r="Z1149" s="829" t="str">
        <f t="shared" si="2891"/>
        <v/>
      </c>
      <c r="AA1149" s="829"/>
      <c r="AB1149" s="830" t="str">
        <f>IF(G1149=0,"",IF(AD1149="free","re-planting",IF(AD1149="me","not NVP, by",IF($AD$8="yes",(VLOOKUP(A1149,'Discount Lookup'!J:K,2)*G1149*(1-$AC$1786)*(1+$AC$1788)),IF(AD1149="NVP",(VLOOKUP(A1149,'Discount Lookup'!J:K,2)*G1149*(1-$AC$1786)*(1+$AC$1788)),IF(AD1149="free","re-planting",IF(G1149=0,"",IF($AD$8="",IF(AD1149="me","not NVP, by",IF(AD1149="",IF(G1149&gt;0,(VLOOKUP(A1149,'Discount Lookup'!J:K,2)*G1149*(1-$AC$1786)*(1+$AC$1788)),""),"")),"not NVP, by"))))))))</f>
        <v/>
      </c>
      <c r="AC1149" s="830"/>
      <c r="AD1149" s="375" t="str">
        <f t="shared" si="2809"/>
        <v/>
      </c>
      <c r="AE1149" s="833" t="str">
        <f t="shared" si="2810"/>
        <v/>
      </c>
      <c r="AF1149" s="833"/>
      <c r="AG1149" s="833"/>
      <c r="AH1149" s="91">
        <f>IF(AD1149="free",0,IF(AD1149="me",0,IF(G1149&gt;0,(VLOOKUP(A1149,'Discount Lookup'!J:K,2)*G1149),0)))</f>
        <v>0</v>
      </c>
      <c r="AI1149" s="92" t="str">
        <f t="shared" si="2919"/>
        <v/>
      </c>
      <c r="AJ1149" s="828" t="str">
        <f t="shared" si="2892"/>
        <v/>
      </c>
      <c r="AK1149" s="828"/>
      <c r="AL1149" s="313" t="str">
        <f t="shared" si="2808"/>
        <v/>
      </c>
      <c r="AM1149" s="312"/>
      <c r="AN1149" s="101"/>
      <c r="AO1149" s="101"/>
      <c r="AP1149" s="101"/>
      <c r="AQ1149" s="101"/>
      <c r="AR1149" s="101"/>
      <c r="AS1149" s="101"/>
      <c r="AT1149" s="101"/>
    </row>
    <row r="1150" spans="1:46" ht="12.95" customHeight="1">
      <c r="A1150" s="383">
        <v>3</v>
      </c>
      <c r="B1150" s="158" t="s">
        <v>50</v>
      </c>
      <c r="C1150" s="168" t="s">
        <v>136</v>
      </c>
      <c r="D1150" s="161" t="s">
        <v>62</v>
      </c>
      <c r="E1150" s="162">
        <v>22.95</v>
      </c>
      <c r="F1150" s="713" t="s">
        <v>1306</v>
      </c>
      <c r="G1150" s="357">
        <v>0</v>
      </c>
      <c r="H1150" s="748" t="str">
        <f t="shared" si="2929"/>
        <v/>
      </c>
      <c r="I1150" s="592">
        <f t="shared" si="2930"/>
        <v>0</v>
      </c>
      <c r="J1150" s="592">
        <f>IF(H1150="warranty",0,(I1150*($J$1782)))</f>
        <v>0</v>
      </c>
      <c r="K1150" s="834">
        <f t="shared" si="2931"/>
        <v>0</v>
      </c>
      <c r="L1150" s="834"/>
      <c r="M1150" s="832" t="str">
        <f>IF($H$1784=0,"",IF(G1150=0,"",IF(F1150="Qty=",CONCATENATE("$",ROUND(K1150*(1-$H$1784),2)," with ",($H$1784*100),"% discount"),CONCATENATE("$",ROUND(K1150*(1-$H$1784),2)," with ",(($H$1784*100+F1150*100)-($H$1784*100*F1150)),IF(F1150&gt;0,"% discounts",IF($H$1781&gt;0,"% discounts","% discount"))))))</f>
        <v/>
      </c>
      <c r="N1150" s="832"/>
      <c r="O1150" s="832"/>
      <c r="P1150" s="832"/>
      <c r="Q1150" s="832"/>
      <c r="R1150" s="832"/>
      <c r="S1150" s="303">
        <f t="shared" ref="S1150" si="2934">E1150*G1150</f>
        <v>0</v>
      </c>
      <c r="T1150" s="541">
        <f>VLOOKUP(A1150,'Discount Lookup'!D:E,2,FALSE)*G1150</f>
        <v>0</v>
      </c>
      <c r="U1150" s="83">
        <f>VLOOKUP(A1150,'Discount Lookup'!G:H,2,FALSE)*G1150</f>
        <v>0</v>
      </c>
      <c r="V1150" s="100">
        <f>E1150*($J$1782)*G1150</f>
        <v>0</v>
      </c>
      <c r="W1150" s="100">
        <f t="shared" ref="W1150" si="2935">I1150</f>
        <v>0</v>
      </c>
      <c r="X1150" s="100" t="b">
        <f>IF(G1150&gt;0,IF(AD1150="me","",G1150))</f>
        <v>0</v>
      </c>
      <c r="Y1150" s="201"/>
      <c r="Z1150" s="829" t="str">
        <f t="shared" si="2891"/>
        <v/>
      </c>
      <c r="AA1150" s="829"/>
      <c r="AB1150" s="830" t="str">
        <f>IF(G1150=0,"",IF(AD1150="free","re-planting",IF(AD1150="me","not NVP, by",IF($AD$8="yes",(VLOOKUP(A1150,'Discount Lookup'!J:K,2)*G1150*(1-$AC$1786)*(1+$AC$1788)),IF(AD1150="NVP",(VLOOKUP(A1150,'Discount Lookup'!J:K,2)*G1150*(1-$AC$1786)*(1+$AC$1788)),IF(AD1150="free","re-planting",IF(G1150=0,"",IF($AD$8="",IF(AD1150="me","not NVP, by",IF(AD1150="",IF(G1150&gt;0,(VLOOKUP(A1150,'Discount Lookup'!J:K,2)*G1150*(1-$AC$1786)*(1+$AC$1788)),""),"")),"not NVP, by"))))))))</f>
        <v/>
      </c>
      <c r="AC1150" s="830"/>
      <c r="AD1150" s="375" t="str">
        <f t="shared" si="2809"/>
        <v/>
      </c>
      <c r="AE1150" s="833" t="str">
        <f t="shared" ref="AE1150" si="2936">IF(G1150&gt;0,(CONCATENATE((G1150)," quantity, ",(A1150)," ",B1150)),"")</f>
        <v/>
      </c>
      <c r="AF1150" s="833"/>
      <c r="AG1150" s="833"/>
      <c r="AH1150" s="91">
        <f>IF(AD1150="free",0,IF(AD1150="me",0,IF(G1150&gt;0,(VLOOKUP(A1150,'Discount Lookup'!J:K,2)*G1150),0)))</f>
        <v>0</v>
      </c>
      <c r="AI1150" s="92" t="str">
        <f t="shared" si="2919"/>
        <v/>
      </c>
      <c r="AJ1150" s="828" t="str">
        <f t="shared" si="2892"/>
        <v/>
      </c>
      <c r="AK1150" s="828"/>
      <c r="AL1150" s="313" t="str">
        <f t="shared" si="2808"/>
        <v/>
      </c>
      <c r="AM1150" s="312"/>
      <c r="AN1150" s="101"/>
      <c r="AO1150" s="101"/>
      <c r="AP1150" s="101"/>
      <c r="AQ1150" s="101"/>
      <c r="AR1150" s="101"/>
      <c r="AS1150" s="101"/>
      <c r="AT1150" s="101"/>
    </row>
    <row r="1151" spans="1:46" ht="12.95" customHeight="1">
      <c r="A1151" s="383">
        <v>5</v>
      </c>
      <c r="B1151" s="158" t="s">
        <v>50</v>
      </c>
      <c r="C1151" s="168" t="s">
        <v>136</v>
      </c>
      <c r="D1151" s="161" t="s">
        <v>90</v>
      </c>
      <c r="E1151" s="162">
        <v>39.950000000000003</v>
      </c>
      <c r="F1151" s="713" t="s">
        <v>1306</v>
      </c>
      <c r="G1151" s="357">
        <v>0</v>
      </c>
      <c r="H1151" s="748" t="str">
        <f t="shared" si="2929"/>
        <v/>
      </c>
      <c r="I1151" s="592">
        <f t="shared" si="2930"/>
        <v>0</v>
      </c>
      <c r="J1151" s="592">
        <f>IF(H1151="warranty",0,(I1151*($J$1782)))</f>
        <v>0</v>
      </c>
      <c r="K1151" s="834">
        <f t="shared" si="2931"/>
        <v>0</v>
      </c>
      <c r="L1151" s="834"/>
      <c r="M1151" s="832" t="str">
        <f>IF($H$1784=0,"",IF(G1151=0,"",IF(F1151="Qty=",CONCATENATE("$",ROUND(K1151*(1-$H$1784),2)," with ",($H$1784*100),"% discount"),CONCATENATE("$",ROUND(K1151*(1-$H$1784),2)," with ",(($H$1784*100+F1151*100)-($H$1784*100*F1151)),IF(F1151&gt;0,"% discounts",IF($H$1781&gt;0,"% discounts","% discount"))))))</f>
        <v/>
      </c>
      <c r="N1151" s="832"/>
      <c r="O1151" s="832"/>
      <c r="P1151" s="832"/>
      <c r="Q1151" s="832"/>
      <c r="R1151" s="832"/>
      <c r="S1151" s="303">
        <f t="shared" si="2932"/>
        <v>0</v>
      </c>
      <c r="T1151" s="541">
        <f>VLOOKUP(A1151,'Discount Lookup'!D:E,2,FALSE)*G1151</f>
        <v>0</v>
      </c>
      <c r="U1151" s="83">
        <f>VLOOKUP(A1151,'Discount Lookup'!G:H,2,FALSE)*G1151</f>
        <v>0</v>
      </c>
      <c r="V1151" s="100">
        <f>E1151*($J$1782)*G1151</f>
        <v>0</v>
      </c>
      <c r="W1151" s="100">
        <f t="shared" si="2933"/>
        <v>0</v>
      </c>
      <c r="X1151" s="100" t="b">
        <f>IF(G1151&gt;0,IF(AD1151="me","",G1151))</f>
        <v>0</v>
      </c>
      <c r="Y1151" s="201"/>
      <c r="Z1151" s="829" t="str">
        <f t="shared" si="2891"/>
        <v/>
      </c>
      <c r="AA1151" s="829"/>
      <c r="AB1151" s="830" t="str">
        <f>IF(G1151=0,"",IF(AD1151="free","re-planting",IF(AD1151="me","not NVP, by",IF($AD$8="yes",(VLOOKUP(A1151,'Discount Lookup'!J:K,2)*G1151*(1-$AC$1786)*(1+$AC$1788)),IF(AD1151="NVP",(VLOOKUP(A1151,'Discount Lookup'!J:K,2)*G1151*(1-$AC$1786)*(1+$AC$1788)),IF(AD1151="free","re-planting",IF(G1151=0,"",IF($AD$8="",IF(AD1151="me","not NVP, by",IF(AD1151="",IF(G1151&gt;0,(VLOOKUP(A1151,'Discount Lookup'!J:K,2)*G1151*(1-$AC$1786)*(1+$AC$1788)),""),"")),"not NVP, by"))))))))</f>
        <v/>
      </c>
      <c r="AC1151" s="830"/>
      <c r="AD1151" s="375" t="str">
        <f t="shared" si="2809"/>
        <v/>
      </c>
      <c r="AE1151" s="833" t="str">
        <f t="shared" si="2810"/>
        <v/>
      </c>
      <c r="AF1151" s="833"/>
      <c r="AG1151" s="833"/>
      <c r="AH1151" s="91">
        <f>IF(AD1151="free",0,IF(AD1151="me",0,IF(G1151&gt;0,(VLOOKUP(A1151,'Discount Lookup'!J:K,2)*G1151),0)))</f>
        <v>0</v>
      </c>
      <c r="AI1151" s="92" t="str">
        <f t="shared" si="2919"/>
        <v/>
      </c>
      <c r="AJ1151" s="828" t="str">
        <f t="shared" si="2892"/>
        <v/>
      </c>
      <c r="AK1151" s="828"/>
      <c r="AL1151" s="313" t="str">
        <f t="shared" si="2808"/>
        <v/>
      </c>
      <c r="AM1151" s="312"/>
      <c r="AN1151" s="101"/>
      <c r="AO1151" s="101"/>
      <c r="AP1151" s="101"/>
      <c r="AQ1151" s="101"/>
      <c r="AR1151" s="101"/>
      <c r="AS1151" s="101"/>
      <c r="AT1151" s="101"/>
    </row>
    <row r="1152" spans="1:46" ht="12.95" customHeight="1">
      <c r="A1152" s="472"/>
      <c r="B1152" s="149" t="s">
        <v>641</v>
      </c>
      <c r="C1152" s="117"/>
      <c r="D1152" s="118"/>
      <c r="E1152" s="119"/>
      <c r="F1152" s="711"/>
      <c r="G1152" s="356"/>
      <c r="H1152" s="745"/>
      <c r="I1152" s="119"/>
      <c r="J1152" s="119"/>
      <c r="K1152" s="609"/>
      <c r="L1152" s="609"/>
      <c r="M1152" s="121"/>
      <c r="N1152" s="122" t="s">
        <v>331</v>
      </c>
      <c r="O1152" s="123"/>
      <c r="P1152" s="124"/>
      <c r="Q1152" s="124"/>
      <c r="R1152" s="83"/>
      <c r="S1152" s="82"/>
      <c r="T1152" s="540"/>
      <c r="U1152" s="83"/>
      <c r="V1152" s="100"/>
      <c r="W1152" s="100"/>
      <c r="X1152" s="100"/>
      <c r="Y1152" s="201"/>
      <c r="Z1152" s="829" t="str">
        <f t="shared" si="2891"/>
        <v/>
      </c>
      <c r="AA1152" s="829"/>
      <c r="AB1152" s="830" t="str">
        <f>IF(G1152=0,"",IF(AD1152="free","re-planting",IF(AD1152="me","not NVP, by",IF($AD$8="yes",(VLOOKUP(A1152,'Discount Lookup'!J:K,2)*G1152*(1-$AC$1786)*(1+$AC$1788)),IF(AD1152="NVP",(VLOOKUP(A1152,'Discount Lookup'!J:K,2)*G1152*(1-$AC$1786)*(1+$AC$1788)),IF(AD1152="free","re-planting",IF(G1152=0,"",IF($AD$8="",IF(AD1152="me","not NVP, by",IF(AD1152="",IF(G1152&gt;0,(VLOOKUP(A1152,'Discount Lookup'!J:K,2)*G1152*(1-$AC$1786)*(1+$AC$1788)),""),"")),"not NVP, by"))))))))</f>
        <v/>
      </c>
      <c r="AC1152" s="830"/>
      <c r="AD1152" s="375" t="str">
        <f t="shared" si="2809"/>
        <v/>
      </c>
      <c r="AE1152" s="833" t="str">
        <f t="shared" si="2810"/>
        <v/>
      </c>
      <c r="AF1152" s="833"/>
      <c r="AG1152" s="833"/>
      <c r="AH1152" s="91">
        <f>IF(AD1152="free",0,IF(AD1152="me",0,IF(G1152&gt;0,(VLOOKUP(A1152,'Discount Lookup'!J:K,2)*G1152),0)))</f>
        <v>0</v>
      </c>
      <c r="AI1152" s="92" t="str">
        <f t="shared" si="2919"/>
        <v/>
      </c>
      <c r="AJ1152" s="828" t="str">
        <f t="shared" si="2892"/>
        <v/>
      </c>
      <c r="AK1152" s="828"/>
      <c r="AL1152" s="313" t="str">
        <f t="shared" si="2808"/>
        <v/>
      </c>
      <c r="AM1152" s="312"/>
      <c r="AN1152" s="101"/>
      <c r="AO1152" s="101"/>
      <c r="AP1152" s="101"/>
      <c r="AQ1152" s="101"/>
      <c r="AR1152" s="101"/>
      <c r="AS1152" s="101"/>
      <c r="AT1152" s="101"/>
    </row>
    <row r="1153" spans="1:46" ht="12.95" customHeight="1">
      <c r="A1153" s="894" t="s">
        <v>642</v>
      </c>
      <c r="B1153" s="895"/>
      <c r="C1153" s="895"/>
      <c r="D1153" s="895"/>
      <c r="E1153" s="895"/>
      <c r="F1153" s="895"/>
      <c r="G1153" s="895"/>
      <c r="H1153" s="775" t="s">
        <v>643</v>
      </c>
      <c r="I1153" s="164" t="s">
        <v>79</v>
      </c>
      <c r="J1153" s="157"/>
      <c r="K1153" s="611" t="s">
        <v>45</v>
      </c>
      <c r="L1153" s="630" t="s">
        <v>46</v>
      </c>
      <c r="M1153" s="157"/>
      <c r="N1153" s="158" t="s">
        <v>98</v>
      </c>
      <c r="O1153" s="158"/>
      <c r="P1153" s="164"/>
      <c r="Q1153" s="164"/>
      <c r="R1153" s="157"/>
      <c r="S1153" s="170"/>
      <c r="T1153" s="547"/>
      <c r="U1153" s="171"/>
      <c r="V1153" s="100" t="b">
        <f>IF(G1153&gt;0,IF(AD1153="me","",G1153))</f>
        <v>0</v>
      </c>
      <c r="W1153" s="100"/>
      <c r="X1153" s="100"/>
      <c r="Y1153" s="201"/>
      <c r="Z1153" s="829" t="str">
        <f t="shared" si="2891"/>
        <v/>
      </c>
      <c r="AA1153" s="829"/>
      <c r="AB1153" s="830" t="str">
        <f>IF(G1153=0,"",IF(AD1153="free","re-planting",IF(AD1153="me","not NVP, by",IF($AD$8="yes",(VLOOKUP(A1153,'Discount Lookup'!J:K,2)*G1153*(1-$AC$1786)*(1+$AC$1788)),IF(AD1153="NVP",(VLOOKUP(A1153,'Discount Lookup'!J:K,2)*G1153*(1-$AC$1786)*(1+$AC$1788)),IF(AD1153="free","re-planting",IF(G1153=0,"",IF($AD$8="",IF(AD1153="me","not NVP, by",IF(AD1153="",IF(G1153&gt;0,(VLOOKUP(A1153,'Discount Lookup'!J:K,2)*G1153*(1-$AC$1786)*(1+$AC$1788)),""),"")),"not NVP, by"))))))))</f>
        <v/>
      </c>
      <c r="AC1153" s="830"/>
      <c r="AD1153" s="375" t="str">
        <f t="shared" si="2809"/>
        <v/>
      </c>
      <c r="AE1153" s="833" t="str">
        <f t="shared" si="2810"/>
        <v/>
      </c>
      <c r="AF1153" s="833"/>
      <c r="AG1153" s="833"/>
      <c r="AH1153" s="91">
        <f>IF(AD1153="free",0,IF(AD1153="me",0,IF(G1153&gt;0,(VLOOKUP(A1153,'Discount Lookup'!J:K,2)*G1153),0)))</f>
        <v>0</v>
      </c>
      <c r="AI1153" s="92" t="str">
        <f t="shared" si="2919"/>
        <v/>
      </c>
      <c r="AJ1153" s="828" t="str">
        <f t="shared" si="2892"/>
        <v/>
      </c>
      <c r="AK1153" s="828"/>
      <c r="AL1153" s="313" t="str">
        <f t="shared" si="2808"/>
        <v/>
      </c>
      <c r="AM1153" s="312"/>
      <c r="AN1153" s="101"/>
      <c r="AO1153" s="101"/>
      <c r="AP1153" s="101"/>
      <c r="AQ1153" s="101"/>
      <c r="AR1153" s="101"/>
      <c r="AS1153" s="101"/>
      <c r="AT1153" s="101"/>
    </row>
    <row r="1154" spans="1:46" ht="12.95" customHeight="1">
      <c r="A1154" s="383">
        <v>7</v>
      </c>
      <c r="B1154" s="158" t="s">
        <v>50</v>
      </c>
      <c r="C1154" s="160" t="s">
        <v>1436</v>
      </c>
      <c r="D1154" s="161" t="s">
        <v>54</v>
      </c>
      <c r="E1154" s="162">
        <v>95.95</v>
      </c>
      <c r="F1154" s="713" t="s">
        <v>1306</v>
      </c>
      <c r="G1154" s="357">
        <v>0</v>
      </c>
      <c r="H1154" s="748" t="str">
        <f t="shared" ref="H1154" si="2937">IF(G1154=0,"",IF(F1154="Qty=",IF(G1154=1,"plant","plants"),IF(F1154&gt;0.0001,"warranty","Error")))</f>
        <v/>
      </c>
      <c r="I1154" s="592">
        <f t="shared" ref="I1154" si="2938">IF(F1154="Qty=",(E1154*G1154),((E1154*(1-F1154))*G1154))</f>
        <v>0</v>
      </c>
      <c r="J1154" s="592">
        <f>IF(H1154="warranty",0,(I1154*($J$1782)))</f>
        <v>0</v>
      </c>
      <c r="K1154" s="834">
        <f t="shared" ref="K1154" si="2939">I1154+J1154</f>
        <v>0</v>
      </c>
      <c r="L1154" s="834"/>
      <c r="M1154" s="832" t="str">
        <f>IF($H$1784=0,"",IF(G1154=0,"",IF(F1154="Qty=",CONCATENATE("$",ROUND(K1154*(1-$H$1784),2)," with ",($H$1784*100),"% discount"),CONCATENATE("$",ROUND(K1154*(1-$H$1784),2)," with ",(($H$1784*100+F1154*100)-($H$1784*100*F1154)),IF(F1154&gt;0,"% discounts",IF($H$1781&gt;0,"% discounts","% discount"))))))</f>
        <v/>
      </c>
      <c r="N1154" s="832"/>
      <c r="O1154" s="832"/>
      <c r="P1154" s="832"/>
      <c r="Q1154" s="832"/>
      <c r="R1154" s="832"/>
      <c r="S1154" s="303">
        <f t="shared" ref="S1154" si="2940">E1154*G1154</f>
        <v>0</v>
      </c>
      <c r="T1154" s="541">
        <f>VLOOKUP(A1154,'Discount Lookup'!D:E,2,FALSE)*G1154</f>
        <v>0</v>
      </c>
      <c r="U1154" s="83">
        <f>VLOOKUP(A1154,'Discount Lookup'!G:H,2,FALSE)*G1154</f>
        <v>0</v>
      </c>
      <c r="V1154" s="100">
        <f>E1154*($J$1782)*G1154</f>
        <v>0</v>
      </c>
      <c r="W1154" s="100">
        <f t="shared" ref="W1154" si="2941">I1154</f>
        <v>0</v>
      </c>
      <c r="X1154" s="100" t="b">
        <f>IF(G1154&gt;0,IF(AD1154="me","",G1154))</f>
        <v>0</v>
      </c>
      <c r="Y1154" s="201"/>
      <c r="Z1154" s="829" t="str">
        <f t="shared" si="2891"/>
        <v/>
      </c>
      <c r="AA1154" s="829"/>
      <c r="AB1154" s="830" t="str">
        <f>IF(G1154=0,"",IF(AD1154="free","re-planting",IF(AD1154="me","not NVP, by",IF($AD$8="yes",(VLOOKUP(A1154,'Discount Lookup'!J:K,2)*G1154*(1-$AC$1786)*(1+$AC$1788)),IF(AD1154="NVP",(VLOOKUP(A1154,'Discount Lookup'!J:K,2)*G1154*(1-$AC$1786)*(1+$AC$1788)),IF(AD1154="free","re-planting",IF(G1154=0,"",IF($AD$8="",IF(AD1154="me","not NVP, by",IF(AD1154="",IF(G1154&gt;0,(VLOOKUP(A1154,'Discount Lookup'!J:K,2)*G1154*(1-$AC$1786)*(1+$AC$1788)),""),"")),"not NVP, by"))))))))</f>
        <v/>
      </c>
      <c r="AC1154" s="830"/>
      <c r="AD1154" s="375" t="str">
        <f t="shared" si="2809"/>
        <v/>
      </c>
      <c r="AE1154" s="833" t="str">
        <f t="shared" si="2810"/>
        <v/>
      </c>
      <c r="AF1154" s="833"/>
      <c r="AG1154" s="833"/>
      <c r="AH1154" s="91">
        <f>IF(AD1154="free",0,IF(AD1154="me",0,IF(G1154&gt;0,(VLOOKUP(A1154,'Discount Lookup'!J:K,2)*G1154),0)))</f>
        <v>0</v>
      </c>
      <c r="AI1154" s="92" t="str">
        <f t="shared" si="2919"/>
        <v/>
      </c>
      <c r="AJ1154" s="828" t="str">
        <f t="shared" si="2892"/>
        <v/>
      </c>
      <c r="AK1154" s="828"/>
      <c r="AL1154" s="313" t="str">
        <f t="shared" si="2808"/>
        <v/>
      </c>
      <c r="AM1154" s="312"/>
      <c r="AN1154" s="101"/>
      <c r="AO1154" s="101"/>
      <c r="AP1154" s="101"/>
      <c r="AQ1154" s="101"/>
      <c r="AR1154" s="101"/>
      <c r="AS1154" s="101"/>
      <c r="AT1154" s="101"/>
    </row>
    <row r="1155" spans="1:46" ht="12.75" customHeight="1">
      <c r="A1155" s="472"/>
      <c r="B1155" s="149" t="s">
        <v>644</v>
      </c>
      <c r="C1155" s="117"/>
      <c r="D1155" s="118"/>
      <c r="E1155" s="119"/>
      <c r="F1155" s="711"/>
      <c r="G1155" s="356"/>
      <c r="H1155" s="745"/>
      <c r="I1155" s="119"/>
      <c r="J1155" s="119"/>
      <c r="K1155" s="609"/>
      <c r="M1155" s="121"/>
      <c r="N1155" s="122" t="s">
        <v>645</v>
      </c>
      <c r="O1155" s="123"/>
      <c r="P1155" s="124"/>
      <c r="Y1155" s="132"/>
      <c r="Z1155" s="829" t="str">
        <f t="shared" si="2891"/>
        <v/>
      </c>
      <c r="AA1155" s="829"/>
      <c r="AB1155" s="830" t="str">
        <f>IF(G1155=0,"",IF(AD1155="free","re-planting",IF(AD1155="me","not NVP, by",IF($AD$8="yes",(VLOOKUP(A1155,'Discount Lookup'!J:K,2)*G1155*(1-$AC$1786)*(1+$AC$1788)),IF(AD1155="NVP",(VLOOKUP(A1155,'Discount Lookup'!J:K,2)*G1155*(1-$AC$1786)*(1+$AC$1788)),IF(AD1155="free","re-planting",IF(G1155=0,"",IF($AD$8="",IF(AD1155="me","not NVP, by",IF(AD1155="",IF(G1155&gt;0,(VLOOKUP(A1155,'Discount Lookup'!J:K,2)*G1155*(1-$AC$1786)*(1+$AC$1788)),""),"")),"not NVP, by"))))))))</f>
        <v/>
      </c>
      <c r="AC1155" s="830"/>
      <c r="AD1155" s="375" t="str">
        <f t="shared" si="2809"/>
        <v/>
      </c>
      <c r="AE1155" s="833" t="str">
        <f t="shared" si="2810"/>
        <v/>
      </c>
      <c r="AF1155" s="833"/>
      <c r="AG1155" s="833"/>
      <c r="AH1155" s="91">
        <f>IF(AD1155="free",0,IF(AD1155="me",0,IF(G1155&gt;0,(VLOOKUP(A1155,'Discount Lookup'!J:K,2)*G1155),0)))</f>
        <v>0</v>
      </c>
      <c r="AI1155" s="92" t="str">
        <f t="shared" si="2919"/>
        <v/>
      </c>
      <c r="AJ1155" s="828" t="str">
        <f t="shared" si="2892"/>
        <v/>
      </c>
      <c r="AK1155" s="828"/>
      <c r="AL1155" s="313" t="str">
        <f t="shared" si="2808"/>
        <v/>
      </c>
      <c r="AM1155" s="312"/>
      <c r="AN1155" s="101"/>
      <c r="AO1155" s="101"/>
      <c r="AP1155" s="101"/>
      <c r="AQ1155" s="101"/>
      <c r="AR1155" s="101"/>
      <c r="AS1155" s="101"/>
      <c r="AT1155" s="101"/>
    </row>
    <row r="1156" spans="1:46" ht="13.5" customHeight="1">
      <c r="A1156" s="836" t="s">
        <v>1247</v>
      </c>
      <c r="B1156" s="837"/>
      <c r="C1156" s="837"/>
      <c r="D1156" s="837"/>
      <c r="E1156" s="837"/>
      <c r="F1156" s="837"/>
      <c r="G1156" s="837"/>
      <c r="H1156" s="775" t="s">
        <v>649</v>
      </c>
      <c r="I1156" s="164" t="s">
        <v>788</v>
      </c>
      <c r="J1156" s="157"/>
      <c r="K1156" s="611" t="s">
        <v>45</v>
      </c>
      <c r="L1156" s="630" t="s">
        <v>46</v>
      </c>
      <c r="M1156" s="157"/>
      <c r="N1156" s="158" t="s">
        <v>69</v>
      </c>
      <c r="O1156" s="158"/>
      <c r="P1156" s="164"/>
      <c r="Q1156" s="164"/>
      <c r="R1156" s="835" t="s">
        <v>49</v>
      </c>
      <c r="S1156" s="835"/>
      <c r="T1156" s="835"/>
      <c r="U1156" s="835"/>
      <c r="V1156" s="100" t="b">
        <f>IF(G1156&gt;0,IF(AD1156="me","",G1156))</f>
        <v>0</v>
      </c>
      <c r="W1156" s="100"/>
      <c r="X1156" s="100"/>
      <c r="Y1156" s="201"/>
      <c r="Z1156" s="829" t="str">
        <f>IF(G1156=0,"",IF(AD1156="me","",IF($AD$8="me","",IF(AD1156="free","warranty",IF($AD$8="yes","NVP planting:","to NVP install:")))))</f>
        <v/>
      </c>
      <c r="AA1156" s="829"/>
      <c r="AB1156" s="830" t="str">
        <f>IF(G1156=0,"",IF(AD1156="free","re-planting",IF(AD1156="me","not NVP, by",IF($AD$8="yes",(VLOOKUP(A1156,'Discount Lookup'!J:K,2)*G1156*(1-#REF!)*(1+$AC$1788)),IF(AD1156="NVP",(VLOOKUP(A1156,'Discount Lookup'!J:K,2)*G1156*(1-#REF!)*(1+$AC$1788)),IF(AD1156="free","re-planting",IF(G1156=0,"",IF($AD$8="",IF(AD1156="me","not NVP, by",IF(AD1156="",IF(G1156&gt;0,(VLOOKUP(A1156,'Discount Lookup'!J:K,2)*G1156*(1-#REF!)*(1+$AC$1788)),""),"")),"not NVP, by"))))))))</f>
        <v/>
      </c>
      <c r="AC1156" s="830"/>
      <c r="AD1156" s="375" t="str">
        <f t="shared" si="2809"/>
        <v/>
      </c>
      <c r="AE1156" s="833" t="str">
        <f>IF(G1156&gt;0,(CONCATENATE((G1156)," quantity, ",(A1156)," ",B1156)),"")</f>
        <v/>
      </c>
      <c r="AF1156" s="833"/>
      <c r="AG1156" s="833"/>
      <c r="AH1156" s="91">
        <f>IF(AD1156="free",0,IF(AD1156="me",0,IF(G1156&gt;0,(VLOOKUP(A1156,'Discount Lookup'!J:K,2)*G1156),0)))</f>
        <v>0</v>
      </c>
      <c r="AI1156" s="92" t="str">
        <f t="shared" si="2919"/>
        <v/>
      </c>
      <c r="AJ1156" s="828" t="str">
        <f>IF(G1156=0,"",IF(AD1156="me","  delivery-only",CONCATENATE(" $",ROUND(AI1156/G1156,2)," each")))</f>
        <v/>
      </c>
      <c r="AK1156" s="828"/>
      <c r="AL1156" s="313" t="str">
        <f t="shared" si="2808"/>
        <v/>
      </c>
      <c r="AM1156" s="312"/>
      <c r="AN1156" s="101"/>
      <c r="AO1156" s="101"/>
      <c r="AP1156" s="101"/>
      <c r="AQ1156" s="101"/>
      <c r="AR1156" s="101"/>
      <c r="AS1156" s="101"/>
      <c r="AT1156" s="101"/>
    </row>
    <row r="1157" spans="1:46" ht="12.95" customHeight="1">
      <c r="A1157" s="383">
        <v>3</v>
      </c>
      <c r="B1157" s="158" t="s">
        <v>50</v>
      </c>
      <c r="C1157" s="168" t="s">
        <v>102</v>
      </c>
      <c r="D1157" s="161" t="s">
        <v>86</v>
      </c>
      <c r="E1157" s="162">
        <v>24.95</v>
      </c>
      <c r="F1157" s="713" t="s">
        <v>1306</v>
      </c>
      <c r="G1157" s="357">
        <v>0</v>
      </c>
      <c r="H1157" s="748" t="str">
        <f t="shared" ref="H1157" si="2942">IF(G1157=0,"",IF(F1157="Qty=",IF(G1157=1,"plant","plants"),IF(F1157&gt;0.0001,"warranty","Error")))</f>
        <v/>
      </c>
      <c r="I1157" s="592">
        <f t="shared" ref="I1157" si="2943">IF(F1157="Qty=",(E1157*G1157),((E1157*(1-F1157))*G1157))</f>
        <v>0</v>
      </c>
      <c r="J1157" s="592">
        <f>IF(H1157="warranty",0,(I1157*($J$1782)))</f>
        <v>0</v>
      </c>
      <c r="K1157" s="834">
        <f t="shared" ref="K1157:K1158" si="2944">I1157+J1157</f>
        <v>0</v>
      </c>
      <c r="L1157" s="834"/>
      <c r="M1157" s="832" t="str">
        <f>IF($H$1784=0,"",IF(G1157=0,"",IF(F1157="Qty=",CONCATENATE("$",ROUND(K1157*(1-$H$1784),2)," with ",($H$1784*100),"% discount"),CONCATENATE("$",ROUND(K1157*(1-$H$1784),2)," with ",(($H$1784*100+F1157*100)-($H$1784*100*F1157)),IF(F1157&gt;0,"% discounts",IF($H$1781&gt;0,"% discounts","% discount"))))))</f>
        <v/>
      </c>
      <c r="N1157" s="832"/>
      <c r="O1157" s="832"/>
      <c r="P1157" s="832"/>
      <c r="Q1157" s="832"/>
      <c r="R1157" s="832"/>
      <c r="S1157" s="303">
        <f t="shared" ref="S1157" si="2945">E1157*G1157</f>
        <v>0</v>
      </c>
      <c r="T1157" s="541">
        <f>VLOOKUP(A1157,'Discount Lookup'!D:E,2,FALSE)*G1157</f>
        <v>0</v>
      </c>
      <c r="U1157" s="83">
        <f>VLOOKUP(A1157,'Discount Lookup'!G:H,2,FALSE)*G1157</f>
        <v>0</v>
      </c>
      <c r="V1157" s="100">
        <f>E1157*($J$1782)*G1157</f>
        <v>0</v>
      </c>
      <c r="W1157" s="100">
        <f t="shared" ref="W1157" si="2946">I1157</f>
        <v>0</v>
      </c>
      <c r="X1157" s="100" t="b">
        <f>IF(G1157&gt;0,IF(AD1157="me","",G1157))</f>
        <v>0</v>
      </c>
      <c r="Y1157" s="201"/>
      <c r="Z1157" s="829" t="str">
        <f t="shared" ref="Z1157" si="2947">IF(G1157=0,"",IF(AD1157="me","",IF($AD$8="me","",IF(AD1157="free","warranty",IF($AD$8="yes","NVP planting:","to NVP install:")))))</f>
        <v/>
      </c>
      <c r="AA1157" s="829"/>
      <c r="AB1157" s="830" t="str">
        <f>IF(G1157=0,"",IF(AD1157="free","re-planting",IF(AD1157="me","not NVP, by",IF($AD$8="yes",(VLOOKUP(A1157,'Discount Lookup'!J:K,2)*G1157*(1-$AC$1786)*(1+$AC$1788)),IF(AD1157="NVP",(VLOOKUP(A1157,'Discount Lookup'!J:K,2)*G1157*(1-$AC$1786)*(1+$AC$1788)),IF(AD1157="free","re-planting",IF(G1157=0,"",IF($AD$8="",IF(AD1157="me","not NVP, by",IF(AD1157="",IF(G1157&gt;0,(VLOOKUP(A1157,'Discount Lookup'!J:K,2)*G1157*(1-$AC$1786)*(1+$AC$1788)),""),"")),"not NVP, by"))))))))</f>
        <v/>
      </c>
      <c r="AC1157" s="830"/>
      <c r="AD1157" s="375" t="str">
        <f t="shared" si="2809"/>
        <v/>
      </c>
      <c r="AE1157" s="833" t="str">
        <f t="shared" ref="AE1157" si="2948">IF(G1157&gt;0,(CONCATENATE((G1157)," quantity, ",(A1157)," ",B1157)),"")</f>
        <v/>
      </c>
      <c r="AF1157" s="833"/>
      <c r="AG1157" s="833"/>
      <c r="AH1157" s="91">
        <f>IF(AD1157="free",0,IF(AD1157="me",0,IF(G1157&gt;0,(VLOOKUP(A1157,'Discount Lookup'!J:K,2)*G1157),0)))</f>
        <v>0</v>
      </c>
      <c r="AI1157" s="92" t="str">
        <f t="shared" si="2919"/>
        <v/>
      </c>
      <c r="AJ1157" s="828" t="str">
        <f t="shared" ref="AJ1157" si="2949">IF(G1157=0,"",IF(AD1157="me","  delivery-only",IF($AD$8="me","  delivery-only",CONCATENATE(" $",ROUND(AI1157/G1157,2)," each"))))</f>
        <v/>
      </c>
      <c r="AK1157" s="828"/>
      <c r="AL1157" s="313" t="str">
        <f t="shared" si="2808"/>
        <v/>
      </c>
      <c r="AM1157" s="312"/>
      <c r="AN1157" s="101"/>
      <c r="AO1157" s="101"/>
      <c r="AP1157" s="101"/>
      <c r="AQ1157" s="101"/>
      <c r="AR1157" s="101"/>
      <c r="AS1157" s="101"/>
      <c r="AT1157" s="101"/>
    </row>
    <row r="1158" spans="1:46" ht="13.5" customHeight="1">
      <c r="A1158" s="383">
        <v>3</v>
      </c>
      <c r="B1158" s="158" t="s">
        <v>50</v>
      </c>
      <c r="C1158" s="168" t="s">
        <v>556</v>
      </c>
      <c r="D1158" s="161" t="s">
        <v>87</v>
      </c>
      <c r="E1158" s="162">
        <v>28.95</v>
      </c>
      <c r="F1158" s="713" t="s">
        <v>1306</v>
      </c>
      <c r="G1158" s="357">
        <v>0</v>
      </c>
      <c r="H1158" s="748" t="str">
        <f t="shared" ref="H1158" si="2950">IF(G1158=0,"",IF(F1158="Qty=",IF(G1158=1,"plant","plants"),IF(F1158&gt;0.0001,"warranty","Error")))</f>
        <v/>
      </c>
      <c r="I1158" s="592">
        <f t="shared" ref="I1158" si="2951">IF(F1158="Qty=",(E1158*G1158),((E1158*(1-F1158))*G1158))</f>
        <v>0</v>
      </c>
      <c r="J1158" s="592">
        <f>IF(H1158="warranty",0,(I1158*($J$1782)))</f>
        <v>0</v>
      </c>
      <c r="K1158" s="834">
        <f t="shared" si="2944"/>
        <v>0</v>
      </c>
      <c r="L1158" s="834"/>
      <c r="M1158" s="832" t="str">
        <f>IF($H$1784=0,"",IF(G1158=0,"",IF(F1158="Qty=",CONCATENATE("$",ROUND(K1158*(1-$H$1784),2)," with ",($H$1784*100),"% discount"),CONCATENATE("$",ROUND(K1158*(1-$H$1784),2)," with ",(($H$1784*100+F1158*100)-($H$1784*100*F1158)),IF(F1158&gt;0,"% discounts",IF($H$1781&gt;0,"% discounts","% discount"))))))</f>
        <v/>
      </c>
      <c r="N1158" s="832"/>
      <c r="O1158" s="832"/>
      <c r="P1158" s="832"/>
      <c r="Q1158" s="832"/>
      <c r="R1158" s="832"/>
      <c r="S1158" s="303">
        <f t="shared" ref="S1158" si="2952">E1158*G1158</f>
        <v>0</v>
      </c>
      <c r="T1158" s="541">
        <f>VLOOKUP(A1158,'Discount Lookup'!D:E,2,FALSE)*G1158</f>
        <v>0</v>
      </c>
      <c r="U1158" s="83">
        <f>VLOOKUP(A1158,'Discount Lookup'!G:H,2,FALSE)*G1158</f>
        <v>0</v>
      </c>
      <c r="V1158" s="100">
        <f>E1158*($J$1782)*G1158</f>
        <v>0</v>
      </c>
      <c r="W1158" s="100">
        <f t="shared" ref="W1158" si="2953">I1158</f>
        <v>0</v>
      </c>
      <c r="X1158" s="100" t="b">
        <f>IF(G1158&gt;0,IF(AD1158="me","",G1158))</f>
        <v>0</v>
      </c>
      <c r="Y1158" s="201"/>
      <c r="Z1158" s="829" t="str">
        <f t="shared" ref="Z1158" si="2954">IF(G1158=0,"",IF(AD1158="me","",IF($AD$8="me","",IF(AD1158="free","warranty",IF($AD$8="yes","NVP planting:","to NVP install:")))))</f>
        <v/>
      </c>
      <c r="AA1158" s="829"/>
      <c r="AB1158" s="830" t="str">
        <f>IF(G1158=0,"",IF(AD1158="free","re-planting",IF(AD1158="me","not NVP, by",IF($AD$8="yes",(VLOOKUP(A1158,'Discount Lookup'!J:K,2)*G1158*(1-$AC$1786)*(1+$AC$1788)),IF(AD1158="NVP",(VLOOKUP(A1158,'Discount Lookup'!J:K,2)*G1158*(1-$AC$1786)*(1+$AC$1788)),IF(AD1158="free","re-planting",IF(G1158=0,"",IF($AD$8="",IF(AD1158="me","not NVP, by",IF(AD1158="",IF(G1158&gt;0,(VLOOKUP(A1158,'Discount Lookup'!J:K,2)*G1158*(1-$AC$1786)*(1+$AC$1788)),""),"")),"not NVP, by"))))))))</f>
        <v/>
      </c>
      <c r="AC1158" s="830"/>
      <c r="AD1158" s="375" t="str">
        <f t="shared" si="2809"/>
        <v/>
      </c>
      <c r="AE1158" s="833" t="str">
        <f t="shared" ref="AE1158" si="2955">IF(G1158&gt;0,(CONCATENATE((G1158)," quantity, ",(A1158)," ",B1158)),"")</f>
        <v/>
      </c>
      <c r="AF1158" s="833"/>
      <c r="AG1158" s="833"/>
      <c r="AH1158" s="91">
        <f>IF(AD1158="free",0,IF(AD1158="me",0,IF(G1158&gt;0,(VLOOKUP(A1158,'Discount Lookup'!J:K,2)*G1158),0)))</f>
        <v>0</v>
      </c>
      <c r="AI1158" s="92" t="str">
        <f t="shared" si="2919"/>
        <v/>
      </c>
      <c r="AJ1158" s="828" t="str">
        <f t="shared" ref="AJ1158" si="2956">IF(G1158=0,"",IF(AD1158="me","  delivery-only",IF($AD$8="me","  delivery-only",CONCATENATE(" $",ROUND(AI1158/G1158,2)," each"))))</f>
        <v/>
      </c>
      <c r="AK1158" s="828"/>
      <c r="AL1158" s="313" t="str">
        <f t="shared" si="2808"/>
        <v/>
      </c>
      <c r="AM1158" s="312"/>
      <c r="AN1158" s="101"/>
      <c r="AO1158" s="101"/>
      <c r="AP1158" s="101"/>
      <c r="AQ1158" s="101"/>
      <c r="AR1158" s="101"/>
      <c r="AS1158" s="101"/>
      <c r="AT1158" s="101"/>
    </row>
    <row r="1159" spans="1:46" ht="13.5" customHeight="1">
      <c r="A1159" s="481"/>
      <c r="B1159" s="149" t="s">
        <v>1249</v>
      </c>
      <c r="G1159" s="359"/>
      <c r="H1159" s="746"/>
      <c r="L1159" s="609"/>
      <c r="M1159" s="121"/>
      <c r="N1159" s="122" t="s">
        <v>650</v>
      </c>
      <c r="O1159" s="123"/>
      <c r="P1159" s="124"/>
      <c r="Y1159" s="132"/>
      <c r="Z1159" s="829" t="str">
        <f>IF(G1159=0,"",IF(AD1159="me","",IF($AD$8="me","",IF(AD1159="free","warranty",IF($AD$8="yes","NVP planting:","to NVP install:")))))</f>
        <v/>
      </c>
      <c r="AA1159" s="829"/>
      <c r="AB1159" s="830" t="str">
        <f>IF(G1159=0,"",IF(AD1159="free","re-planting",IF(AD1159="me","not NVP, by",IF($AD$8="yes",(VLOOKUP(A1159,'Discount Lookup'!J:K,2)*G1159*(1-#REF!)*(1+$AC$1788)),IF(AD1159="NVP",(VLOOKUP(A1159,'Discount Lookup'!J:K,2)*G1159*(1-#REF!)*(1+$AC$1788)),IF(AD1159="free","re-planting",IF(G1159=0,"",IF($AD$8="",IF(AD1159="me","not NVP, by",IF(AD1159="",IF(G1159&gt;0,(VLOOKUP(A1159,'Discount Lookup'!J:K,2)*G1159*(1-#REF!)*(1+$AC$1788)),""),"")),"not NVP, by"))))))))</f>
        <v/>
      </c>
      <c r="AC1159" s="830"/>
      <c r="AD1159" s="375" t="str">
        <f t="shared" si="2809"/>
        <v/>
      </c>
      <c r="AE1159" s="833" t="str">
        <f>IF(G1159&gt;0,(CONCATENATE((G1159)," quantity, ",(A1159)," ",B1159)),"")</f>
        <v/>
      </c>
      <c r="AF1159" s="833"/>
      <c r="AG1159" s="833"/>
      <c r="AH1159" s="91">
        <f>IF(AD1159="free",0,IF(AD1159="me",0,IF(G1159&gt;0,(VLOOKUP(A1159,'Discount Lookup'!J:K,2)*G1159),0)))</f>
        <v>0</v>
      </c>
      <c r="AI1159" s="92" t="str">
        <f t="shared" si="2919"/>
        <v/>
      </c>
      <c r="AJ1159" s="828" t="str">
        <f>IF(G1159=0,"",IF(AD1159="me","  delivery-only",CONCATENATE(" $",ROUND(AI1159/G1159,2)," each")))</f>
        <v/>
      </c>
      <c r="AK1159" s="828"/>
      <c r="AL1159" s="313" t="str">
        <f t="shared" si="2808"/>
        <v/>
      </c>
      <c r="AM1159" s="312"/>
      <c r="AN1159" s="101"/>
      <c r="AO1159" s="101"/>
      <c r="AP1159" s="101"/>
      <c r="AQ1159" s="101"/>
      <c r="AR1159" s="101"/>
      <c r="AS1159" s="101"/>
      <c r="AT1159" s="101"/>
    </row>
    <row r="1160" spans="1:46" ht="12.95" customHeight="1">
      <c r="A1160" s="836" t="s">
        <v>646</v>
      </c>
      <c r="B1160" s="837"/>
      <c r="C1160" s="837"/>
      <c r="D1160" s="837"/>
      <c r="E1160" s="837"/>
      <c r="F1160" s="837"/>
      <c r="G1160" s="837"/>
      <c r="H1160" s="775" t="s">
        <v>647</v>
      </c>
      <c r="I1160" s="164" t="s">
        <v>79</v>
      </c>
      <c r="J1160" s="157"/>
      <c r="K1160" s="611" t="s">
        <v>45</v>
      </c>
      <c r="L1160" s="630" t="s">
        <v>46</v>
      </c>
      <c r="M1160" s="157"/>
      <c r="N1160" s="158" t="s">
        <v>98</v>
      </c>
      <c r="O1160" s="158"/>
      <c r="P1160" s="164"/>
      <c r="Q1160" s="164"/>
      <c r="R1160" s="835" t="s">
        <v>49</v>
      </c>
      <c r="S1160" s="835"/>
      <c r="T1160" s="835"/>
      <c r="U1160" s="835"/>
      <c r="V1160" s="100" t="b">
        <f>IF(G1160&gt;0,IF(AD1160="me","",G1160))</f>
        <v>0</v>
      </c>
      <c r="W1160" s="100"/>
      <c r="X1160" s="100"/>
      <c r="Y1160" s="201"/>
      <c r="Z1160" s="829" t="str">
        <f t="shared" si="2891"/>
        <v/>
      </c>
      <c r="AA1160" s="829"/>
      <c r="AB1160" s="830" t="str">
        <f>IF(G1160=0,"",IF(AD1160="free","re-planting",IF(AD1160="me","not NVP, by",IF($AD$8="yes",(VLOOKUP(A1160,'Discount Lookup'!J:K,2)*G1160*(1-$AC$1786)*(1+$AC$1788)),IF(AD1160="NVP",(VLOOKUP(A1160,'Discount Lookup'!J:K,2)*G1160*(1-$AC$1786)*(1+$AC$1788)),IF(AD1160="free","re-planting",IF(G1160=0,"",IF($AD$8="",IF(AD1160="me","not NVP, by",IF(AD1160="",IF(G1160&gt;0,(VLOOKUP(A1160,'Discount Lookup'!J:K,2)*G1160*(1-$AC$1786)*(1+$AC$1788)),""),"")),"not NVP, by"))))))))</f>
        <v/>
      </c>
      <c r="AC1160" s="830"/>
      <c r="AD1160" s="375" t="str">
        <f t="shared" si="2809"/>
        <v/>
      </c>
      <c r="AE1160" s="833" t="str">
        <f t="shared" si="2810"/>
        <v/>
      </c>
      <c r="AF1160" s="833"/>
      <c r="AG1160" s="833"/>
      <c r="AH1160" s="91">
        <f>IF(AD1160="free",0,IF(AD1160="me",0,IF(G1160&gt;0,(VLOOKUP(A1160,'Discount Lookup'!J:K,2)*G1160),0)))</f>
        <v>0</v>
      </c>
      <c r="AI1160" s="92" t="str">
        <f t="shared" si="2919"/>
        <v/>
      </c>
      <c r="AJ1160" s="828" t="str">
        <f t="shared" si="2892"/>
        <v/>
      </c>
      <c r="AK1160" s="828"/>
      <c r="AL1160" s="313" t="str">
        <f t="shared" si="2808"/>
        <v/>
      </c>
      <c r="AM1160" s="312"/>
      <c r="AN1160" s="101"/>
      <c r="AO1160" s="101"/>
      <c r="AP1160" s="101"/>
      <c r="AQ1160" s="101"/>
      <c r="AR1160" s="101"/>
      <c r="AS1160" s="101"/>
      <c r="AT1160" s="101"/>
    </row>
    <row r="1161" spans="1:46" ht="12.95" customHeight="1">
      <c r="A1161" s="383">
        <v>3</v>
      </c>
      <c r="B1161" s="158" t="s">
        <v>50</v>
      </c>
      <c r="C1161" s="168" t="s">
        <v>552</v>
      </c>
      <c r="D1161" s="161" t="s">
        <v>87</v>
      </c>
      <c r="E1161" s="162">
        <v>49.95</v>
      </c>
      <c r="F1161" s="713" t="s">
        <v>1306</v>
      </c>
      <c r="G1161" s="357">
        <v>0</v>
      </c>
      <c r="H1161" s="748" t="str">
        <f t="shared" ref="H1161:H1162" si="2957">IF(G1161=0,"",IF(F1161="Qty=",IF(G1161=1,"plant","plants"),IF(F1161&gt;0.0001,"warranty","Error")))</f>
        <v/>
      </c>
      <c r="I1161" s="592">
        <f t="shared" ref="I1161:I1162" si="2958">IF(F1161="Qty=",(E1161*G1161),((E1161*(1-F1161))*G1161))</f>
        <v>0</v>
      </c>
      <c r="J1161" s="592">
        <f>IF(H1161="warranty",0,(I1161*($J$1782)))</f>
        <v>0</v>
      </c>
      <c r="K1161" s="834">
        <f t="shared" ref="K1161:K1162" si="2959">I1161+J1161</f>
        <v>0</v>
      </c>
      <c r="L1161" s="834"/>
      <c r="M1161" s="832" t="str">
        <f>IF($H$1784=0,"",IF(G1161=0,"",IF(F1161="Qty=",CONCATENATE("$",ROUND(K1161*(1-$H$1784),2)," with ",($H$1784*100),"% discount"),CONCATENATE("$",ROUND(K1161*(1-$H$1784),2)," with ",(($H$1784*100+F1161*100)-($H$1784*100*F1161)),IF(F1161&gt;0,"% discounts",IF($H$1781&gt;0,"% discounts","% discount"))))))</f>
        <v/>
      </c>
      <c r="N1161" s="832"/>
      <c r="O1161" s="832"/>
      <c r="P1161" s="832"/>
      <c r="Q1161" s="832"/>
      <c r="R1161" s="832"/>
      <c r="S1161" s="303">
        <f t="shared" ref="S1161:S1162" si="2960">E1161*G1161</f>
        <v>0</v>
      </c>
      <c r="T1161" s="541">
        <f>VLOOKUP(A1161,'Discount Lookup'!D:E,2,FALSE)*G1161</f>
        <v>0</v>
      </c>
      <c r="U1161" s="83">
        <f>VLOOKUP(A1161,'Discount Lookup'!G:H,2,FALSE)*G1161</f>
        <v>0</v>
      </c>
      <c r="V1161" s="100">
        <f>E1161*($J$1782)*G1161</f>
        <v>0</v>
      </c>
      <c r="W1161" s="100">
        <f t="shared" ref="W1161:W1162" si="2961">I1161</f>
        <v>0</v>
      </c>
      <c r="X1161" s="100" t="b">
        <f t="shared" ref="X1161:X1162" si="2962">IF(G1161&gt;0,IF(AD1161="me","",G1161))</f>
        <v>0</v>
      </c>
      <c r="Y1161" s="201"/>
      <c r="Z1161" s="829" t="str">
        <f t="shared" ref="Z1161:Z1162" si="2963">IF(G1161=0,"",IF(AD1161="me","",IF($AD$8="me","",IF(AD1161="free","warranty",IF($AD$8="yes","NVP planting:","to NVP install:")))))</f>
        <v/>
      </c>
      <c r="AA1161" s="829"/>
      <c r="AB1161" s="830" t="str">
        <f>IF(G1161=0,"",IF(AD1161="free","re-planting",IF(AD1161="me","not NVP, by",IF($AD$8="yes",(VLOOKUP(A1161,'Discount Lookup'!J:K,2)*G1161*(1-$AC$1786)*(1+$AC$1788)),IF(AD1161="NVP",(VLOOKUP(A1161,'Discount Lookup'!J:K,2)*G1161*(1-$AC$1786)*(1+$AC$1788)),IF(AD1161="free","re-planting",IF(G1161=0,"",IF($AD$8="",IF(AD1161="me","not NVP, by",IF(AD1161="",IF(G1161&gt;0,(VLOOKUP(A1161,'Discount Lookup'!J:K,2)*G1161*(1-$AC$1786)*(1+$AC$1788)),""),"")),"not NVP, by"))))))))</f>
        <v/>
      </c>
      <c r="AC1161" s="830"/>
      <c r="AD1161" s="375" t="str">
        <f t="shared" si="2809"/>
        <v/>
      </c>
      <c r="AE1161" s="833" t="str">
        <f t="shared" ref="AE1161:AE1162" si="2964">IF(G1161&gt;0,(CONCATENATE((G1161)," quantity, ",(A1161)," ",B1161)),"")</f>
        <v/>
      </c>
      <c r="AF1161" s="833"/>
      <c r="AG1161" s="833"/>
      <c r="AH1161" s="91">
        <f>IF(AD1161="free",0,IF(AD1161="me",0,IF(G1161&gt;0,(VLOOKUP(A1161,'Discount Lookup'!J:K,2)*G1161),0)))</f>
        <v>0</v>
      </c>
      <c r="AI1161" s="92" t="str">
        <f t="shared" si="2919"/>
        <v/>
      </c>
      <c r="AJ1161" s="828" t="str">
        <f t="shared" ref="AJ1161:AJ1162" si="2965">IF(G1161=0,"",IF(AD1161="me","  delivery-only",IF($AD$8="me","  delivery-only",CONCATENATE(" $",ROUND(AI1161/G1161,2)," each"))))</f>
        <v/>
      </c>
      <c r="AK1161" s="828"/>
      <c r="AL1161" s="313" t="str">
        <f t="shared" si="2808"/>
        <v/>
      </c>
      <c r="AM1161" s="312"/>
      <c r="AN1161" s="101"/>
      <c r="AO1161" s="101"/>
      <c r="AP1161" s="101"/>
      <c r="AQ1161" s="101"/>
      <c r="AR1161" s="101"/>
      <c r="AS1161" s="101"/>
      <c r="AT1161" s="101"/>
    </row>
    <row r="1162" spans="1:46" ht="12.95" customHeight="1">
      <c r="A1162" s="383">
        <v>3</v>
      </c>
      <c r="B1162" s="158" t="s">
        <v>50</v>
      </c>
      <c r="C1162" s="168" t="s">
        <v>102</v>
      </c>
      <c r="D1162" s="161" t="s">
        <v>54</v>
      </c>
      <c r="E1162" s="162">
        <v>56.95</v>
      </c>
      <c r="F1162" s="713" t="s">
        <v>1306</v>
      </c>
      <c r="G1162" s="357">
        <v>0</v>
      </c>
      <c r="H1162" s="748" t="str">
        <f t="shared" si="2957"/>
        <v/>
      </c>
      <c r="I1162" s="592">
        <f t="shared" si="2958"/>
        <v>0</v>
      </c>
      <c r="J1162" s="592">
        <f>IF(H1162="warranty",0,(I1162*($J$1782)))</f>
        <v>0</v>
      </c>
      <c r="K1162" s="834">
        <f t="shared" si="2959"/>
        <v>0</v>
      </c>
      <c r="L1162" s="834"/>
      <c r="M1162" s="832" t="str">
        <f>IF($H$1784=0,"",IF(G1162=0,"",IF(F1162="Qty=",CONCATENATE("$",ROUND(K1162*(1-$H$1784),2)," with ",($H$1784*100),"% discount"),CONCATENATE("$",ROUND(K1162*(1-$H$1784),2)," with ",(($H$1784*100+F1162*100)-($H$1784*100*F1162)),IF(F1162&gt;0,"% discounts",IF($H$1781&gt;0,"% discounts","% discount"))))))</f>
        <v/>
      </c>
      <c r="N1162" s="832"/>
      <c r="O1162" s="832"/>
      <c r="P1162" s="832"/>
      <c r="Q1162" s="832"/>
      <c r="R1162" s="832"/>
      <c r="S1162" s="303">
        <f t="shared" si="2960"/>
        <v>0</v>
      </c>
      <c r="T1162" s="541">
        <f>VLOOKUP(A1162,'Discount Lookup'!D:E,2,FALSE)*G1162</f>
        <v>0</v>
      </c>
      <c r="U1162" s="83">
        <f>VLOOKUP(A1162,'Discount Lookup'!G:H,2,FALSE)*G1162</f>
        <v>0</v>
      </c>
      <c r="V1162" s="100">
        <f>E1162*($J$1782)*G1162</f>
        <v>0</v>
      </c>
      <c r="W1162" s="100">
        <f t="shared" si="2961"/>
        <v>0</v>
      </c>
      <c r="X1162" s="100" t="b">
        <f t="shared" si="2962"/>
        <v>0</v>
      </c>
      <c r="Y1162" s="201"/>
      <c r="Z1162" s="829" t="str">
        <f t="shared" si="2963"/>
        <v/>
      </c>
      <c r="AA1162" s="829"/>
      <c r="AB1162" s="830" t="str">
        <f>IF(G1162=0,"",IF(AD1162="free","re-planting",IF(AD1162="me","not NVP, by",IF($AD$8="yes",(VLOOKUP(A1162,'Discount Lookup'!J:K,2)*G1162*(1-$AC$1786)*(1+$AC$1788)),IF(AD1162="NVP",(VLOOKUP(A1162,'Discount Lookup'!J:K,2)*G1162*(1-$AC$1786)*(1+$AC$1788)),IF(AD1162="free","re-planting",IF(G1162=0,"",IF($AD$8="",IF(AD1162="me","not NVP, by",IF(AD1162="",IF(G1162&gt;0,(VLOOKUP(A1162,'Discount Lookup'!J:K,2)*G1162*(1-$AC$1786)*(1+$AC$1788)),""),"")),"not NVP, by"))))))))</f>
        <v/>
      </c>
      <c r="AC1162" s="830"/>
      <c r="AD1162" s="375" t="str">
        <f t="shared" si="2809"/>
        <v/>
      </c>
      <c r="AE1162" s="833" t="str">
        <f t="shared" si="2964"/>
        <v/>
      </c>
      <c r="AF1162" s="833"/>
      <c r="AG1162" s="833"/>
      <c r="AH1162" s="91">
        <f>IF(AD1162="free",0,IF(AD1162="me",0,IF(G1162&gt;0,(VLOOKUP(A1162,'Discount Lookup'!J:K,2)*G1162),0)))</f>
        <v>0</v>
      </c>
      <c r="AI1162" s="92" t="str">
        <f t="shared" si="2919"/>
        <v/>
      </c>
      <c r="AJ1162" s="828" t="str">
        <f t="shared" si="2965"/>
        <v/>
      </c>
      <c r="AK1162" s="828"/>
      <c r="AL1162" s="313" t="str">
        <f t="shared" si="2808"/>
        <v/>
      </c>
      <c r="AM1162" s="312"/>
      <c r="AN1162" s="101"/>
      <c r="AO1162" s="101"/>
      <c r="AP1162" s="101"/>
      <c r="AQ1162" s="101"/>
      <c r="AR1162" s="101"/>
      <c r="AS1162" s="101"/>
      <c r="AT1162" s="101"/>
    </row>
    <row r="1163" spans="1:46" ht="12.95" customHeight="1">
      <c r="A1163" s="477"/>
      <c r="B1163" s="149" t="s">
        <v>648</v>
      </c>
      <c r="C1163" s="118"/>
      <c r="D1163" s="118"/>
      <c r="E1163" s="119"/>
      <c r="F1163" s="711"/>
      <c r="G1163" s="358"/>
      <c r="H1163" s="745"/>
      <c r="I1163" s="119"/>
      <c r="J1163" s="119"/>
      <c r="K1163" s="609"/>
      <c r="L1163" s="609"/>
      <c r="M1163" s="121"/>
      <c r="N1163" s="122" t="s">
        <v>176</v>
      </c>
      <c r="O1163" s="123"/>
      <c r="P1163" s="124"/>
      <c r="Q1163" s="124"/>
      <c r="R1163" s="83"/>
      <c r="S1163" s="82">
        <f>E1163*G1163</f>
        <v>0</v>
      </c>
      <c r="T1163" s="540"/>
      <c r="U1163" s="83"/>
      <c r="V1163" s="100" t="b">
        <f>IF(G1163&gt;0,IF(AD1163="me","",G1163))</f>
        <v>0</v>
      </c>
      <c r="W1163" s="100"/>
      <c r="X1163" s="100"/>
      <c r="Y1163" s="201"/>
      <c r="Z1163" s="829" t="str">
        <f t="shared" si="2891"/>
        <v/>
      </c>
      <c r="AA1163" s="829"/>
      <c r="AB1163" s="830" t="str">
        <f>IF(G1163=0,"",IF(AD1163="free","re-planting",IF(AD1163="me","not NVP, by",IF($AD$8="yes",(VLOOKUP(A1163,'Discount Lookup'!J:K,2)*G1163*(1-$AC$1786)*(1+$AC$1788)),IF(AD1163="NVP",(VLOOKUP(A1163,'Discount Lookup'!J:K,2)*G1163*(1-$AC$1786)*(1+$AC$1788)),IF(AD1163="free","re-planting",IF(G1163=0,"",IF($AD$8="",IF(AD1163="me","not NVP, by",IF(AD1163="",IF(G1163&gt;0,(VLOOKUP(A1163,'Discount Lookup'!J:K,2)*G1163*(1-$AC$1786)*(1+$AC$1788)),""),"")),"not NVP, by"))))))))</f>
        <v/>
      </c>
      <c r="AC1163" s="830"/>
      <c r="AD1163" s="375" t="str">
        <f t="shared" ref="AD1163:AD1220" si="2966">IF(G1163=0,"",IF($AD$8="me","me",IF(H1163="warranty","free",IF($AD$8="yes","NVP",""))))</f>
        <v/>
      </c>
      <c r="AE1163" s="833" t="str">
        <f t="shared" si="2810"/>
        <v/>
      </c>
      <c r="AF1163" s="833"/>
      <c r="AG1163" s="833"/>
      <c r="AH1163" s="91">
        <f>IF(AD1163="free",0,IF(AD1163="me",0,IF(G1163&gt;0,(VLOOKUP(A1163,'Discount Lookup'!J:K,2)*G1163),0)))</f>
        <v>0</v>
      </c>
      <c r="AI1163" s="92" t="str">
        <f t="shared" si="2919"/>
        <v/>
      </c>
      <c r="AJ1163" s="828" t="str">
        <f t="shared" si="2892"/>
        <v/>
      </c>
      <c r="AK1163" s="828"/>
      <c r="AL1163" s="313" t="str">
        <f t="shared" ref="AL1163:AL1226" si="2967">IF(AD1163="free","      ~ discounts included, no tax or planting fee applies ~",IF(G1163=0,"",IF($AD$8="me",CONCATENATE(" $",ROUND(AI1163/G1163,2)," per plant, with tax &amp; discount"),IF(AD1163="me",CONCATENATE(" $",ROUND(AI1163/G1163,2)," per plant, with tax &amp; discount"),CONCATENATE("= $",ROUND((K1163*(1-$H$1784))/G1163,2)," per plant + $",AB1163/G1163,(" per planting      ~ includes tax &amp; discounts ~"))))))</f>
        <v/>
      </c>
      <c r="AM1163" s="312"/>
      <c r="AN1163" s="101"/>
      <c r="AO1163" s="101"/>
      <c r="AP1163" s="101"/>
      <c r="AQ1163" s="101"/>
      <c r="AR1163" s="101"/>
      <c r="AS1163" s="101"/>
      <c r="AT1163" s="101"/>
    </row>
    <row r="1164" spans="1:46" ht="12.95" customHeight="1">
      <c r="A1164" s="836" t="s">
        <v>1176</v>
      </c>
      <c r="B1164" s="837"/>
      <c r="C1164" s="837"/>
      <c r="D1164" s="837"/>
      <c r="E1164" s="837"/>
      <c r="F1164" s="837"/>
      <c r="G1164" s="837"/>
      <c r="H1164" s="775" t="s">
        <v>652</v>
      </c>
      <c r="I1164" s="349" t="s">
        <v>280</v>
      </c>
      <c r="J1164" s="157"/>
      <c r="K1164" s="611" t="s">
        <v>45</v>
      </c>
      <c r="L1164" s="630" t="s">
        <v>46</v>
      </c>
      <c r="M1164" s="157"/>
      <c r="N1164" s="158" t="s">
        <v>98</v>
      </c>
      <c r="O1164" s="158"/>
      <c r="P1164" s="164"/>
      <c r="Q1164" s="164"/>
      <c r="R1164" s="157"/>
      <c r="S1164" s="170"/>
      <c r="T1164" s="547"/>
      <c r="U1164" s="171"/>
      <c r="V1164" s="100" t="b">
        <f>IF(G1164&gt;0,IF(AD1164="me","",G1164))</f>
        <v>0</v>
      </c>
      <c r="W1164" s="100"/>
      <c r="X1164" s="100"/>
      <c r="Y1164" s="201"/>
      <c r="Z1164" s="838" t="str">
        <f>IF(G1164=0,"",IF(AD1164="me","",IF($AD$8="me","",IF(AD1164="free","warranty",IF($AD$8="yes","NVP planting:","to NVP install:")))))</f>
        <v/>
      </c>
      <c r="AA1164" s="838"/>
      <c r="AB1164" s="830" t="str">
        <f>IF(G1164=0,"",IF(AD1164="free","re-planting",IF(AD1164="me","not NVP, by",IF($AD$8="yes",(VLOOKUP(A1164,'Discount Lookup'!J:K,2)*G1164*(1-$AC$1786)*(1+$AC$1788)),IF(AD1164="NVP",(VLOOKUP(A1164,'Discount Lookup'!J:K,2)*G1164*(1-$AC$1786)*(1+$AC$1788)),IF(AD1164="free","re-planting",IF(G1164=0,"",IF($AD$8="",IF(AD1164="me","not NVP, by",IF(AD1164="",IF(G1164&gt;0,(VLOOKUP(A1164,'Discount Lookup'!J:K,2)*G1164*(1-$AC$1786)*(1+$AC$1788)),""),"")),"not NVP, by"))))))))</f>
        <v/>
      </c>
      <c r="AC1164" s="830"/>
      <c r="AD1164" s="375" t="str">
        <f t="shared" si="2966"/>
        <v/>
      </c>
      <c r="AE1164" s="833" t="str">
        <f>IF(G1164&gt;0,(CONCATENATE((G1164)," quantity, ",(A1164)," ",B1164)),"")</f>
        <v/>
      </c>
      <c r="AF1164" s="833"/>
      <c r="AG1164" s="833"/>
      <c r="AH1164" s="91" t="s">
        <v>109</v>
      </c>
      <c r="AI1164" s="92" t="str">
        <f>IF(AD1164="free",(K1164*(1-$H$1784)),IF(G1164=0,"",IF($AD$8="",IF(G1164=0,"",IF(AD1164="me",(K1164*(1-$H$1784)),(K1164*(1-$H$1784))+AB1164)),IF(K1164="Images","",IF(K1164=0,"",(K1164*(1-$H$1784)))))))</f>
        <v/>
      </c>
      <c r="AJ1164" s="828" t="str">
        <f>IF(G1164=0,"",IF(AD1164="me","  delivery-only",CONCATENATE(" $",ROUND(AI1164/G1164,2)," each")))</f>
        <v/>
      </c>
      <c r="AK1164" s="828"/>
      <c r="AL1164" s="313" t="str">
        <f t="shared" si="2967"/>
        <v/>
      </c>
      <c r="AM1164" s="312"/>
      <c r="AN1164" s="101"/>
      <c r="AO1164" s="101"/>
      <c r="AP1164" s="101"/>
      <c r="AQ1164" s="101"/>
      <c r="AR1164" s="101"/>
      <c r="AS1164" s="101"/>
      <c r="AT1164" s="101"/>
    </row>
    <row r="1165" spans="1:46" ht="12.95" customHeight="1">
      <c r="A1165" s="383">
        <v>3</v>
      </c>
      <c r="B1165" s="158" t="s">
        <v>50</v>
      </c>
      <c r="C1165" s="160" t="s">
        <v>170</v>
      </c>
      <c r="D1165" s="161" t="s">
        <v>52</v>
      </c>
      <c r="E1165" s="162">
        <v>37.950000000000003</v>
      </c>
      <c r="F1165" s="713" t="s">
        <v>1306</v>
      </c>
      <c r="G1165" s="357">
        <v>0</v>
      </c>
      <c r="H1165" s="748" t="str">
        <f t="shared" ref="H1165" si="2968">IF(G1165=0,"",IF(F1165="Qty=",IF(G1165=1,"plant","plants"),IF(F1165&gt;0.0001,"warranty","Error")))</f>
        <v/>
      </c>
      <c r="I1165" s="592">
        <f t="shared" ref="I1165" si="2969">IF(F1165="Qty=",(E1165*G1165),((E1165*(1-F1165))*G1165))</f>
        <v>0</v>
      </c>
      <c r="J1165" s="592">
        <f>IF(H1165="warranty",0,(I1165*($J$1782)))</f>
        <v>0</v>
      </c>
      <c r="K1165" s="834">
        <f t="shared" ref="K1165" si="2970">I1165+J1165</f>
        <v>0</v>
      </c>
      <c r="L1165" s="834"/>
      <c r="M1165" s="832" t="str">
        <f>IF($H$1784=0,"",IF(G1165=0,"",IF(F1165="Qty=",CONCATENATE("$",ROUND(K1165*(1-$H$1784),2)," with ",($H$1784*100),"% discount"),CONCATENATE("$",ROUND(K1165*(1-$H$1784),2)," with ",(($H$1784*100+F1165*100)-($H$1784*100*F1165)),IF(F1165&gt;0,"% discounts",IF($H$1781&gt;0,"% discounts","% discount"))))))</f>
        <v/>
      </c>
      <c r="N1165" s="832"/>
      <c r="O1165" s="832"/>
      <c r="P1165" s="832"/>
      <c r="Q1165" s="832"/>
      <c r="R1165" s="832"/>
      <c r="S1165" s="303">
        <f t="shared" ref="S1165" si="2971">E1165*G1165</f>
        <v>0</v>
      </c>
      <c r="T1165" s="541">
        <f>VLOOKUP(A1165,'Discount Lookup'!D:E,2,FALSE)*G1165</f>
        <v>0</v>
      </c>
      <c r="U1165" s="83">
        <f>VLOOKUP(A1165,'Discount Lookup'!G:H,2,FALSE)*G1165</f>
        <v>0</v>
      </c>
      <c r="V1165" s="100">
        <f>E1165*($J$1782)*G1165</f>
        <v>0</v>
      </c>
      <c r="W1165" s="100">
        <f t="shared" ref="W1165" si="2972">I1165</f>
        <v>0</v>
      </c>
      <c r="X1165" s="100" t="b">
        <f>IF(G1165&gt;0,IF(AD1165="me","",G1165))</f>
        <v>0</v>
      </c>
      <c r="Y1165" s="201"/>
      <c r="Z1165" s="838" t="str">
        <f>IF(G1165=0,"",IF(AD1165="me","",IF($AD$8="me","",IF(AD1165="free","warranty",IF($AD$8="yes","NVP planting:","to NVP install:")))))</f>
        <v/>
      </c>
      <c r="AA1165" s="838"/>
      <c r="AB1165" s="830" t="str">
        <f>IF(G1165=0,"",IF(AD1165="free","re-planting",IF(AD1165="me","not NVP, by",IF($AD$8="yes",(VLOOKUP(A1165,'Discount Lookup'!J:K,2)*G1165*(1-$AC$1786)*(1+$AC$1788)),IF(AD1165="NVP",(VLOOKUP(A1165,'Discount Lookup'!J:K,2)*G1165*(1-$AC$1786)*(1+$AC$1788)),IF(AD1165="free","re-planting",IF(G1165=0,"",IF($AD$8="",IF(AD1165="me","not NVP, by",IF(AD1165="",IF(G1165&gt;0,(VLOOKUP(A1165,'Discount Lookup'!J:K,2)*G1165*(1-$AC$1786)*(1+$AC$1788)),""),"")),"not NVP, by"))))))))</f>
        <v/>
      </c>
      <c r="AC1165" s="830"/>
      <c r="AD1165" s="375" t="str">
        <f t="shared" si="2966"/>
        <v/>
      </c>
      <c r="AE1165" s="833" t="str">
        <f>IF(G1165&gt;0,(CONCATENATE((G1165)," quantity, ",(A1165)," ",B1165)),"")</f>
        <v/>
      </c>
      <c r="AF1165" s="833"/>
      <c r="AG1165" s="833"/>
      <c r="AH1165" s="91" t="str">
        <f>IF(AD1165="free",0,IF(AD1165="me","",IF(G1165&gt;0,(VLOOKUP(A1165,'Discount Lookup'!J:K,2)*G1165),"")))</f>
        <v/>
      </c>
      <c r="AI1165" s="92" t="str">
        <f>IF(G1165=0,"",IF(AD1165="free",(K1165*(1-$H$1784)),IF($AD$8="me",(K1165*(1-$H$1784)),IF(AD1165="me",(K1165*(1-$H$1784)),(K1165*(1-$H$1784))+AB1165))))</f>
        <v/>
      </c>
      <c r="AJ1165" s="828" t="str">
        <f>IF(G1165=0,"",IF(AD1165="me","  delivery-only",CONCATENATE(" $",ROUND(AI1165/G1165,2)," each")))</f>
        <v/>
      </c>
      <c r="AK1165" s="828"/>
      <c r="AL1165" s="313" t="str">
        <f t="shared" si="2967"/>
        <v/>
      </c>
      <c r="AM1165" s="312"/>
      <c r="AN1165" s="101"/>
      <c r="AO1165" s="101"/>
      <c r="AP1165" s="101"/>
      <c r="AQ1165" s="101"/>
      <c r="AR1165" s="101"/>
      <c r="AS1165" s="101"/>
      <c r="AT1165" s="101"/>
    </row>
    <row r="1166" spans="1:46" ht="12.95" customHeight="1">
      <c r="A1166" s="475"/>
      <c r="B1166" s="173" t="s">
        <v>978</v>
      </c>
      <c r="G1166" s="361"/>
      <c r="H1166" s="746"/>
      <c r="K1166" s="609"/>
      <c r="L1166" s="609"/>
      <c r="M1166" s="121"/>
      <c r="N1166" s="122" t="s">
        <v>336</v>
      </c>
      <c r="O1166" s="48"/>
      <c r="P1166" s="111"/>
      <c r="Q1166" s="111"/>
      <c r="R1166" s="48"/>
      <c r="S1166" s="82"/>
      <c r="T1166" s="540"/>
      <c r="U1166" s="83"/>
      <c r="V1166" s="100"/>
      <c r="W1166" s="100"/>
      <c r="X1166" s="100"/>
      <c r="Y1166" s="201"/>
      <c r="Z1166" s="838" t="str">
        <f>IF(G1166=0,"",IF(AD1166="me","",IF($AD$8="me","",IF(AD1166="free","warranty",IF($AD$8="yes","NVP planting:","to NVP install:")))))</f>
        <v/>
      </c>
      <c r="AA1166" s="838"/>
      <c r="AB1166" s="830" t="str">
        <f>IF(G1166=0,"",IF(AD1166="free","re-planting",IF(AD1166="me","not NVP, by",IF($AD$8="yes",(VLOOKUP(A1166,'Discount Lookup'!J:K,2)*G1166*(1-$AC$1786)*(1+$AC$1788)),IF(AD1166="NVP",(VLOOKUP(A1166,'Discount Lookup'!J:K,2)*G1166*(1-$AC$1786)*(1+$AC$1788)),IF(AD1166="free","re-planting",IF(G1166=0,"",IF($AD$8="",IF(AD1166="me","not NVP, by",IF(AD1166="",IF(G1166&gt;0,(VLOOKUP(A1166,'Discount Lookup'!J:K,2)*G1166*(1-$AC$1786)*(1+$AC$1788)),""),"")),"not NVP, by"))))))))</f>
        <v/>
      </c>
      <c r="AC1166" s="830"/>
      <c r="AD1166" s="375" t="str">
        <f t="shared" si="2966"/>
        <v/>
      </c>
      <c r="AE1166" s="833" t="str">
        <f>IF(G1166&gt;0,(CONCATENATE((G1166)," quantity, ",(A1166)," ",B1166)),"")</f>
        <v/>
      </c>
      <c r="AF1166" s="833"/>
      <c r="AG1166" s="833"/>
      <c r="AH1166" s="91" t="s">
        <v>109</v>
      </c>
      <c r="AI1166" s="92" t="str">
        <f>IF(AD1166="free",(K1166*(1-$H$1784)),IF(G1166=0,"",IF($AD$8="",IF(G1166=0,"",IF(AD1166="me",(K1166*(1-$H$1784)),(K1166*(1-$H$1784))+AB1166)),IF(K1166="Images","",IF(K1166=0,"",(K1166*(1-$H$1784)))))))</f>
        <v/>
      </c>
      <c r="AJ1166" s="828" t="str">
        <f>IF(G1166=0,"",IF(AD1166="me","  delivery-only",CONCATENATE(" $",ROUND(AI1166/G1166,2)," each")))</f>
        <v/>
      </c>
      <c r="AK1166" s="828"/>
      <c r="AL1166" s="313" t="str">
        <f t="shared" si="2967"/>
        <v/>
      </c>
      <c r="AM1166" s="312"/>
      <c r="AN1166" s="101"/>
      <c r="AO1166" s="101"/>
      <c r="AP1166" s="101"/>
      <c r="AQ1166" s="101"/>
      <c r="AR1166" s="101"/>
      <c r="AS1166" s="101"/>
      <c r="AT1166" s="101"/>
    </row>
    <row r="1167" spans="1:46" ht="12.95" customHeight="1">
      <c r="A1167" s="836" t="s">
        <v>651</v>
      </c>
      <c r="B1167" s="837"/>
      <c r="C1167" s="837"/>
      <c r="D1167" s="837"/>
      <c r="E1167" s="837"/>
      <c r="F1167" s="837"/>
      <c r="G1167" s="837"/>
      <c r="H1167" s="775" t="s">
        <v>652</v>
      </c>
      <c r="I1167" s="164" t="s">
        <v>127</v>
      </c>
      <c r="J1167" s="157"/>
      <c r="K1167" s="611" t="s">
        <v>45</v>
      </c>
      <c r="L1167" s="630" t="s">
        <v>46</v>
      </c>
      <c r="M1167" s="157"/>
      <c r="N1167" s="158" t="s">
        <v>69</v>
      </c>
      <c r="O1167" s="158"/>
      <c r="P1167" s="164"/>
      <c r="Q1167" s="164"/>
      <c r="R1167" s="835" t="s">
        <v>49</v>
      </c>
      <c r="S1167" s="835"/>
      <c r="T1167" s="835"/>
      <c r="U1167" s="835"/>
      <c r="V1167" s="100" t="b">
        <f>IF(G1167&gt;0,IF(AD1167="me","",G1167))</f>
        <v>0</v>
      </c>
      <c r="W1167" s="100"/>
      <c r="X1167" s="100"/>
      <c r="Y1167" s="201"/>
      <c r="Z1167" s="829" t="str">
        <f t="shared" si="2891"/>
        <v/>
      </c>
      <c r="AA1167" s="829"/>
      <c r="AB1167" s="830" t="str">
        <f>IF(G1167=0,"",IF(AD1167="free","re-planting",IF(AD1167="me","not NVP, by",IF($AD$8="yes",(VLOOKUP(A1167,'Discount Lookup'!J:K,2)*G1167*(1-$AC$1786)*(1+$AC$1788)),IF(AD1167="NVP",(VLOOKUP(A1167,'Discount Lookup'!J:K,2)*G1167*(1-$AC$1786)*(1+$AC$1788)),IF(AD1167="free","re-planting",IF(G1167=0,"",IF($AD$8="",IF(AD1167="me","not NVP, by",IF(AD1167="",IF(G1167&gt;0,(VLOOKUP(A1167,'Discount Lookup'!J:K,2)*G1167*(1-$AC$1786)*(1+$AC$1788)),""),"")),"not NVP, by"))))))))</f>
        <v/>
      </c>
      <c r="AC1167" s="830"/>
      <c r="AD1167" s="375" t="str">
        <f t="shared" si="2966"/>
        <v/>
      </c>
      <c r="AE1167" s="833" t="str">
        <f t="shared" si="2810"/>
        <v/>
      </c>
      <c r="AF1167" s="833"/>
      <c r="AG1167" s="833"/>
      <c r="AH1167" s="91">
        <f>IF(AD1167="free",0,IF(AD1167="me",0,IF(G1167&gt;0,(VLOOKUP(A1167,'Discount Lookup'!J:K,2)*G1167),0)))</f>
        <v>0</v>
      </c>
      <c r="AI1167" s="92" t="str">
        <f t="shared" ref="AI1167:AI1230" si="2973">IF(G1167=0,"",IF(AD1167="free",(K1167*(1-$H$1784)),IF($AD$8="me",(K1167*(1-$H$1784)),IF(AD1167="me",(K1167*(1-$H$1784)),(K1167*(1-$H$1784))+AB1167))))</f>
        <v/>
      </c>
      <c r="AJ1167" s="828" t="str">
        <f t="shared" si="2892"/>
        <v/>
      </c>
      <c r="AK1167" s="828"/>
      <c r="AL1167" s="313" t="str">
        <f t="shared" si="2967"/>
        <v/>
      </c>
      <c r="AM1167" s="312"/>
      <c r="AN1167" s="101"/>
      <c r="AO1167" s="101"/>
      <c r="AP1167" s="101"/>
      <c r="AQ1167" s="101"/>
      <c r="AR1167" s="101"/>
      <c r="AS1167" s="101"/>
      <c r="AT1167" s="101"/>
    </row>
    <row r="1168" spans="1:46" ht="12.95" customHeight="1">
      <c r="A1168" s="383">
        <v>3</v>
      </c>
      <c r="B1168" s="158" t="s">
        <v>50</v>
      </c>
      <c r="C1168" s="168" t="s">
        <v>51</v>
      </c>
      <c r="D1168" s="161" t="s">
        <v>86</v>
      </c>
      <c r="E1168" s="162">
        <v>24.95</v>
      </c>
      <c r="F1168" s="713" t="s">
        <v>1306</v>
      </c>
      <c r="G1168" s="357">
        <v>0</v>
      </c>
      <c r="H1168" s="748" t="str">
        <f t="shared" ref="H1168:H1171" si="2974">IF(G1168=0,"",IF(F1168="Qty=",IF(G1168=1,"plant","plants"),IF(F1168&gt;0.0001,"warranty","Error")))</f>
        <v/>
      </c>
      <c r="I1168" s="592">
        <f t="shared" ref="I1168:I1171" si="2975">IF(F1168="Qty=",(E1168*G1168),((E1168*(1-F1168))*G1168))</f>
        <v>0</v>
      </c>
      <c r="J1168" s="592">
        <f>IF(H1168="warranty",0,(I1168*($J$1782)))</f>
        <v>0</v>
      </c>
      <c r="K1168" s="834">
        <f t="shared" ref="K1168:K1171" si="2976">I1168+J1168</f>
        <v>0</v>
      </c>
      <c r="L1168" s="834"/>
      <c r="M1168" s="832" t="str">
        <f>IF($H$1784=0,"",IF(G1168=0,"",IF(F1168="Qty=",CONCATENATE("$",ROUND(K1168*(1-$H$1784),2)," with ",($H$1784*100),"% discount"),CONCATENATE("$",ROUND(K1168*(1-$H$1784),2)," with ",(($H$1784*100+F1168*100)-($H$1784*100*F1168)),IF(F1168&gt;0,"% discounts",IF($H$1781&gt;0,"% discounts","% discount"))))))</f>
        <v/>
      </c>
      <c r="N1168" s="832"/>
      <c r="O1168" s="832"/>
      <c r="P1168" s="832"/>
      <c r="Q1168" s="832"/>
      <c r="R1168" s="832"/>
      <c r="S1168" s="303">
        <f t="shared" ref="S1168:S1171" si="2977">E1168*G1168</f>
        <v>0</v>
      </c>
      <c r="T1168" s="541">
        <f>VLOOKUP(A1168,'Discount Lookup'!D:E,2,FALSE)*G1168</f>
        <v>0</v>
      </c>
      <c r="U1168" s="83">
        <f>VLOOKUP(A1168,'Discount Lookup'!G:H,2,FALSE)*G1168</f>
        <v>0</v>
      </c>
      <c r="V1168" s="100">
        <f>E1168*($J$1782)*G1168</f>
        <v>0</v>
      </c>
      <c r="W1168" s="100">
        <f t="shared" ref="W1168:W1171" si="2978">I1168</f>
        <v>0</v>
      </c>
      <c r="X1168" s="100" t="b">
        <f>IF(G1168&gt;0,IF(AD1168="me","",G1168))</f>
        <v>0</v>
      </c>
      <c r="Y1168" s="201"/>
      <c r="Z1168" s="829" t="str">
        <f t="shared" si="2891"/>
        <v/>
      </c>
      <c r="AA1168" s="829"/>
      <c r="AB1168" s="830" t="str">
        <f>IF(G1168=0,"",IF(AD1168="free","re-planting",IF(AD1168="me","not NVP, by",IF($AD$8="yes",(VLOOKUP(A1168,'Discount Lookup'!J:K,2)*G1168*(1-$AC$1786)*(1+$AC$1788)),IF(AD1168="NVP",(VLOOKUP(A1168,'Discount Lookup'!J:K,2)*G1168*(1-$AC$1786)*(1+$AC$1788)),IF(AD1168="free","re-planting",IF(G1168=0,"",IF($AD$8="",IF(AD1168="me","not NVP, by",IF(AD1168="",IF(G1168&gt;0,(VLOOKUP(A1168,'Discount Lookup'!J:K,2)*G1168*(1-$AC$1786)*(1+$AC$1788)),""),"")),"not NVP, by"))))))))</f>
        <v/>
      </c>
      <c r="AC1168" s="830"/>
      <c r="AD1168" s="375" t="str">
        <f t="shared" si="2966"/>
        <v/>
      </c>
      <c r="AE1168" s="833" t="str">
        <f t="shared" si="2810"/>
        <v/>
      </c>
      <c r="AF1168" s="833"/>
      <c r="AG1168" s="833"/>
      <c r="AH1168" s="91">
        <f>IF(AD1168="free",0,IF(AD1168="me",0,IF(G1168&gt;0,(VLOOKUP(A1168,'Discount Lookup'!J:K,2)*G1168),0)))</f>
        <v>0</v>
      </c>
      <c r="AI1168" s="92" t="str">
        <f t="shared" si="2973"/>
        <v/>
      </c>
      <c r="AJ1168" s="828" t="str">
        <f t="shared" si="2892"/>
        <v/>
      </c>
      <c r="AK1168" s="828"/>
      <c r="AL1168" s="313" t="str">
        <f t="shared" si="2967"/>
        <v/>
      </c>
      <c r="AM1168" s="312"/>
      <c r="AN1168" s="101"/>
      <c r="AO1168" s="101"/>
      <c r="AP1168" s="101"/>
      <c r="AQ1168" s="101"/>
      <c r="AR1168" s="101"/>
      <c r="AS1168" s="101"/>
      <c r="AT1168" s="101"/>
    </row>
    <row r="1169" spans="1:46" ht="12.95" customHeight="1">
      <c r="A1169" s="383">
        <v>3</v>
      </c>
      <c r="B1169" s="158" t="s">
        <v>50</v>
      </c>
      <c r="C1169" s="168" t="s">
        <v>136</v>
      </c>
      <c r="D1169" s="161" t="s">
        <v>87</v>
      </c>
      <c r="E1169" s="162">
        <v>27.95</v>
      </c>
      <c r="F1169" s="713" t="s">
        <v>1306</v>
      </c>
      <c r="G1169" s="357">
        <v>0</v>
      </c>
      <c r="H1169" s="748" t="str">
        <f t="shared" ref="H1169" si="2979">IF(G1169=0,"",IF(F1169="Qty=",IF(G1169=1,"plant","plants"),IF(F1169&gt;0.0001,"warranty","Error")))</f>
        <v/>
      </c>
      <c r="I1169" s="592">
        <f t="shared" ref="I1169" si="2980">IF(F1169="Qty=",(E1169*G1169),((E1169*(1-F1169))*G1169))</f>
        <v>0</v>
      </c>
      <c r="J1169" s="592">
        <f>IF(H1169="warranty",0,(I1169*($J$1782)))</f>
        <v>0</v>
      </c>
      <c r="K1169" s="834">
        <f t="shared" si="2976"/>
        <v>0</v>
      </c>
      <c r="L1169" s="834"/>
      <c r="M1169" s="832" t="str">
        <f>IF($H$1784=0,"",IF(G1169=0,"",IF(F1169="Qty=",CONCATENATE("$",ROUND(K1169*(1-$H$1784),2)," with ",($H$1784*100),"% discount"),CONCATENATE("$",ROUND(K1169*(1-$H$1784),2)," with ",(($H$1784*100+F1169*100)-($H$1784*100*F1169)),IF(F1169&gt;0,"% discounts",IF($H$1781&gt;0,"% discounts","% discount"))))))</f>
        <v/>
      </c>
      <c r="N1169" s="832"/>
      <c r="O1169" s="832"/>
      <c r="P1169" s="832"/>
      <c r="Q1169" s="832"/>
      <c r="R1169" s="832"/>
      <c r="S1169" s="303">
        <f t="shared" ref="S1169" si="2981">E1169*G1169</f>
        <v>0</v>
      </c>
      <c r="T1169" s="541">
        <f>VLOOKUP(A1169,'Discount Lookup'!D:E,2,FALSE)*G1169</f>
        <v>0</v>
      </c>
      <c r="U1169" s="83">
        <f>VLOOKUP(A1169,'Discount Lookup'!G:H,2,FALSE)*G1169</f>
        <v>0</v>
      </c>
      <c r="V1169" s="100">
        <f>E1169*($J$1782)*G1169</f>
        <v>0</v>
      </c>
      <c r="W1169" s="100">
        <f t="shared" ref="W1169" si="2982">I1169</f>
        <v>0</v>
      </c>
      <c r="X1169" s="100" t="b">
        <f>IF(G1169&gt;0,IF(AD1169="me","",G1169))</f>
        <v>0</v>
      </c>
      <c r="Y1169" s="201"/>
      <c r="Z1169" s="829" t="str">
        <f t="shared" ref="Z1169" si="2983">IF(G1169=0,"",IF(AD1169="me","",IF($AD$8="me","",IF(AD1169="free","warranty",IF($AD$8="yes","NVP planting:","to NVP install:")))))</f>
        <v/>
      </c>
      <c r="AA1169" s="829"/>
      <c r="AB1169" s="830" t="str">
        <f>IF(G1169=0,"",IF(AD1169="free","re-planting",IF(AD1169="me","not NVP, by",IF($AD$8="yes",(VLOOKUP(A1169,'Discount Lookup'!J:K,2)*G1169*(1-$AC$1786)*(1+$AC$1788)),IF(AD1169="NVP",(VLOOKUP(A1169,'Discount Lookup'!J:K,2)*G1169*(1-$AC$1786)*(1+$AC$1788)),IF(AD1169="free","re-planting",IF(G1169=0,"",IF($AD$8="",IF(AD1169="me","not NVP, by",IF(AD1169="",IF(G1169&gt;0,(VLOOKUP(A1169,'Discount Lookup'!J:K,2)*G1169*(1-$AC$1786)*(1+$AC$1788)),""),"")),"not NVP, by"))))))))</f>
        <v/>
      </c>
      <c r="AC1169" s="830"/>
      <c r="AD1169" s="375" t="str">
        <f t="shared" si="2966"/>
        <v/>
      </c>
      <c r="AE1169" s="833" t="str">
        <f t="shared" ref="AE1169" si="2984">IF(G1169&gt;0,(CONCATENATE((G1169)," quantity, ",(A1169)," ",B1169)),"")</f>
        <v/>
      </c>
      <c r="AF1169" s="833"/>
      <c r="AG1169" s="833"/>
      <c r="AH1169" s="91">
        <f>IF(AD1169="free",0,IF(AD1169="me",0,IF(G1169&gt;0,(VLOOKUP(A1169,'Discount Lookup'!J:K,2)*G1169),0)))</f>
        <v>0</v>
      </c>
      <c r="AI1169" s="92" t="str">
        <f t="shared" si="2973"/>
        <v/>
      </c>
      <c r="AJ1169" s="828" t="str">
        <f t="shared" ref="AJ1169" si="2985">IF(G1169=0,"",IF(AD1169="me","  delivery-only",IF($AD$8="me","  delivery-only",CONCATENATE(" $",ROUND(AI1169/G1169,2)," each"))))</f>
        <v/>
      </c>
      <c r="AK1169" s="828"/>
      <c r="AL1169" s="313" t="str">
        <f t="shared" si="2967"/>
        <v/>
      </c>
      <c r="AM1169" s="312"/>
      <c r="AN1169" s="101"/>
      <c r="AO1169" s="101"/>
      <c r="AP1169" s="101"/>
      <c r="AQ1169" s="101"/>
      <c r="AR1169" s="101"/>
      <c r="AS1169" s="101"/>
      <c r="AT1169" s="101"/>
    </row>
    <row r="1170" spans="1:46" ht="12.95" customHeight="1">
      <c r="A1170" s="383">
        <v>3</v>
      </c>
      <c r="B1170" s="158" t="s">
        <v>50</v>
      </c>
      <c r="C1170" s="168" t="s">
        <v>144</v>
      </c>
      <c r="D1170" s="161" t="s">
        <v>62</v>
      </c>
      <c r="E1170" s="162">
        <v>20.95</v>
      </c>
      <c r="F1170" s="713" t="s">
        <v>1306</v>
      </c>
      <c r="G1170" s="357">
        <v>0</v>
      </c>
      <c r="H1170" s="748" t="str">
        <f t="shared" ref="H1170" si="2986">IF(G1170=0,"",IF(F1170="Qty=",IF(G1170=1,"plant","plants"),IF(F1170&gt;0.0001,"warranty","Error")))</f>
        <v/>
      </c>
      <c r="I1170" s="592">
        <f t="shared" ref="I1170" si="2987">IF(F1170="Qty=",(E1170*G1170),((E1170*(1-F1170))*G1170))</f>
        <v>0</v>
      </c>
      <c r="J1170" s="592">
        <f>IF(H1170="warranty",0,(I1170*($J$1782)))</f>
        <v>0</v>
      </c>
      <c r="K1170" s="834">
        <f t="shared" si="2976"/>
        <v>0</v>
      </c>
      <c r="L1170" s="834"/>
      <c r="M1170" s="832" t="str">
        <f>IF($H$1784=0,"",IF(G1170=0,"",IF(F1170="Qty=",CONCATENATE("$",ROUND(K1170*(1-$H$1784),2)," with ",($H$1784*100),"% discount"),CONCATENATE("$",ROUND(K1170*(1-$H$1784),2)," with ",(($H$1784*100+F1170*100)-($H$1784*100*F1170)),IF(F1170&gt;0,"% discounts",IF($H$1781&gt;0,"% discounts","% discount"))))))</f>
        <v/>
      </c>
      <c r="N1170" s="832"/>
      <c r="O1170" s="832"/>
      <c r="P1170" s="832"/>
      <c r="Q1170" s="832"/>
      <c r="R1170" s="832"/>
      <c r="S1170" s="303">
        <f t="shared" ref="S1170" si="2988">E1170*G1170</f>
        <v>0</v>
      </c>
      <c r="T1170" s="541">
        <f>VLOOKUP(A1170,'Discount Lookup'!D:E,2,FALSE)*G1170</f>
        <v>0</v>
      </c>
      <c r="U1170" s="83">
        <f>VLOOKUP(A1170,'Discount Lookup'!G:H,2,FALSE)*G1170</f>
        <v>0</v>
      </c>
      <c r="V1170" s="100">
        <f>E1170*($J$1782)*G1170</f>
        <v>0</v>
      </c>
      <c r="W1170" s="100">
        <f t="shared" ref="W1170" si="2989">I1170</f>
        <v>0</v>
      </c>
      <c r="X1170" s="100" t="b">
        <f>IF(G1170&gt;0,IF(AD1170="me","",G1170))</f>
        <v>0</v>
      </c>
      <c r="Y1170" s="201"/>
      <c r="Z1170" s="829" t="str">
        <f t="shared" ref="Z1170" si="2990">IF(G1170=0,"",IF(AD1170="me","",IF($AD$8="me","",IF(AD1170="free","warranty",IF($AD$8="yes","NVP planting:","to NVP install:")))))</f>
        <v/>
      </c>
      <c r="AA1170" s="829"/>
      <c r="AB1170" s="830" t="str">
        <f>IF(G1170=0,"",IF(AD1170="free","re-planting",IF(AD1170="me","not NVP, by",IF($AD$8="yes",(VLOOKUP(A1170,'Discount Lookup'!J:K,2)*G1170*(1-$AC$1786)*(1+$AC$1788)),IF(AD1170="NVP",(VLOOKUP(A1170,'Discount Lookup'!J:K,2)*G1170*(1-$AC$1786)*(1+$AC$1788)),IF(AD1170="free","re-planting",IF(G1170=0,"",IF($AD$8="",IF(AD1170="me","not NVP, by",IF(AD1170="",IF(G1170&gt;0,(VLOOKUP(A1170,'Discount Lookup'!J:K,2)*G1170*(1-$AC$1786)*(1+$AC$1788)),""),"")),"not NVP, by"))))))))</f>
        <v/>
      </c>
      <c r="AC1170" s="830"/>
      <c r="AD1170" s="375" t="str">
        <f t="shared" si="2966"/>
        <v/>
      </c>
      <c r="AE1170" s="833" t="str">
        <f t="shared" ref="AE1170" si="2991">IF(G1170&gt;0,(CONCATENATE((G1170)," quantity, ",(A1170)," ",B1170)),"")</f>
        <v/>
      </c>
      <c r="AF1170" s="833"/>
      <c r="AG1170" s="833"/>
      <c r="AH1170" s="91">
        <f>IF(AD1170="free",0,IF(AD1170="me",0,IF(G1170&gt;0,(VLOOKUP(A1170,'Discount Lookup'!J:K,2)*G1170),0)))</f>
        <v>0</v>
      </c>
      <c r="AI1170" s="92" t="str">
        <f t="shared" si="2973"/>
        <v/>
      </c>
      <c r="AJ1170" s="828" t="str">
        <f t="shared" ref="AJ1170" si="2992">IF(G1170=0,"",IF(AD1170="me","  delivery-only",IF($AD$8="me","  delivery-only",CONCATENATE(" $",ROUND(AI1170/G1170,2)," each"))))</f>
        <v/>
      </c>
      <c r="AK1170" s="828"/>
      <c r="AL1170" s="313" t="str">
        <f t="shared" si="2967"/>
        <v/>
      </c>
      <c r="AM1170" s="312"/>
      <c r="AN1170" s="101"/>
      <c r="AO1170" s="101"/>
      <c r="AP1170" s="101"/>
      <c r="AQ1170" s="101"/>
      <c r="AR1170" s="101"/>
      <c r="AS1170" s="101"/>
      <c r="AT1170" s="101"/>
    </row>
    <row r="1171" spans="1:46" ht="12.95" customHeight="1">
      <c r="A1171" s="383">
        <v>3</v>
      </c>
      <c r="B1171" s="158" t="s">
        <v>50</v>
      </c>
      <c r="C1171" s="168" t="s">
        <v>135</v>
      </c>
      <c r="D1171" s="161" t="s">
        <v>90</v>
      </c>
      <c r="E1171" s="162">
        <v>28.95</v>
      </c>
      <c r="F1171" s="713" t="s">
        <v>1306</v>
      </c>
      <c r="G1171" s="357">
        <v>0</v>
      </c>
      <c r="H1171" s="748" t="str">
        <f t="shared" si="2974"/>
        <v/>
      </c>
      <c r="I1171" s="592">
        <f t="shared" si="2975"/>
        <v>0</v>
      </c>
      <c r="J1171" s="592">
        <f>IF(H1171="warranty",0,(I1171*($J$1782)))</f>
        <v>0</v>
      </c>
      <c r="K1171" s="834">
        <f t="shared" si="2976"/>
        <v>0</v>
      </c>
      <c r="L1171" s="834"/>
      <c r="M1171" s="832" t="str">
        <f>IF($H$1784=0,"",IF(G1171=0,"",IF(F1171="Qty=",CONCATENATE("$",ROUND(K1171*(1-$H$1784),2)," with ",($H$1784*100),"% discount"),CONCATENATE("$",ROUND(K1171*(1-$H$1784),2)," with ",(($H$1784*100+F1171*100)-($H$1784*100*F1171)),IF(F1171&gt;0,"% discounts",IF($H$1781&gt;0,"% discounts","% discount"))))))</f>
        <v/>
      </c>
      <c r="N1171" s="832"/>
      <c r="O1171" s="832"/>
      <c r="P1171" s="832"/>
      <c r="Q1171" s="832"/>
      <c r="R1171" s="832"/>
      <c r="S1171" s="303">
        <f t="shared" si="2977"/>
        <v>0</v>
      </c>
      <c r="T1171" s="541">
        <f>VLOOKUP(A1171,'Discount Lookup'!D:E,2,FALSE)*G1171</f>
        <v>0</v>
      </c>
      <c r="U1171" s="83">
        <f>VLOOKUP(A1171,'Discount Lookup'!G:H,2,FALSE)*G1171</f>
        <v>0</v>
      </c>
      <c r="V1171" s="100">
        <f>E1171*($J$1782)*G1171</f>
        <v>0</v>
      </c>
      <c r="W1171" s="100">
        <f t="shared" si="2978"/>
        <v>0</v>
      </c>
      <c r="X1171" s="100" t="b">
        <f>IF(G1171&gt;0,IF(AD1171="me","",G1171))</f>
        <v>0</v>
      </c>
      <c r="Y1171" s="201"/>
      <c r="Z1171" s="829" t="str">
        <f t="shared" si="2891"/>
        <v/>
      </c>
      <c r="AA1171" s="829"/>
      <c r="AB1171" s="830" t="str">
        <f>IF(G1171=0,"",IF(AD1171="free","re-planting",IF(AD1171="me","not NVP, by",IF($AD$8="yes",(VLOOKUP(A1171,'Discount Lookup'!J:K,2)*G1171*(1-$AC$1786)*(1+$AC$1788)),IF(AD1171="NVP",(VLOOKUP(A1171,'Discount Lookup'!J:K,2)*G1171*(1-$AC$1786)*(1+$AC$1788)),IF(AD1171="free","re-planting",IF(G1171=0,"",IF($AD$8="",IF(AD1171="me","not NVP, by",IF(AD1171="",IF(G1171&gt;0,(VLOOKUP(A1171,'Discount Lookup'!J:K,2)*G1171*(1-$AC$1786)*(1+$AC$1788)),""),"")),"not NVP, by"))))))))</f>
        <v/>
      </c>
      <c r="AC1171" s="830"/>
      <c r="AD1171" s="375" t="str">
        <f t="shared" si="2966"/>
        <v/>
      </c>
      <c r="AE1171" s="833" t="str">
        <f t="shared" si="2810"/>
        <v/>
      </c>
      <c r="AF1171" s="833"/>
      <c r="AG1171" s="833"/>
      <c r="AH1171" s="91">
        <f>IF(AD1171="free",0,IF(AD1171="me",0,IF(G1171&gt;0,(VLOOKUP(A1171,'Discount Lookup'!J:K,2)*G1171),0)))</f>
        <v>0</v>
      </c>
      <c r="AI1171" s="92" t="str">
        <f t="shared" si="2973"/>
        <v/>
      </c>
      <c r="AJ1171" s="828" t="str">
        <f t="shared" si="2892"/>
        <v/>
      </c>
      <c r="AK1171" s="828"/>
      <c r="AL1171" s="313" t="str">
        <f t="shared" si="2967"/>
        <v/>
      </c>
      <c r="AM1171" s="312"/>
      <c r="AN1171" s="101"/>
      <c r="AO1171" s="101"/>
      <c r="AP1171" s="101"/>
      <c r="AQ1171" s="101"/>
      <c r="AR1171" s="101"/>
      <c r="AS1171" s="101"/>
      <c r="AT1171" s="101"/>
    </row>
    <row r="1172" spans="1:46" ht="12.95" customHeight="1">
      <c r="A1172" s="477"/>
      <c r="B1172" s="149" t="s">
        <v>653</v>
      </c>
      <c r="C1172" s="118"/>
      <c r="D1172" s="118"/>
      <c r="E1172" s="119"/>
      <c r="F1172" s="711"/>
      <c r="G1172" s="358"/>
      <c r="H1172" s="745"/>
      <c r="I1172" s="119"/>
      <c r="J1172" s="119"/>
      <c r="K1172" s="609"/>
      <c r="L1172" s="609"/>
      <c r="M1172" s="121"/>
      <c r="N1172" s="122" t="s">
        <v>176</v>
      </c>
      <c r="O1172" s="123"/>
      <c r="P1172" s="124"/>
      <c r="Q1172" s="124"/>
      <c r="R1172" s="83"/>
      <c r="S1172" s="82">
        <f>E1172*G1172</f>
        <v>0</v>
      </c>
      <c r="T1172" s="540"/>
      <c r="U1172" s="83"/>
      <c r="V1172" s="100" t="b">
        <f>IF(G1172&gt;0,IF(AD1172="me","",G1172))</f>
        <v>0</v>
      </c>
      <c r="W1172" s="100"/>
      <c r="X1172" s="100"/>
      <c r="Y1172" s="201"/>
      <c r="Z1172" s="829" t="str">
        <f t="shared" si="2891"/>
        <v/>
      </c>
      <c r="AA1172" s="829"/>
      <c r="AB1172" s="830" t="str">
        <f>IF(G1172=0,"",IF(AD1172="free","re-planting",IF(AD1172="me","not NVP, by",IF($AD$8="yes",(VLOOKUP(A1172,'Discount Lookup'!J:K,2)*G1172*(1-$AC$1786)*(1+$AC$1788)),IF(AD1172="NVP",(VLOOKUP(A1172,'Discount Lookup'!J:K,2)*G1172*(1-$AC$1786)*(1+$AC$1788)),IF(AD1172="free","re-planting",IF(G1172=0,"",IF($AD$8="",IF(AD1172="me","not NVP, by",IF(AD1172="",IF(G1172&gt;0,(VLOOKUP(A1172,'Discount Lookup'!J:K,2)*G1172*(1-$AC$1786)*(1+$AC$1788)),""),"")),"not NVP, by"))))))))</f>
        <v/>
      </c>
      <c r="AC1172" s="830"/>
      <c r="AD1172" s="375" t="str">
        <f t="shared" si="2966"/>
        <v/>
      </c>
      <c r="AE1172" s="833" t="str">
        <f t="shared" si="2810"/>
        <v/>
      </c>
      <c r="AF1172" s="833"/>
      <c r="AG1172" s="833"/>
      <c r="AH1172" s="91">
        <f>IF(AD1172="free",0,IF(AD1172="me",0,IF(G1172&gt;0,(VLOOKUP(A1172,'Discount Lookup'!J:K,2)*G1172),0)))</f>
        <v>0</v>
      </c>
      <c r="AI1172" s="92" t="str">
        <f t="shared" si="2973"/>
        <v/>
      </c>
      <c r="AJ1172" s="828" t="str">
        <f t="shared" si="2892"/>
        <v/>
      </c>
      <c r="AK1172" s="828"/>
      <c r="AL1172" s="313" t="str">
        <f t="shared" si="2967"/>
        <v/>
      </c>
      <c r="AM1172" s="312"/>
      <c r="AN1172" s="101"/>
      <c r="AO1172" s="101"/>
      <c r="AP1172" s="101"/>
      <c r="AQ1172" s="101"/>
      <c r="AR1172" s="101"/>
      <c r="AS1172" s="101"/>
      <c r="AT1172" s="101"/>
    </row>
    <row r="1173" spans="1:46" ht="12.95" customHeight="1">
      <c r="A1173" s="889" t="s">
        <v>654</v>
      </c>
      <c r="B1173" s="890"/>
      <c r="C1173" s="890"/>
      <c r="D1173" s="890"/>
      <c r="E1173" s="890"/>
      <c r="F1173" s="890"/>
      <c r="G1173" s="890"/>
      <c r="H1173" s="775" t="s">
        <v>436</v>
      </c>
      <c r="I1173" s="349" t="s">
        <v>280</v>
      </c>
      <c r="J1173" s="157"/>
      <c r="K1173" s="611" t="s">
        <v>45</v>
      </c>
      <c r="L1173" s="630" t="s">
        <v>46</v>
      </c>
      <c r="M1173" s="157"/>
      <c r="N1173" s="352" t="s">
        <v>75</v>
      </c>
      <c r="O1173" s="158"/>
      <c r="P1173" s="164"/>
      <c r="Q1173" s="164"/>
      <c r="R1173" s="157"/>
      <c r="S1173" s="170"/>
      <c r="T1173" s="547"/>
      <c r="U1173" s="171"/>
      <c r="V1173" s="100" t="b">
        <f>IF(G1173&gt;0,IF(AD1173="me","",G1173))</f>
        <v>0</v>
      </c>
      <c r="W1173" s="100"/>
      <c r="X1173" s="100"/>
      <c r="Y1173" s="201"/>
      <c r="Z1173" s="829" t="str">
        <f t="shared" si="2891"/>
        <v/>
      </c>
      <c r="AA1173" s="829"/>
      <c r="AB1173" s="830" t="str">
        <f>IF(G1173=0,"",IF(AD1173="free","re-planting",IF(AD1173="me","not NVP, by",IF($AD$8="yes",(VLOOKUP(A1173,'Discount Lookup'!J:K,2)*G1173*(1-$AC$1786)*(1+$AC$1788)),IF(AD1173="NVP",(VLOOKUP(A1173,'Discount Lookup'!J:K,2)*G1173*(1-$AC$1786)*(1+$AC$1788)),IF(AD1173="free","re-planting",IF(G1173=0,"",IF($AD$8="",IF(AD1173="me","not NVP, by",IF(AD1173="",IF(G1173&gt;0,(VLOOKUP(A1173,'Discount Lookup'!J:K,2)*G1173*(1-$AC$1786)*(1+$AC$1788)),""),"")),"not NVP, by"))))))))</f>
        <v/>
      </c>
      <c r="AC1173" s="830"/>
      <c r="AD1173" s="375" t="str">
        <f t="shared" si="2966"/>
        <v/>
      </c>
      <c r="AE1173" s="833" t="str">
        <f t="shared" si="2810"/>
        <v/>
      </c>
      <c r="AF1173" s="833"/>
      <c r="AG1173" s="833"/>
      <c r="AH1173" s="91">
        <f>IF(AD1173="free",0,IF(AD1173="me",0,IF(G1173&gt;0,(VLOOKUP(A1173,'Discount Lookup'!J:K,2)*G1173),0)))</f>
        <v>0</v>
      </c>
      <c r="AI1173" s="92" t="str">
        <f t="shared" si="2973"/>
        <v/>
      </c>
      <c r="AJ1173" s="828" t="str">
        <f t="shared" si="2892"/>
        <v/>
      </c>
      <c r="AK1173" s="828"/>
      <c r="AL1173" s="313" t="str">
        <f t="shared" si="2967"/>
        <v/>
      </c>
      <c r="AM1173" s="312"/>
      <c r="AN1173" s="101"/>
      <c r="AO1173" s="101"/>
      <c r="AP1173" s="101"/>
      <c r="AQ1173" s="101"/>
      <c r="AR1173" s="101"/>
      <c r="AS1173" s="101"/>
      <c r="AT1173" s="101"/>
    </row>
    <row r="1174" spans="1:46" ht="12.95" customHeight="1">
      <c r="A1174" s="383">
        <v>3</v>
      </c>
      <c r="B1174" s="158" t="s">
        <v>50</v>
      </c>
      <c r="C1174" s="168" t="s">
        <v>136</v>
      </c>
      <c r="D1174" s="161" t="s">
        <v>86</v>
      </c>
      <c r="E1174" s="162">
        <v>30.95</v>
      </c>
      <c r="F1174" s="713" t="s">
        <v>1306</v>
      </c>
      <c r="G1174" s="357">
        <v>0</v>
      </c>
      <c r="H1174" s="748" t="str">
        <f t="shared" ref="H1174:H1175" si="2993">IF(G1174=0,"",IF(F1174="Qty=",IF(G1174=1,"plant","plants"),IF(F1174&gt;0.0001,"warranty","Error")))</f>
        <v/>
      </c>
      <c r="I1174" s="592">
        <f t="shared" ref="I1174:I1175" si="2994">IF(F1174="Qty=",(E1174*G1174),((E1174*(1-F1174))*G1174))</f>
        <v>0</v>
      </c>
      <c r="J1174" s="592">
        <f>IF(H1174="warranty",0,(I1174*($J$1782)))</f>
        <v>0</v>
      </c>
      <c r="K1174" s="834">
        <f t="shared" ref="K1174:K1175" si="2995">I1174+J1174</f>
        <v>0</v>
      </c>
      <c r="L1174" s="834"/>
      <c r="M1174" s="832" t="str">
        <f>IF($H$1784=0,"",IF(G1174=0,"",IF(F1174="Qty=",CONCATENATE("$",ROUND(K1174*(1-$H$1784),2)," with ",($H$1784*100),"% discount"),CONCATENATE("$",ROUND(K1174*(1-$H$1784),2)," with ",(($H$1784*100+F1174*100)-($H$1784*100*F1174)),IF(F1174&gt;0,"% discounts",IF($H$1781&gt;0,"% discounts","% discount"))))))</f>
        <v/>
      </c>
      <c r="N1174" s="832"/>
      <c r="O1174" s="832"/>
      <c r="P1174" s="832"/>
      <c r="Q1174" s="832"/>
      <c r="R1174" s="832"/>
      <c r="S1174" s="303">
        <f t="shared" ref="S1174" si="2996">E1174*G1174</f>
        <v>0</v>
      </c>
      <c r="T1174" s="541">
        <f>VLOOKUP(A1174,'Discount Lookup'!D:E,2,FALSE)*G1174</f>
        <v>0</v>
      </c>
      <c r="U1174" s="83">
        <f>VLOOKUP(A1174,'Discount Lookup'!G:H,2,FALSE)*G1174</f>
        <v>0</v>
      </c>
      <c r="V1174" s="100">
        <f>E1174*($J$1782)*G1174</f>
        <v>0</v>
      </c>
      <c r="W1174" s="100">
        <f t="shared" ref="W1174" si="2997">I1174</f>
        <v>0</v>
      </c>
      <c r="X1174" s="100" t="b">
        <f>IF(G1174&gt;0,IF(AD1174="me","",G1174))</f>
        <v>0</v>
      </c>
      <c r="Y1174" s="201"/>
      <c r="Z1174" s="829" t="str">
        <f t="shared" si="2891"/>
        <v/>
      </c>
      <c r="AA1174" s="829"/>
      <c r="AB1174" s="830" t="str">
        <f>IF(G1174=0,"",IF(AD1174="free","re-planting",IF(AD1174="me","not NVP, by",IF($AD$8="yes",(VLOOKUP(A1174,'Discount Lookup'!J:K,2)*G1174*(1-$AC$1786)*(1+$AC$1788)),IF(AD1174="NVP",(VLOOKUP(A1174,'Discount Lookup'!J:K,2)*G1174*(1-$AC$1786)*(1+$AC$1788)),IF(AD1174="free","re-planting",IF(G1174=0,"",IF($AD$8="",IF(AD1174="me","not NVP, by",IF(AD1174="",IF(G1174&gt;0,(VLOOKUP(A1174,'Discount Lookup'!J:K,2)*G1174*(1-$AC$1786)*(1+$AC$1788)),""),"")),"not NVP, by"))))))))</f>
        <v/>
      </c>
      <c r="AC1174" s="830"/>
      <c r="AD1174" s="375" t="str">
        <f t="shared" si="2966"/>
        <v/>
      </c>
      <c r="AE1174" s="833" t="str">
        <f t="shared" si="2810"/>
        <v/>
      </c>
      <c r="AF1174" s="833"/>
      <c r="AG1174" s="833"/>
      <c r="AH1174" s="91">
        <f>IF(AD1174="free",0,IF(AD1174="me",0,IF(G1174&gt;0,(VLOOKUP(A1174,'Discount Lookup'!J:K,2)*G1174),0)))</f>
        <v>0</v>
      </c>
      <c r="AI1174" s="92" t="str">
        <f t="shared" si="2973"/>
        <v/>
      </c>
      <c r="AJ1174" s="828" t="str">
        <f t="shared" si="2892"/>
        <v/>
      </c>
      <c r="AK1174" s="828"/>
      <c r="AL1174" s="313" t="str">
        <f t="shared" si="2967"/>
        <v/>
      </c>
      <c r="AM1174" s="312"/>
      <c r="AN1174" s="101"/>
      <c r="AO1174" s="101"/>
      <c r="AP1174" s="101"/>
      <c r="AQ1174" s="101"/>
      <c r="AR1174" s="101"/>
      <c r="AS1174" s="101"/>
      <c r="AT1174" s="101"/>
    </row>
    <row r="1175" spans="1:46" ht="12.95" customHeight="1">
      <c r="A1175" s="383">
        <v>3</v>
      </c>
      <c r="B1175" s="158" t="s">
        <v>50</v>
      </c>
      <c r="C1175" s="168" t="s">
        <v>136</v>
      </c>
      <c r="D1175" s="161" t="s">
        <v>87</v>
      </c>
      <c r="E1175" s="162">
        <v>30.95</v>
      </c>
      <c r="F1175" s="713" t="s">
        <v>1306</v>
      </c>
      <c r="G1175" s="357">
        <v>0</v>
      </c>
      <c r="H1175" s="748" t="str">
        <f t="shared" si="2993"/>
        <v/>
      </c>
      <c r="I1175" s="592">
        <f t="shared" si="2994"/>
        <v>0</v>
      </c>
      <c r="J1175" s="592">
        <f>IF(H1175="warranty",0,(I1175*($J$1782)))</f>
        <v>0</v>
      </c>
      <c r="K1175" s="834">
        <f t="shared" si="2995"/>
        <v>0</v>
      </c>
      <c r="L1175" s="834"/>
      <c r="M1175" s="832" t="str">
        <f>IF($H$1784=0,"",IF(G1175=0,"",IF(F1175="Qty=",CONCATENATE("$",ROUND(K1175*(1-$H$1784),2)," with ",($H$1784*100),"% discount"),CONCATENATE("$",ROUND(K1175*(1-$H$1784),2)," with ",(($H$1784*100+F1175*100)-($H$1784*100*F1175)),IF(F1175&gt;0,"% discounts",IF($H$1781&gt;0,"% discounts","% discount"))))))</f>
        <v/>
      </c>
      <c r="N1175" s="832"/>
      <c r="O1175" s="832"/>
      <c r="P1175" s="832"/>
      <c r="Q1175" s="832"/>
      <c r="R1175" s="832"/>
      <c r="S1175" s="303">
        <f t="shared" ref="S1175" si="2998">E1175*G1175</f>
        <v>0</v>
      </c>
      <c r="T1175" s="541">
        <f>VLOOKUP(A1175,'Discount Lookup'!D:E,2,FALSE)*G1175</f>
        <v>0</v>
      </c>
      <c r="U1175" s="83">
        <f>VLOOKUP(A1175,'Discount Lookup'!G:H,2,FALSE)*G1175</f>
        <v>0</v>
      </c>
      <c r="V1175" s="100">
        <f>E1175*($J$1782)*G1175</f>
        <v>0</v>
      </c>
      <c r="W1175" s="100">
        <f t="shared" ref="W1175" si="2999">I1175</f>
        <v>0</v>
      </c>
      <c r="X1175" s="100" t="b">
        <f>IF(G1175&gt;0,IF(AD1175="me","",G1175))</f>
        <v>0</v>
      </c>
      <c r="Y1175" s="201"/>
      <c r="Z1175" s="829" t="str">
        <f t="shared" si="2891"/>
        <v/>
      </c>
      <c r="AA1175" s="829"/>
      <c r="AB1175" s="830" t="str">
        <f>IF(G1175=0,"",IF(AD1175="free","re-planting",IF(AD1175="me","not NVP, by",IF($AD$8="yes",(VLOOKUP(A1175,'Discount Lookup'!J:K,2)*G1175*(1-$AC$1786)*(1+$AC$1788)),IF(AD1175="NVP",(VLOOKUP(A1175,'Discount Lookup'!J:K,2)*G1175*(1-$AC$1786)*(1+$AC$1788)),IF(AD1175="free","re-planting",IF(G1175=0,"",IF($AD$8="",IF(AD1175="me","not NVP, by",IF(AD1175="",IF(G1175&gt;0,(VLOOKUP(A1175,'Discount Lookup'!J:K,2)*G1175*(1-$AC$1786)*(1+$AC$1788)),""),"")),"not NVP, by"))))))))</f>
        <v/>
      </c>
      <c r="AC1175" s="830"/>
      <c r="AD1175" s="375" t="str">
        <f t="shared" si="2966"/>
        <v/>
      </c>
      <c r="AE1175" s="833" t="str">
        <f t="shared" si="2810"/>
        <v/>
      </c>
      <c r="AF1175" s="833"/>
      <c r="AG1175" s="833"/>
      <c r="AH1175" s="91">
        <f>IF(AD1175="free",0,IF(AD1175="me",0,IF(G1175&gt;0,(VLOOKUP(A1175,'Discount Lookup'!J:K,2)*G1175),0)))</f>
        <v>0</v>
      </c>
      <c r="AI1175" s="92" t="str">
        <f t="shared" si="2973"/>
        <v/>
      </c>
      <c r="AJ1175" s="828" t="str">
        <f t="shared" si="2892"/>
        <v/>
      </c>
      <c r="AK1175" s="828"/>
      <c r="AL1175" s="313" t="str">
        <f t="shared" si="2967"/>
        <v/>
      </c>
      <c r="AM1175" s="312"/>
      <c r="AN1175" s="101"/>
      <c r="AO1175" s="101"/>
      <c r="AP1175" s="101"/>
      <c r="AQ1175" s="101"/>
      <c r="AR1175" s="101"/>
      <c r="AS1175" s="101"/>
      <c r="AT1175" s="101"/>
    </row>
    <row r="1176" spans="1:46" ht="12.95" customHeight="1">
      <c r="A1176" s="481"/>
      <c r="B1176" s="149" t="s">
        <v>655</v>
      </c>
      <c r="C1176" s="118"/>
      <c r="D1176" s="118"/>
      <c r="E1176" s="119"/>
      <c r="F1176" s="711"/>
      <c r="G1176" s="358"/>
      <c r="H1176" s="745"/>
      <c r="I1176" s="119"/>
      <c r="J1176" s="119"/>
      <c r="K1176" s="609"/>
      <c r="L1176" s="609"/>
      <c r="M1176" s="121"/>
      <c r="N1176" s="122" t="s">
        <v>336</v>
      </c>
      <c r="O1176" s="123"/>
      <c r="P1176" s="124"/>
      <c r="Q1176" s="124"/>
      <c r="R1176" s="83"/>
      <c r="S1176" s="82">
        <f>E1176*G1176</f>
        <v>0</v>
      </c>
      <c r="T1176" s="540"/>
      <c r="U1176" s="83"/>
      <c r="V1176" s="100" t="b">
        <f>IF(G1176&gt;0,IF(AD1176="me","",G1176))</f>
        <v>0</v>
      </c>
      <c r="W1176" s="100"/>
      <c r="X1176" s="100"/>
      <c r="Y1176" s="201"/>
      <c r="Z1176" s="829" t="str">
        <f t="shared" si="2891"/>
        <v/>
      </c>
      <c r="AA1176" s="829"/>
      <c r="AB1176" s="830" t="str">
        <f>IF(G1176=0,"",IF(AD1176="free","re-planting",IF(AD1176="me","not NVP, by",IF($AD$8="yes",(VLOOKUP(A1176,'Discount Lookup'!J:K,2)*G1176*(1-$AC$1786)*(1+$AC$1788)),IF(AD1176="NVP",(VLOOKUP(A1176,'Discount Lookup'!J:K,2)*G1176*(1-$AC$1786)*(1+$AC$1788)),IF(AD1176="free","re-planting",IF(G1176=0,"",IF($AD$8="",IF(AD1176="me","not NVP, by",IF(AD1176="",IF(G1176&gt;0,(VLOOKUP(A1176,'Discount Lookup'!J:K,2)*G1176*(1-$AC$1786)*(1+$AC$1788)),""),"")),"not NVP, by"))))))))</f>
        <v/>
      </c>
      <c r="AC1176" s="830"/>
      <c r="AD1176" s="375" t="str">
        <f t="shared" si="2966"/>
        <v/>
      </c>
      <c r="AE1176" s="833" t="str">
        <f t="shared" si="2810"/>
        <v/>
      </c>
      <c r="AF1176" s="833"/>
      <c r="AG1176" s="833"/>
      <c r="AH1176" s="91">
        <f>IF(AD1176="free",0,IF(AD1176="me",0,IF(G1176&gt;0,(VLOOKUP(A1176,'Discount Lookup'!J:K,2)*G1176),0)))</f>
        <v>0</v>
      </c>
      <c r="AI1176" s="92" t="str">
        <f t="shared" si="2973"/>
        <v/>
      </c>
      <c r="AJ1176" s="828" t="str">
        <f t="shared" si="2892"/>
        <v/>
      </c>
      <c r="AK1176" s="828"/>
      <c r="AL1176" s="313" t="str">
        <f t="shared" si="2967"/>
        <v/>
      </c>
      <c r="AM1176" s="312"/>
      <c r="AN1176" s="101"/>
      <c r="AO1176" s="101"/>
      <c r="AP1176" s="101"/>
      <c r="AQ1176" s="101"/>
      <c r="AR1176" s="101"/>
      <c r="AS1176" s="101"/>
      <c r="AT1176" s="101"/>
    </row>
    <row r="1177" spans="1:46" ht="12.95" customHeight="1">
      <c r="A1177" s="889" t="s">
        <v>656</v>
      </c>
      <c r="B1177" s="890"/>
      <c r="C1177" s="890"/>
      <c r="D1177" s="890"/>
      <c r="E1177" s="890"/>
      <c r="F1177" s="890"/>
      <c r="G1177" s="890"/>
      <c r="H1177" s="775" t="s">
        <v>436</v>
      </c>
      <c r="I1177" s="349" t="s">
        <v>280</v>
      </c>
      <c r="J1177" s="157"/>
      <c r="K1177" s="611" t="s">
        <v>45</v>
      </c>
      <c r="L1177" s="630" t="s">
        <v>46</v>
      </c>
      <c r="M1177" s="157"/>
      <c r="N1177" s="352" t="s">
        <v>75</v>
      </c>
      <c r="O1177" s="158"/>
      <c r="P1177" s="164"/>
      <c r="Q1177" s="164"/>
      <c r="R1177" s="157"/>
      <c r="S1177" s="170"/>
      <c r="T1177" s="547"/>
      <c r="U1177" s="171"/>
      <c r="V1177" s="100" t="b">
        <f>IF(G1177&gt;0,IF(AD1177="me","",G1177))</f>
        <v>0</v>
      </c>
      <c r="W1177" s="100"/>
      <c r="X1177" s="100"/>
      <c r="Y1177" s="201"/>
      <c r="Z1177" s="829" t="str">
        <f t="shared" si="2891"/>
        <v/>
      </c>
      <c r="AA1177" s="829"/>
      <c r="AB1177" s="830" t="str">
        <f>IF(G1177=0,"",IF(AD1177="free","re-planting",IF(AD1177="me","not NVP, by",IF($AD$8="yes",(VLOOKUP(A1177,'Discount Lookup'!J:K,2)*G1177*(1-$AC$1786)*(1+$AC$1788)),IF(AD1177="NVP",(VLOOKUP(A1177,'Discount Lookup'!J:K,2)*G1177*(1-$AC$1786)*(1+$AC$1788)),IF(AD1177="free","re-planting",IF(G1177=0,"",IF($AD$8="",IF(AD1177="me","not NVP, by",IF(AD1177="",IF(G1177&gt;0,(VLOOKUP(A1177,'Discount Lookup'!J:K,2)*G1177*(1-$AC$1786)*(1+$AC$1788)),""),"")),"not NVP, by"))))))))</f>
        <v/>
      </c>
      <c r="AC1177" s="830"/>
      <c r="AD1177" s="375" t="str">
        <f t="shared" si="2966"/>
        <v/>
      </c>
      <c r="AE1177" s="833" t="str">
        <f t="shared" si="2810"/>
        <v/>
      </c>
      <c r="AF1177" s="833"/>
      <c r="AG1177" s="833"/>
      <c r="AH1177" s="91">
        <f>IF(AD1177="free",0,IF(AD1177="me",0,IF(G1177&gt;0,(VLOOKUP(A1177,'Discount Lookup'!J:K,2)*G1177),0)))</f>
        <v>0</v>
      </c>
      <c r="AI1177" s="92" t="str">
        <f t="shared" si="2973"/>
        <v/>
      </c>
      <c r="AJ1177" s="828" t="str">
        <f t="shared" si="2892"/>
        <v/>
      </c>
      <c r="AK1177" s="828"/>
      <c r="AL1177" s="313" t="str">
        <f t="shared" si="2967"/>
        <v/>
      </c>
      <c r="AM1177" s="312"/>
      <c r="AN1177" s="101"/>
      <c r="AO1177" s="101"/>
      <c r="AP1177" s="101"/>
      <c r="AQ1177" s="101"/>
      <c r="AR1177" s="101"/>
      <c r="AS1177" s="101"/>
      <c r="AT1177" s="101"/>
    </row>
    <row r="1178" spans="1:46" ht="12.95" customHeight="1">
      <c r="A1178" s="383">
        <v>3</v>
      </c>
      <c r="B1178" s="158" t="s">
        <v>50</v>
      </c>
      <c r="C1178" s="168" t="s">
        <v>136</v>
      </c>
      <c r="D1178" s="161" t="s">
        <v>86</v>
      </c>
      <c r="E1178" s="162">
        <v>30.95</v>
      </c>
      <c r="F1178" s="713" t="s">
        <v>1306</v>
      </c>
      <c r="G1178" s="357">
        <v>0</v>
      </c>
      <c r="H1178" s="748" t="str">
        <f t="shared" ref="H1178" si="3000">IF(G1178=0,"",IF(F1178="Qty=",IF(G1178=1,"plant","plants"),IF(F1178&gt;0.0001,"warranty","Error")))</f>
        <v/>
      </c>
      <c r="I1178" s="592">
        <f t="shared" ref="I1178" si="3001">IF(F1178="Qty=",(E1178*G1178),((E1178*(1-F1178))*G1178))</f>
        <v>0</v>
      </c>
      <c r="J1178" s="592">
        <f>IF(H1178="warranty",0,(I1178*($J$1782)))</f>
        <v>0</v>
      </c>
      <c r="K1178" s="834">
        <f t="shared" ref="K1178" si="3002">I1178+J1178</f>
        <v>0</v>
      </c>
      <c r="L1178" s="834"/>
      <c r="M1178" s="832" t="str">
        <f>IF($H$1784=0,"",IF(G1178=0,"",IF(F1178="Qty=",CONCATENATE("$",ROUND(K1178*(1-$H$1784),2)," with ",($H$1784*100),"% discount"),CONCATENATE("$",ROUND(K1178*(1-$H$1784),2)," with ",(($H$1784*100+F1178*100)-($H$1784*100*F1178)),IF(F1178&gt;0,"% discounts",IF($H$1781&gt;0,"% discounts","% discount"))))))</f>
        <v/>
      </c>
      <c r="N1178" s="832"/>
      <c r="O1178" s="832"/>
      <c r="P1178" s="832"/>
      <c r="Q1178" s="832"/>
      <c r="R1178" s="832"/>
      <c r="S1178" s="303">
        <f t="shared" ref="S1178" si="3003">E1178*G1178</f>
        <v>0</v>
      </c>
      <c r="T1178" s="541">
        <f>VLOOKUP(A1178,'Discount Lookup'!D:E,2,FALSE)*G1178</f>
        <v>0</v>
      </c>
      <c r="U1178" s="83">
        <f>VLOOKUP(A1178,'Discount Lookup'!G:H,2,FALSE)*G1178</f>
        <v>0</v>
      </c>
      <c r="V1178" s="100">
        <f>E1178*($J$1782)*G1178</f>
        <v>0</v>
      </c>
      <c r="W1178" s="100">
        <f t="shared" ref="W1178" si="3004">I1178</f>
        <v>0</v>
      </c>
      <c r="X1178" s="100" t="b">
        <f>IF(G1178&gt;0,IF(AD1178="me","",G1178))</f>
        <v>0</v>
      </c>
      <c r="Y1178" s="201"/>
      <c r="Z1178" s="829" t="str">
        <f t="shared" si="2891"/>
        <v/>
      </c>
      <c r="AA1178" s="829"/>
      <c r="AB1178" s="830" t="str">
        <f>IF(G1178=0,"",IF(AD1178="free","re-planting",IF(AD1178="me","not NVP, by",IF($AD$8="yes",(VLOOKUP(A1178,'Discount Lookup'!J:K,2)*G1178*(1-$AC$1786)*(1+$AC$1788)),IF(AD1178="NVP",(VLOOKUP(A1178,'Discount Lookup'!J:K,2)*G1178*(1-$AC$1786)*(1+$AC$1788)),IF(AD1178="free","re-planting",IF(G1178=0,"",IF($AD$8="",IF(AD1178="me","not NVP, by",IF(AD1178="",IF(G1178&gt;0,(VLOOKUP(A1178,'Discount Lookup'!J:K,2)*G1178*(1-$AC$1786)*(1+$AC$1788)),""),"")),"not NVP, by"))))))))</f>
        <v/>
      </c>
      <c r="AC1178" s="830"/>
      <c r="AD1178" s="375" t="str">
        <f t="shared" si="2966"/>
        <v/>
      </c>
      <c r="AE1178" s="833" t="str">
        <f t="shared" si="2810"/>
        <v/>
      </c>
      <c r="AF1178" s="833"/>
      <c r="AG1178" s="833"/>
      <c r="AH1178" s="91">
        <f>IF(AD1178="free",0,IF(AD1178="me",0,IF(G1178&gt;0,(VLOOKUP(A1178,'Discount Lookup'!J:K,2)*G1178),0)))</f>
        <v>0</v>
      </c>
      <c r="AI1178" s="92" t="str">
        <f t="shared" si="2973"/>
        <v/>
      </c>
      <c r="AJ1178" s="828" t="str">
        <f t="shared" si="2892"/>
        <v/>
      </c>
      <c r="AK1178" s="828"/>
      <c r="AL1178" s="313" t="str">
        <f t="shared" si="2967"/>
        <v/>
      </c>
      <c r="AM1178" s="312"/>
      <c r="AN1178" s="101"/>
      <c r="AO1178" s="101"/>
      <c r="AP1178" s="101"/>
      <c r="AQ1178" s="101"/>
      <c r="AR1178" s="101"/>
      <c r="AS1178" s="101"/>
      <c r="AT1178" s="101"/>
    </row>
    <row r="1179" spans="1:46" ht="12.95" customHeight="1">
      <c r="A1179" s="479"/>
      <c r="B1179" s="149" t="s">
        <v>658</v>
      </c>
      <c r="C1179" s="104"/>
      <c r="D1179" s="104"/>
      <c r="E1179" s="105"/>
      <c r="F1179" s="709"/>
      <c r="G1179" s="358"/>
      <c r="H1179" s="743"/>
      <c r="I1179" s="102"/>
      <c r="J1179" s="102"/>
      <c r="K1179" s="607"/>
      <c r="L1179" s="607"/>
      <c r="M1179" s="121"/>
      <c r="N1179" s="122" t="s">
        <v>336</v>
      </c>
      <c r="O1179" s="151"/>
      <c r="P1179" s="152"/>
      <c r="Q1179" s="841" t="s">
        <v>125</v>
      </c>
      <c r="R1179" s="841"/>
      <c r="S1179" s="841"/>
      <c r="T1179" s="841"/>
      <c r="U1179" s="841"/>
      <c r="V1179" s="841"/>
      <c r="W1179" s="286"/>
      <c r="X1179" s="286"/>
      <c r="Y1179" s="794"/>
      <c r="Z1179" s="829" t="str">
        <f t="shared" si="2891"/>
        <v/>
      </c>
      <c r="AA1179" s="829"/>
      <c r="AB1179" s="830" t="str">
        <f>IF(G1179=0,"",IF(AD1179="free","re-planting",IF(AD1179="me","not NVP, by",IF($AD$8="yes",(VLOOKUP(A1179,'Discount Lookup'!J:K,2)*G1179*(1-$AC$1786)*(1+$AC$1788)),IF(AD1179="NVP",(VLOOKUP(A1179,'Discount Lookup'!J:K,2)*G1179*(1-$AC$1786)*(1+$AC$1788)),IF(AD1179="free","re-planting",IF(G1179=0,"",IF($AD$8="",IF(AD1179="me","not NVP, by",IF(AD1179="",IF(G1179&gt;0,(VLOOKUP(A1179,'Discount Lookup'!J:K,2)*G1179*(1-$AC$1786)*(1+$AC$1788)),""),"")),"not NVP, by"))))))))</f>
        <v/>
      </c>
      <c r="AC1179" s="830"/>
      <c r="AD1179" s="375" t="str">
        <f t="shared" si="2966"/>
        <v/>
      </c>
      <c r="AE1179" s="833" t="str">
        <f t="shared" si="2810"/>
        <v/>
      </c>
      <c r="AF1179" s="833"/>
      <c r="AG1179" s="833"/>
      <c r="AH1179" s="91">
        <f>IF(AD1179="free",0,IF(AD1179="me",0,IF(G1179&gt;0,(VLOOKUP(A1179,'Discount Lookup'!J:K,2)*G1179),0)))</f>
        <v>0</v>
      </c>
      <c r="AI1179" s="92" t="str">
        <f t="shared" si="2973"/>
        <v/>
      </c>
      <c r="AJ1179" s="828" t="str">
        <f t="shared" si="2892"/>
        <v/>
      </c>
      <c r="AK1179" s="828"/>
      <c r="AL1179" s="313" t="str">
        <f t="shared" si="2967"/>
        <v/>
      </c>
      <c r="AM1179" s="312"/>
      <c r="AN1179" s="101"/>
      <c r="AO1179" s="101"/>
      <c r="AP1179" s="101"/>
      <c r="AQ1179" s="101"/>
      <c r="AR1179" s="101"/>
      <c r="AS1179" s="101"/>
      <c r="AT1179" s="101"/>
    </row>
    <row r="1180" spans="1:46" ht="12.75" customHeight="1">
      <c r="A1180" s="889" t="s">
        <v>659</v>
      </c>
      <c r="B1180" s="890"/>
      <c r="C1180" s="890"/>
      <c r="D1180" s="890"/>
      <c r="E1180" s="890"/>
      <c r="F1180" s="890"/>
      <c r="G1180" s="890"/>
      <c r="H1180" s="775" t="s">
        <v>436</v>
      </c>
      <c r="I1180" s="349" t="s">
        <v>280</v>
      </c>
      <c r="J1180" s="157"/>
      <c r="K1180" s="611" t="s">
        <v>45</v>
      </c>
      <c r="L1180" s="630" t="s">
        <v>46</v>
      </c>
      <c r="M1180" s="157"/>
      <c r="N1180" s="158" t="s">
        <v>69</v>
      </c>
      <c r="O1180" s="158"/>
      <c r="P1180" s="164"/>
      <c r="Q1180" s="164"/>
      <c r="R1180" s="157"/>
      <c r="S1180" s="170"/>
      <c r="T1180" s="547"/>
      <c r="U1180" s="159" t="s">
        <v>48</v>
      </c>
      <c r="V1180" s="100" t="b">
        <f>IF(G1180&gt;0,IF(AD1180="me","",G1180))</f>
        <v>0</v>
      </c>
      <c r="W1180" s="100"/>
      <c r="X1180" s="100"/>
      <c r="Y1180" s="201"/>
      <c r="Z1180" s="829" t="str">
        <f t="shared" si="2891"/>
        <v/>
      </c>
      <c r="AA1180" s="829"/>
      <c r="AB1180" s="830" t="str">
        <f>IF(G1180=0,"",IF(AD1180="free","re-planting",IF(AD1180="me","not NVP, by",IF($AD$8="yes",(VLOOKUP(A1180,'Discount Lookup'!J:K,2)*G1180*(1-$AC$1786)*(1+$AC$1788)),IF(AD1180="NVP",(VLOOKUP(A1180,'Discount Lookup'!J:K,2)*G1180*(1-$AC$1786)*(1+$AC$1788)),IF(AD1180="free","re-planting",IF(G1180=0,"",IF($AD$8="",IF(AD1180="me","not NVP, by",IF(AD1180="",IF(G1180&gt;0,(VLOOKUP(A1180,'Discount Lookup'!J:K,2)*G1180*(1-$AC$1786)*(1+$AC$1788)),""),"")),"not NVP, by"))))))))</f>
        <v/>
      </c>
      <c r="AC1180" s="830"/>
      <c r="AD1180" s="375" t="str">
        <f t="shared" si="2966"/>
        <v/>
      </c>
      <c r="AE1180" s="833" t="str">
        <f t="shared" ref="AE1180:AE1245" si="3005">IF(G1180&gt;0,(CONCATENATE((G1180)," quantity, ",(A1180)," ",B1180)),"")</f>
        <v/>
      </c>
      <c r="AF1180" s="833"/>
      <c r="AG1180" s="833"/>
      <c r="AH1180" s="91">
        <f>IF(AD1180="free",0,IF(AD1180="me",0,IF(G1180&gt;0,(VLOOKUP(A1180,'Discount Lookup'!J:K,2)*G1180),0)))</f>
        <v>0</v>
      </c>
      <c r="AI1180" s="92" t="str">
        <f t="shared" si="2973"/>
        <v/>
      </c>
      <c r="AJ1180" s="828" t="str">
        <f t="shared" si="2892"/>
        <v/>
      </c>
      <c r="AK1180" s="828"/>
      <c r="AL1180" s="313" t="str">
        <f t="shared" si="2967"/>
        <v/>
      </c>
      <c r="AM1180" s="312"/>
      <c r="AN1180" s="101"/>
      <c r="AO1180" s="101"/>
      <c r="AP1180" s="101"/>
      <c r="AQ1180" s="101"/>
      <c r="AR1180" s="101"/>
      <c r="AS1180" s="101"/>
      <c r="AT1180" s="101"/>
    </row>
    <row r="1181" spans="1:46" ht="12.95" customHeight="1">
      <c r="A1181" s="383">
        <v>1</v>
      </c>
      <c r="B1181" s="158" t="s">
        <v>50</v>
      </c>
      <c r="C1181" s="168" t="s">
        <v>136</v>
      </c>
      <c r="D1181" s="161" t="s">
        <v>87</v>
      </c>
      <c r="E1181" s="162">
        <v>11.95</v>
      </c>
      <c r="F1181" s="713" t="s">
        <v>1306</v>
      </c>
      <c r="G1181" s="357">
        <v>0</v>
      </c>
      <c r="H1181" s="748" t="str">
        <f t="shared" ref="H1181:H1182" si="3006">IF(G1181=0,"",IF(F1181="Qty=",IF(G1181=1,"plant","plants"),IF(F1181&gt;0.0001,"warranty","Error")))</f>
        <v/>
      </c>
      <c r="I1181" s="592">
        <f t="shared" ref="I1181:I1182" si="3007">IF(F1181="Qty=",(E1181*G1181),((E1181*(1-F1181))*G1181))</f>
        <v>0</v>
      </c>
      <c r="J1181" s="592">
        <f>IF(H1181="warranty",0,(I1181*($J$1782)))</f>
        <v>0</v>
      </c>
      <c r="K1181" s="834">
        <f t="shared" ref="K1181:K1182" si="3008">I1181+J1181</f>
        <v>0</v>
      </c>
      <c r="L1181" s="834"/>
      <c r="M1181" s="832" t="str">
        <f>IF($H$1784=0,"",IF(G1181=0,"",IF(F1181="Qty=",CONCATENATE("$",ROUND(K1181*(1-$H$1784),2)," with ",($H$1784*100),"% discount"),CONCATENATE("$",ROUND(K1181*(1-$H$1784),2)," with ",(($H$1784*100+F1181*100)-($H$1784*100*F1181)),IF(F1181&gt;0,"% discounts",IF($H$1781&gt;0,"% discounts","% discount"))))))</f>
        <v/>
      </c>
      <c r="N1181" s="832"/>
      <c r="O1181" s="832"/>
      <c r="P1181" s="832"/>
      <c r="Q1181" s="832"/>
      <c r="R1181" s="832"/>
      <c r="S1181" s="303">
        <f t="shared" ref="S1181" si="3009">E1181*G1181</f>
        <v>0</v>
      </c>
      <c r="T1181" s="541">
        <f>VLOOKUP(A1181,'Discount Lookup'!D:E,2,FALSE)*G1181</f>
        <v>0</v>
      </c>
      <c r="U1181" s="83">
        <f>VLOOKUP(A1181,'Discount Lookup'!G:H,2,FALSE)*G1181</f>
        <v>0</v>
      </c>
      <c r="V1181" s="100">
        <f>E1181*($J$1782)*G1181</f>
        <v>0</v>
      </c>
      <c r="W1181" s="100">
        <f t="shared" ref="W1181" si="3010">I1181</f>
        <v>0</v>
      </c>
      <c r="X1181" s="100" t="b">
        <f>IF(G1181&gt;0,IF(AD1181="me","",G1181))</f>
        <v>0</v>
      </c>
      <c r="Y1181" s="201"/>
      <c r="Z1181" s="829" t="str">
        <f t="shared" si="2891"/>
        <v/>
      </c>
      <c r="AA1181" s="829"/>
      <c r="AB1181" s="830" t="str">
        <f>IF(G1181=0,"",IF(AD1181="free","re-planting",IF(AD1181="me","not NVP, by",IF($AD$8="yes",(VLOOKUP(A1181,'Discount Lookup'!J:K,2)*G1181*(1-$AC$1786)*(1+$AC$1788)),IF(AD1181="NVP",(VLOOKUP(A1181,'Discount Lookup'!J:K,2)*G1181*(1-$AC$1786)*(1+$AC$1788)),IF(AD1181="free","re-planting",IF(G1181=0,"",IF($AD$8="",IF(AD1181="me","not NVP, by",IF(AD1181="",IF(G1181&gt;0,(VLOOKUP(A1181,'Discount Lookup'!J:K,2)*G1181*(1-$AC$1786)*(1+$AC$1788)),""),"")),"not NVP, by"))))))))</f>
        <v/>
      </c>
      <c r="AC1181" s="830"/>
      <c r="AD1181" s="375" t="str">
        <f t="shared" si="2966"/>
        <v/>
      </c>
      <c r="AE1181" s="833" t="str">
        <f t="shared" si="3005"/>
        <v/>
      </c>
      <c r="AF1181" s="833"/>
      <c r="AG1181" s="833"/>
      <c r="AH1181" s="91">
        <f>IF(AD1181="free",0,IF(AD1181="me",0,IF(G1181&gt;0,(VLOOKUP(A1181,'Discount Lookup'!J:K,2)*G1181),0)))</f>
        <v>0</v>
      </c>
      <c r="AI1181" s="92" t="str">
        <f t="shared" si="2973"/>
        <v/>
      </c>
      <c r="AJ1181" s="828" t="str">
        <f t="shared" si="2892"/>
        <v/>
      </c>
      <c r="AK1181" s="828"/>
      <c r="AL1181" s="313" t="str">
        <f t="shared" si="2967"/>
        <v/>
      </c>
      <c r="AM1181" s="312"/>
      <c r="AN1181" s="101"/>
      <c r="AO1181" s="101"/>
      <c r="AP1181" s="101"/>
      <c r="AQ1181" s="101"/>
      <c r="AR1181" s="101"/>
      <c r="AS1181" s="101"/>
      <c r="AT1181" s="101"/>
    </row>
    <row r="1182" spans="1:46" ht="12.95" customHeight="1">
      <c r="A1182" s="383">
        <v>3</v>
      </c>
      <c r="B1182" s="158" t="s">
        <v>50</v>
      </c>
      <c r="C1182" s="168" t="s">
        <v>136</v>
      </c>
      <c r="D1182" s="161" t="s">
        <v>90</v>
      </c>
      <c r="E1182" s="162">
        <v>30.95</v>
      </c>
      <c r="F1182" s="713" t="s">
        <v>1306</v>
      </c>
      <c r="G1182" s="357">
        <v>0</v>
      </c>
      <c r="H1182" s="748" t="str">
        <f t="shared" si="3006"/>
        <v/>
      </c>
      <c r="I1182" s="592">
        <f t="shared" si="3007"/>
        <v>0</v>
      </c>
      <c r="J1182" s="592">
        <f>IF(H1182="warranty",0,(I1182*($J$1782)))</f>
        <v>0</v>
      </c>
      <c r="K1182" s="834">
        <f t="shared" si="3008"/>
        <v>0</v>
      </c>
      <c r="L1182" s="834"/>
      <c r="M1182" s="832" t="str">
        <f>IF($H$1784=0,"",IF(G1182=0,"",IF(F1182="Qty=",CONCATENATE("$",ROUND(K1182*(1-$H$1784),2)," with ",($H$1784*100),"% discount"),CONCATENATE("$",ROUND(K1182*(1-$H$1784),2)," with ",(($H$1784*100+F1182*100)-($H$1784*100*F1182)),IF(F1182&gt;0,"% discounts",IF($H$1781&gt;0,"% discounts","% discount"))))))</f>
        <v/>
      </c>
      <c r="N1182" s="832"/>
      <c r="O1182" s="832"/>
      <c r="P1182" s="832"/>
      <c r="Q1182" s="832"/>
      <c r="R1182" s="832"/>
      <c r="S1182" s="303">
        <f t="shared" ref="S1182" si="3011">E1182*G1182</f>
        <v>0</v>
      </c>
      <c r="T1182" s="541">
        <f>VLOOKUP(A1182,'Discount Lookup'!D:E,2,FALSE)*G1182</f>
        <v>0</v>
      </c>
      <c r="U1182" s="83">
        <f>VLOOKUP(A1182,'Discount Lookup'!G:H,2,FALSE)*G1182</f>
        <v>0</v>
      </c>
      <c r="V1182" s="100">
        <f>E1182*($J$1782)*G1182</f>
        <v>0</v>
      </c>
      <c r="W1182" s="100">
        <f t="shared" ref="W1182" si="3012">I1182</f>
        <v>0</v>
      </c>
      <c r="X1182" s="100" t="b">
        <f>IF(G1182&gt;0,IF(AD1182="me","",G1182))</f>
        <v>0</v>
      </c>
      <c r="Y1182" s="201"/>
      <c r="Z1182" s="829" t="str">
        <f t="shared" si="2891"/>
        <v/>
      </c>
      <c r="AA1182" s="829"/>
      <c r="AB1182" s="830" t="str">
        <f>IF(G1182=0,"",IF(AD1182="free","re-planting",IF(AD1182="me","not NVP, by",IF($AD$8="yes",(VLOOKUP(A1182,'Discount Lookup'!J:K,2)*G1182*(1-$AC$1786)*(1+$AC$1788)),IF(AD1182="NVP",(VLOOKUP(A1182,'Discount Lookup'!J:K,2)*G1182*(1-$AC$1786)*(1+$AC$1788)),IF(AD1182="free","re-planting",IF(G1182=0,"",IF($AD$8="",IF(AD1182="me","not NVP, by",IF(AD1182="",IF(G1182&gt;0,(VLOOKUP(A1182,'Discount Lookup'!J:K,2)*G1182*(1-$AC$1786)*(1+$AC$1788)),""),"")),"not NVP, by"))))))))</f>
        <v/>
      </c>
      <c r="AC1182" s="830"/>
      <c r="AD1182" s="375" t="str">
        <f t="shared" si="2966"/>
        <v/>
      </c>
      <c r="AE1182" s="833" t="str">
        <f t="shared" si="3005"/>
        <v/>
      </c>
      <c r="AF1182" s="833"/>
      <c r="AG1182" s="833"/>
      <c r="AH1182" s="91">
        <f>IF(AD1182="free",0,IF(AD1182="me",0,IF(G1182&gt;0,(VLOOKUP(A1182,'Discount Lookup'!J:K,2)*G1182),0)))</f>
        <v>0</v>
      </c>
      <c r="AI1182" s="92" t="str">
        <f t="shared" si="2973"/>
        <v/>
      </c>
      <c r="AJ1182" s="828" t="str">
        <f t="shared" si="2892"/>
        <v/>
      </c>
      <c r="AK1182" s="828"/>
      <c r="AL1182" s="313" t="str">
        <f t="shared" si="2967"/>
        <v/>
      </c>
      <c r="AM1182" s="312"/>
      <c r="AN1182" s="101"/>
      <c r="AO1182" s="101"/>
      <c r="AP1182" s="101"/>
      <c r="AQ1182" s="101"/>
      <c r="AR1182" s="101"/>
      <c r="AS1182" s="101"/>
      <c r="AT1182" s="101"/>
    </row>
    <row r="1183" spans="1:46" ht="12.95" customHeight="1">
      <c r="A1183" s="481"/>
      <c r="B1183" s="149" t="s">
        <v>660</v>
      </c>
      <c r="C1183" s="118"/>
      <c r="D1183" s="118"/>
      <c r="E1183" s="119"/>
      <c r="F1183" s="711"/>
      <c r="G1183" s="358"/>
      <c r="H1183" s="745"/>
      <c r="I1183" s="119"/>
      <c r="J1183" s="119"/>
      <c r="K1183" s="609"/>
      <c r="M1183" s="121"/>
      <c r="N1183" s="122" t="s">
        <v>661</v>
      </c>
      <c r="O1183" s="123"/>
      <c r="P1183" s="124"/>
      <c r="W1183" s="100"/>
      <c r="X1183" s="100"/>
      <c r="Y1183" s="201"/>
      <c r="Z1183" s="829" t="str">
        <f t="shared" si="2891"/>
        <v/>
      </c>
      <c r="AA1183" s="829"/>
      <c r="AB1183" s="830" t="str">
        <f>IF(G1183=0,"",IF(AD1183="free","re-planting",IF(AD1183="me","not NVP, by",IF($AD$8="yes",(VLOOKUP(A1183,'Discount Lookup'!J:K,2)*G1183*(1-$AC$1786)*(1+$AC$1788)),IF(AD1183="NVP",(VLOOKUP(A1183,'Discount Lookup'!J:K,2)*G1183*(1-$AC$1786)*(1+$AC$1788)),IF(AD1183="free","re-planting",IF(G1183=0,"",IF($AD$8="",IF(AD1183="me","not NVP, by",IF(AD1183="",IF(G1183&gt;0,(VLOOKUP(A1183,'Discount Lookup'!J:K,2)*G1183*(1-$AC$1786)*(1+$AC$1788)),""),"")),"not NVP, by"))))))))</f>
        <v/>
      </c>
      <c r="AC1183" s="830"/>
      <c r="AD1183" s="375" t="str">
        <f t="shared" si="2966"/>
        <v/>
      </c>
      <c r="AE1183" s="833" t="str">
        <f t="shared" si="3005"/>
        <v/>
      </c>
      <c r="AF1183" s="833"/>
      <c r="AG1183" s="833"/>
      <c r="AH1183" s="91">
        <f>IF(AD1183="free",0,IF(AD1183="me",0,IF(G1183&gt;0,(VLOOKUP(A1183,'Discount Lookup'!J:K,2)*G1183),0)))</f>
        <v>0</v>
      </c>
      <c r="AI1183" s="92" t="str">
        <f t="shared" si="2973"/>
        <v/>
      </c>
      <c r="AJ1183" s="828" t="str">
        <f t="shared" si="2892"/>
        <v/>
      </c>
      <c r="AK1183" s="828"/>
      <c r="AL1183" s="313" t="str">
        <f t="shared" si="2967"/>
        <v/>
      </c>
      <c r="AM1183" s="312"/>
      <c r="AN1183" s="101"/>
      <c r="AO1183" s="101"/>
      <c r="AP1183" s="101"/>
      <c r="AQ1183" s="101"/>
      <c r="AR1183" s="101"/>
      <c r="AS1183" s="101"/>
      <c r="AT1183" s="101"/>
    </row>
    <row r="1184" spans="1:46" ht="12.95" customHeight="1">
      <c r="A1184" s="894" t="s">
        <v>662</v>
      </c>
      <c r="B1184" s="895"/>
      <c r="C1184" s="895"/>
      <c r="D1184" s="895"/>
      <c r="E1184" s="895"/>
      <c r="F1184" s="895"/>
      <c r="G1184" s="895"/>
      <c r="H1184" s="775" t="s">
        <v>436</v>
      </c>
      <c r="I1184" s="164" t="s">
        <v>543</v>
      </c>
      <c r="J1184" s="157"/>
      <c r="K1184" s="611" t="s">
        <v>45</v>
      </c>
      <c r="L1184" s="630" t="s">
        <v>46</v>
      </c>
      <c r="M1184" s="157"/>
      <c r="N1184" s="352" t="s">
        <v>75</v>
      </c>
      <c r="O1184" s="158"/>
      <c r="P1184" s="164"/>
      <c r="Q1184" s="164"/>
      <c r="R1184" s="157"/>
      <c r="S1184" s="170"/>
      <c r="T1184" s="547"/>
      <c r="U1184" s="171"/>
      <c r="V1184" s="100" t="b">
        <f>IF(G1184&gt;0,IF(AD1184="me","",G1184))</f>
        <v>0</v>
      </c>
      <c r="W1184" s="100"/>
      <c r="X1184" s="100"/>
      <c r="Y1184" s="201"/>
      <c r="Z1184" s="829" t="str">
        <f t="shared" si="2891"/>
        <v/>
      </c>
      <c r="AA1184" s="829"/>
      <c r="AB1184" s="830" t="str">
        <f>IF(G1184=0,"",IF(AD1184="free","re-planting",IF(AD1184="me","not NVP, by",IF($AD$8="yes",(VLOOKUP(A1184,'Discount Lookup'!J:K,2)*G1184*(1-$AC$1786)*(1+$AC$1788)),IF(AD1184="NVP",(VLOOKUP(A1184,'Discount Lookup'!J:K,2)*G1184*(1-$AC$1786)*(1+$AC$1788)),IF(AD1184="free","re-planting",IF(G1184=0,"",IF($AD$8="",IF(AD1184="me","not NVP, by",IF(AD1184="",IF(G1184&gt;0,(VLOOKUP(A1184,'Discount Lookup'!J:K,2)*G1184*(1-$AC$1786)*(1+$AC$1788)),""),"")),"not NVP, by"))))))))</f>
        <v/>
      </c>
      <c r="AC1184" s="830"/>
      <c r="AD1184" s="375" t="str">
        <f t="shared" si="2966"/>
        <v/>
      </c>
      <c r="AE1184" s="833" t="str">
        <f t="shared" si="3005"/>
        <v/>
      </c>
      <c r="AF1184" s="833"/>
      <c r="AG1184" s="833"/>
      <c r="AH1184" s="91">
        <f>IF(AD1184="free",0,IF(AD1184="me",0,IF(G1184&gt;0,(VLOOKUP(A1184,'Discount Lookup'!J:K,2)*G1184),0)))</f>
        <v>0</v>
      </c>
      <c r="AI1184" s="92" t="str">
        <f t="shared" si="2973"/>
        <v/>
      </c>
      <c r="AJ1184" s="828" t="str">
        <f t="shared" si="2892"/>
        <v/>
      </c>
      <c r="AK1184" s="828"/>
      <c r="AL1184" s="313" t="str">
        <f t="shared" si="2967"/>
        <v/>
      </c>
      <c r="AM1184" s="312"/>
      <c r="AN1184" s="101"/>
      <c r="AO1184" s="101"/>
      <c r="AP1184" s="101"/>
      <c r="AQ1184" s="101"/>
      <c r="AR1184" s="101"/>
      <c r="AS1184" s="101"/>
      <c r="AT1184" s="101"/>
    </row>
    <row r="1185" spans="1:46" ht="12.95" customHeight="1">
      <c r="A1185" s="383">
        <v>3</v>
      </c>
      <c r="B1185" s="158" t="s">
        <v>50</v>
      </c>
      <c r="C1185" s="168" t="s">
        <v>136</v>
      </c>
      <c r="D1185" s="161" t="s">
        <v>86</v>
      </c>
      <c r="E1185" s="162">
        <v>24.95</v>
      </c>
      <c r="F1185" s="713" t="s">
        <v>1306</v>
      </c>
      <c r="G1185" s="357">
        <v>0</v>
      </c>
      <c r="H1185" s="748" t="str">
        <f t="shared" ref="H1185" si="3013">IF(G1185=0,"",IF(F1185="Qty=",IF(G1185=1,"plant","plants"),IF(F1185&gt;0.0001,"warranty","Error")))</f>
        <v/>
      </c>
      <c r="I1185" s="592">
        <f t="shared" ref="I1185" si="3014">IF(F1185="Qty=",(E1185*G1185),((E1185*(1-F1185))*G1185))</f>
        <v>0</v>
      </c>
      <c r="J1185" s="592">
        <f>IF(H1185="warranty",0,(I1185*($J$1782)))</f>
        <v>0</v>
      </c>
      <c r="K1185" s="834">
        <f t="shared" ref="K1185:K1186" si="3015">I1185+J1185</f>
        <v>0</v>
      </c>
      <c r="L1185" s="834"/>
      <c r="M1185" s="832" t="str">
        <f>IF($H$1784=0,"",IF(G1185=0,"",IF(F1185="Qty=",CONCATENATE("$",ROUND(K1185*(1-$H$1784),2)," with ",($H$1784*100),"% discount"),CONCATENATE("$",ROUND(K1185*(1-$H$1784),2)," with ",(($H$1784*100+F1185*100)-($H$1784*100*F1185)),IF(F1185&gt;0,"% discounts",IF($H$1781&gt;0,"% discounts","% discount"))))))</f>
        <v/>
      </c>
      <c r="N1185" s="832"/>
      <c r="O1185" s="832"/>
      <c r="P1185" s="832"/>
      <c r="Q1185" s="832"/>
      <c r="R1185" s="832"/>
      <c r="S1185" s="303">
        <f t="shared" ref="S1185" si="3016">E1185*G1185</f>
        <v>0</v>
      </c>
      <c r="T1185" s="541">
        <f>VLOOKUP(A1185,'Discount Lookup'!D:E,2,FALSE)*G1185</f>
        <v>0</v>
      </c>
      <c r="U1185" s="83">
        <f>VLOOKUP(A1185,'Discount Lookup'!G:H,2,FALSE)*G1185</f>
        <v>0</v>
      </c>
      <c r="V1185" s="100">
        <f>E1185*($J$1782)*G1185</f>
        <v>0</v>
      </c>
      <c r="W1185" s="100">
        <f t="shared" ref="W1185" si="3017">I1185</f>
        <v>0</v>
      </c>
      <c r="X1185" s="100" t="b">
        <f>IF(G1185&gt;0,IF(AD1185="me","",G1185))</f>
        <v>0</v>
      </c>
      <c r="Y1185" s="201"/>
      <c r="Z1185" s="829" t="str">
        <f t="shared" ref="Z1185" si="3018">IF(G1185=0,"",IF(AD1185="me","",IF($AD$8="me","",IF(AD1185="free","warranty",IF($AD$8="yes","NVP planting:","to NVP install:")))))</f>
        <v/>
      </c>
      <c r="AA1185" s="829"/>
      <c r="AB1185" s="830" t="str">
        <f>IF(G1185=0,"",IF(AD1185="free","re-planting",IF(AD1185="me","not NVP, by",IF($AD$8="yes",(VLOOKUP(A1185,'Discount Lookup'!J:K,2)*G1185*(1-$AC$1786)*(1+$AC$1788)),IF(AD1185="NVP",(VLOOKUP(A1185,'Discount Lookup'!J:K,2)*G1185*(1-$AC$1786)*(1+$AC$1788)),IF(AD1185="free","re-planting",IF(G1185=0,"",IF($AD$8="",IF(AD1185="me","not NVP, by",IF(AD1185="",IF(G1185&gt;0,(VLOOKUP(A1185,'Discount Lookup'!J:K,2)*G1185*(1-$AC$1786)*(1+$AC$1788)),""),"")),"not NVP, by"))))))))</f>
        <v/>
      </c>
      <c r="AC1185" s="830"/>
      <c r="AD1185" s="375" t="str">
        <f t="shared" si="2966"/>
        <v/>
      </c>
      <c r="AE1185" s="833" t="str">
        <f t="shared" si="3005"/>
        <v/>
      </c>
      <c r="AF1185" s="833"/>
      <c r="AG1185" s="833"/>
      <c r="AH1185" s="91">
        <f>IF(AD1185="free",0,IF(AD1185="me",0,IF(G1185&gt;0,(VLOOKUP(A1185,'Discount Lookup'!J:K,2)*G1185),0)))</f>
        <v>0</v>
      </c>
      <c r="AI1185" s="92" t="str">
        <f t="shared" si="2973"/>
        <v/>
      </c>
      <c r="AJ1185" s="828" t="str">
        <f t="shared" ref="AJ1185" si="3019">IF(G1185=0,"",IF(AD1185="me","  delivery-only",IF($AD$8="me","  delivery-only",CONCATENATE(" $",ROUND(AI1185/G1185,2)," each"))))</f>
        <v/>
      </c>
      <c r="AK1185" s="828"/>
      <c r="AL1185" s="313" t="str">
        <f t="shared" si="2967"/>
        <v/>
      </c>
      <c r="AM1185" s="312"/>
      <c r="AN1185" s="101"/>
      <c r="AO1185" s="101"/>
      <c r="AP1185" s="101"/>
      <c r="AQ1185" s="101"/>
      <c r="AR1185" s="101"/>
      <c r="AS1185" s="101"/>
      <c r="AT1185" s="101"/>
    </row>
    <row r="1186" spans="1:46" ht="12.95" customHeight="1">
      <c r="A1186" s="383">
        <v>5</v>
      </c>
      <c r="B1186" s="158" t="s">
        <v>50</v>
      </c>
      <c r="C1186" s="168" t="s">
        <v>136</v>
      </c>
      <c r="D1186" s="161" t="s">
        <v>62</v>
      </c>
      <c r="E1186" s="162">
        <v>40.950000000000003</v>
      </c>
      <c r="F1186" s="713" t="s">
        <v>1306</v>
      </c>
      <c r="G1186" s="357">
        <v>0</v>
      </c>
      <c r="H1186" s="748" t="str">
        <f t="shared" ref="H1186" si="3020">IF(G1186=0,"",IF(F1186="Qty=",IF(G1186=1,"plant","plants"),IF(F1186&gt;0.0001,"warranty","Error")))</f>
        <v/>
      </c>
      <c r="I1186" s="592">
        <f t="shared" ref="I1186" si="3021">IF(F1186="Qty=",(E1186*G1186),((E1186*(1-F1186))*G1186))</f>
        <v>0</v>
      </c>
      <c r="J1186" s="592">
        <f>IF(H1186="warranty",0,(I1186*($J$1782)))</f>
        <v>0</v>
      </c>
      <c r="K1186" s="834">
        <f t="shared" si="3015"/>
        <v>0</v>
      </c>
      <c r="L1186" s="834"/>
      <c r="M1186" s="832" t="str">
        <f>IF($H$1784=0,"",IF(G1186=0,"",IF(F1186="Qty=",CONCATENATE("$",ROUND(K1186*(1-$H$1784),2)," with ",($H$1784*100),"% discount"),CONCATENATE("$",ROUND(K1186*(1-$H$1784),2)," with ",(($H$1784*100+F1186*100)-($H$1784*100*F1186)),IF(F1186&gt;0,"% discounts",IF($H$1781&gt;0,"% discounts","% discount"))))))</f>
        <v/>
      </c>
      <c r="N1186" s="832"/>
      <c r="O1186" s="832"/>
      <c r="P1186" s="832"/>
      <c r="Q1186" s="832"/>
      <c r="R1186" s="832"/>
      <c r="S1186" s="303">
        <f t="shared" ref="S1186" si="3022">E1186*G1186</f>
        <v>0</v>
      </c>
      <c r="T1186" s="541">
        <f>VLOOKUP(A1186,'Discount Lookup'!D:E,2,FALSE)*G1186</f>
        <v>0</v>
      </c>
      <c r="U1186" s="83">
        <f>VLOOKUP(A1186,'Discount Lookup'!G:H,2,FALSE)*G1186</f>
        <v>0</v>
      </c>
      <c r="V1186" s="100">
        <f>E1186*($J$1782)*G1186</f>
        <v>0</v>
      </c>
      <c r="W1186" s="100">
        <f t="shared" ref="W1186" si="3023">I1186</f>
        <v>0</v>
      </c>
      <c r="X1186" s="100" t="b">
        <f>IF(G1186&gt;0,IF(AD1186="me","",G1186))</f>
        <v>0</v>
      </c>
      <c r="Y1186" s="201"/>
      <c r="Z1186" s="829" t="str">
        <f t="shared" si="2891"/>
        <v/>
      </c>
      <c r="AA1186" s="829"/>
      <c r="AB1186" s="830" t="str">
        <f>IF(G1186=0,"",IF(AD1186="free","re-planting",IF(AD1186="me","not NVP, by",IF($AD$8="yes",(VLOOKUP(A1186,'Discount Lookup'!J:K,2)*G1186*(1-$AC$1786)*(1+$AC$1788)),IF(AD1186="NVP",(VLOOKUP(A1186,'Discount Lookup'!J:K,2)*G1186*(1-$AC$1786)*(1+$AC$1788)),IF(AD1186="free","re-planting",IF(G1186=0,"",IF($AD$8="",IF(AD1186="me","not NVP, by",IF(AD1186="",IF(G1186&gt;0,(VLOOKUP(A1186,'Discount Lookup'!J:K,2)*G1186*(1-$AC$1786)*(1+$AC$1788)),""),"")),"not NVP, by"))))))))</f>
        <v/>
      </c>
      <c r="AC1186" s="830"/>
      <c r="AD1186" s="375" t="str">
        <f t="shared" si="2966"/>
        <v/>
      </c>
      <c r="AE1186" s="833" t="str">
        <f t="shared" si="3005"/>
        <v/>
      </c>
      <c r="AF1186" s="833"/>
      <c r="AG1186" s="833"/>
      <c r="AH1186" s="91">
        <f>IF(AD1186="free",0,IF(AD1186="me",0,IF(G1186&gt;0,(VLOOKUP(A1186,'Discount Lookup'!J:K,2)*G1186),0)))</f>
        <v>0</v>
      </c>
      <c r="AI1186" s="92" t="str">
        <f t="shared" si="2973"/>
        <v/>
      </c>
      <c r="AJ1186" s="828" t="str">
        <f t="shared" si="2892"/>
        <v/>
      </c>
      <c r="AK1186" s="828"/>
      <c r="AL1186" s="313" t="str">
        <f t="shared" si="2967"/>
        <v/>
      </c>
      <c r="AM1186" s="312"/>
      <c r="AN1186" s="101"/>
      <c r="AO1186" s="101"/>
      <c r="AP1186" s="101"/>
      <c r="AQ1186" s="101"/>
      <c r="AR1186" s="101"/>
      <c r="AS1186" s="101"/>
      <c r="AT1186" s="101"/>
    </row>
    <row r="1187" spans="1:46" ht="12.95" customHeight="1">
      <c r="A1187" s="477"/>
      <c r="B1187" s="149" t="s">
        <v>663</v>
      </c>
      <c r="C1187" s="118"/>
      <c r="D1187" s="118"/>
      <c r="E1187" s="119"/>
      <c r="F1187" s="711"/>
      <c r="G1187" s="358"/>
      <c r="H1187" s="745"/>
      <c r="I1187" s="119"/>
      <c r="J1187" s="119"/>
      <c r="K1187" s="609"/>
      <c r="L1187" s="609"/>
      <c r="M1187" s="121"/>
      <c r="N1187" s="121"/>
      <c r="O1187" s="123"/>
      <c r="P1187" s="124"/>
      <c r="Q1187" s="124"/>
      <c r="R1187" s="83"/>
      <c r="S1187" s="82">
        <f>E1187*G1187</f>
        <v>0</v>
      </c>
      <c r="T1187" s="540"/>
      <c r="U1187" s="83"/>
      <c r="V1187" s="100" t="b">
        <f>IF(G1187&gt;0,IF(AD1187="me","",G1187))</f>
        <v>0</v>
      </c>
      <c r="W1187" s="100"/>
      <c r="X1187" s="100"/>
      <c r="Y1187" s="201"/>
      <c r="Z1187" s="829" t="str">
        <f t="shared" si="2891"/>
        <v/>
      </c>
      <c r="AA1187" s="829"/>
      <c r="AB1187" s="830" t="str">
        <f>IF(G1187=0,"",IF(AD1187="free","re-planting",IF(AD1187="me","not NVP, by",IF($AD$8="yes",(VLOOKUP(A1187,'Discount Lookup'!J:K,2)*G1187*(1-$AC$1786)*(1+$AC$1788)),IF(AD1187="NVP",(VLOOKUP(A1187,'Discount Lookup'!J:K,2)*G1187*(1-$AC$1786)*(1+$AC$1788)),IF(AD1187="free","re-planting",IF(G1187=0,"",IF($AD$8="",IF(AD1187="me","not NVP, by",IF(AD1187="",IF(G1187&gt;0,(VLOOKUP(A1187,'Discount Lookup'!J:K,2)*G1187*(1-$AC$1786)*(1+$AC$1788)),""),"")),"not NVP, by"))))))))</f>
        <v/>
      </c>
      <c r="AC1187" s="830"/>
      <c r="AD1187" s="375" t="str">
        <f t="shared" si="2966"/>
        <v/>
      </c>
      <c r="AE1187" s="833" t="str">
        <f t="shared" si="3005"/>
        <v/>
      </c>
      <c r="AF1187" s="833"/>
      <c r="AG1187" s="833"/>
      <c r="AH1187" s="91">
        <f>IF(AD1187="free",0,IF(AD1187="me",0,IF(G1187&gt;0,(VLOOKUP(A1187,'Discount Lookup'!J:K,2)*G1187),0)))</f>
        <v>0</v>
      </c>
      <c r="AI1187" s="92" t="str">
        <f t="shared" si="2973"/>
        <v/>
      </c>
      <c r="AJ1187" s="828" t="str">
        <f t="shared" si="2892"/>
        <v/>
      </c>
      <c r="AK1187" s="828"/>
      <c r="AL1187" s="313" t="str">
        <f t="shared" si="2967"/>
        <v/>
      </c>
      <c r="AM1187" s="312"/>
      <c r="AN1187" s="101"/>
      <c r="AO1187" s="101"/>
      <c r="AP1187" s="101"/>
      <c r="AQ1187" s="101"/>
      <c r="AR1187" s="101"/>
      <c r="AS1187" s="101"/>
      <c r="AT1187" s="101"/>
    </row>
    <row r="1188" spans="1:46" ht="12.95" customHeight="1">
      <c r="A1188" s="889" t="s">
        <v>1323</v>
      </c>
      <c r="B1188" s="890"/>
      <c r="C1188" s="890"/>
      <c r="D1188" s="890"/>
      <c r="E1188" s="890"/>
      <c r="F1188" s="890"/>
      <c r="G1188" s="890"/>
      <c r="H1188" s="775" t="s">
        <v>436</v>
      </c>
      <c r="I1188" s="349" t="s">
        <v>280</v>
      </c>
      <c r="J1188" s="157"/>
      <c r="K1188" s="611" t="s">
        <v>45</v>
      </c>
      <c r="L1188" s="630" t="s">
        <v>46</v>
      </c>
      <c r="M1188" s="157"/>
      <c r="N1188" s="158" t="s">
        <v>98</v>
      </c>
      <c r="O1188" s="158"/>
      <c r="P1188" s="158"/>
      <c r="Q1188" s="158"/>
      <c r="R1188" s="157"/>
      <c r="S1188" s="170"/>
      <c r="T1188" s="547"/>
      <c r="U1188" s="159" t="s">
        <v>48</v>
      </c>
      <c r="V1188" s="100" t="b">
        <f>IF(G1188&gt;0,IF(AD1188="me","",G1188))</f>
        <v>0</v>
      </c>
      <c r="W1188" s="100"/>
      <c r="X1188" s="100"/>
      <c r="Y1188" s="201"/>
      <c r="Z1188" s="829" t="str">
        <f t="shared" si="2891"/>
        <v/>
      </c>
      <c r="AA1188" s="829"/>
      <c r="AB1188" s="830" t="str">
        <f>IF(G1188=0,"",IF(AD1188="free","re-planting",IF(AD1188="me","not NVP, by",IF($AD$8="yes",(VLOOKUP(A1188,'Discount Lookup'!J:K,2)*G1188*(1-$AC$1786)*(1+$AC$1788)),IF(AD1188="NVP",(VLOOKUP(A1188,'Discount Lookup'!J:K,2)*G1188*(1-$AC$1786)*(1+$AC$1788)),IF(AD1188="free","re-planting",IF(G1188=0,"",IF($AD$8="",IF(AD1188="me","not NVP, by",IF(AD1188="",IF(G1188&gt;0,(VLOOKUP(A1188,'Discount Lookup'!J:K,2)*G1188*(1-$AC$1786)*(1+$AC$1788)),""),"")),"not NVP, by"))))))))</f>
        <v/>
      </c>
      <c r="AC1188" s="830"/>
      <c r="AD1188" s="375" t="str">
        <f t="shared" si="2966"/>
        <v/>
      </c>
      <c r="AE1188" s="833" t="str">
        <f t="shared" si="3005"/>
        <v/>
      </c>
      <c r="AF1188" s="833"/>
      <c r="AG1188" s="833"/>
      <c r="AH1188" s="91">
        <f>IF(AD1188="free",0,IF(AD1188="me",0,IF(G1188&gt;0,(VLOOKUP(A1188,'Discount Lookup'!J:K,2)*G1188),0)))</f>
        <v>0</v>
      </c>
      <c r="AI1188" s="92" t="str">
        <f t="shared" si="2973"/>
        <v/>
      </c>
      <c r="AJ1188" s="828" t="str">
        <f t="shared" si="2892"/>
        <v/>
      </c>
      <c r="AK1188" s="828"/>
      <c r="AL1188" s="313" t="str">
        <f t="shared" si="2967"/>
        <v/>
      </c>
      <c r="AM1188" s="312"/>
      <c r="AN1188" s="101"/>
      <c r="AO1188" s="101"/>
      <c r="AP1188" s="101"/>
      <c r="AQ1188" s="101"/>
      <c r="AR1188" s="101"/>
      <c r="AS1188" s="101"/>
      <c r="AT1188" s="101"/>
    </row>
    <row r="1189" spans="1:46" ht="12.95" customHeight="1">
      <c r="A1189" s="383">
        <v>3</v>
      </c>
      <c r="B1189" s="158" t="s">
        <v>50</v>
      </c>
      <c r="C1189" s="160" t="s">
        <v>170</v>
      </c>
      <c r="D1189" s="161" t="s">
        <v>62</v>
      </c>
      <c r="E1189" s="162">
        <v>20.95</v>
      </c>
      <c r="F1189" s="713" t="s">
        <v>1306</v>
      </c>
      <c r="G1189" s="357">
        <v>0</v>
      </c>
      <c r="H1189" s="748" t="str">
        <f t="shared" ref="H1189" si="3024">IF(G1189=0,"",IF(F1189="Qty=",IF(G1189=1,"plant","plants"),IF(F1189&gt;0.0001,"warranty","Error")))</f>
        <v/>
      </c>
      <c r="I1189" s="592">
        <f t="shared" ref="I1189" si="3025">IF(F1189="Qty=",(E1189*G1189),((E1189*(1-F1189))*G1189))</f>
        <v>0</v>
      </c>
      <c r="J1189" s="592">
        <f>IF(H1189="warranty",0,(I1189*($J$1782)))</f>
        <v>0</v>
      </c>
      <c r="K1189" s="834">
        <f t="shared" ref="K1189" si="3026">I1189+J1189</f>
        <v>0</v>
      </c>
      <c r="L1189" s="834"/>
      <c r="M1189" s="832" t="str">
        <f>IF($H$1784=0,"",IF(G1189=0,"",IF(F1189="Qty=",CONCATENATE("$",ROUND(K1189*(1-$H$1784),2)," with ",($H$1784*100),"% discount"),CONCATENATE("$",ROUND(K1189*(1-$H$1784),2)," with ",(($H$1784*100+F1189*100)-($H$1784*100*F1189)),IF(F1189&gt;0,"% discounts",IF($H$1781&gt;0,"% discounts","% discount"))))))</f>
        <v/>
      </c>
      <c r="N1189" s="832"/>
      <c r="O1189" s="832"/>
      <c r="P1189" s="832"/>
      <c r="Q1189" s="832"/>
      <c r="R1189" s="832"/>
      <c r="S1189" s="303">
        <f t="shared" ref="S1189" si="3027">E1189*G1189</f>
        <v>0</v>
      </c>
      <c r="T1189" s="541">
        <f>VLOOKUP(A1189,'Discount Lookup'!D:E,2,FALSE)*G1189</f>
        <v>0</v>
      </c>
      <c r="U1189" s="83">
        <f>VLOOKUP(A1189,'Discount Lookup'!G:H,2,FALSE)*G1189</f>
        <v>0</v>
      </c>
      <c r="V1189" s="100">
        <f>E1189*($J$1782)*G1189</f>
        <v>0</v>
      </c>
      <c r="W1189" s="100">
        <f t="shared" ref="W1189" si="3028">I1189</f>
        <v>0</v>
      </c>
      <c r="X1189" s="100" t="b">
        <f>IF(G1189&gt;0,IF(AD1189="me","",G1189))</f>
        <v>0</v>
      </c>
      <c r="Y1189" s="201"/>
      <c r="Z1189" s="829" t="str">
        <f t="shared" si="2891"/>
        <v/>
      </c>
      <c r="AA1189" s="829"/>
      <c r="AB1189" s="830" t="str">
        <f>IF(G1189=0,"",IF(AD1189="free","re-planting",IF(AD1189="me","not NVP, by",IF($AD$8="yes",(VLOOKUP(A1189,'Discount Lookup'!J:K,2)*G1189*(1-$AC$1786)*(1+$AC$1788)),IF(AD1189="NVP",(VLOOKUP(A1189,'Discount Lookup'!J:K,2)*G1189*(1-$AC$1786)*(1+$AC$1788)),IF(AD1189="free","re-planting",IF(G1189=0,"",IF($AD$8="",IF(AD1189="me","not NVP, by",IF(AD1189="",IF(G1189&gt;0,(VLOOKUP(A1189,'Discount Lookup'!J:K,2)*G1189*(1-$AC$1786)*(1+$AC$1788)),""),"")),"not NVP, by"))))))))</f>
        <v/>
      </c>
      <c r="AC1189" s="830"/>
      <c r="AD1189" s="375" t="str">
        <f t="shared" si="2966"/>
        <v/>
      </c>
      <c r="AE1189" s="833" t="str">
        <f t="shared" si="3005"/>
        <v/>
      </c>
      <c r="AF1189" s="833"/>
      <c r="AG1189" s="833"/>
      <c r="AH1189" s="91">
        <f>IF(AD1189="free",0,IF(AD1189="me",0,IF(G1189&gt;0,(VLOOKUP(A1189,'Discount Lookup'!J:K,2)*G1189),0)))</f>
        <v>0</v>
      </c>
      <c r="AI1189" s="92" t="str">
        <f t="shared" si="2973"/>
        <v/>
      </c>
      <c r="AJ1189" s="828" t="str">
        <f t="shared" si="2892"/>
        <v/>
      </c>
      <c r="AK1189" s="828"/>
      <c r="AL1189" s="313" t="str">
        <f t="shared" si="2967"/>
        <v/>
      </c>
      <c r="AM1189" s="312"/>
      <c r="AN1189" s="101"/>
      <c r="AO1189" s="101"/>
      <c r="AP1189" s="101"/>
      <c r="AQ1189" s="101"/>
      <c r="AR1189" s="101"/>
      <c r="AS1189" s="101"/>
      <c r="AT1189" s="101"/>
    </row>
    <row r="1190" spans="1:46" ht="12.95" customHeight="1">
      <c r="A1190" s="477"/>
      <c r="B1190" s="149" t="s">
        <v>664</v>
      </c>
      <c r="C1190" s="117"/>
      <c r="D1190" s="118"/>
      <c r="E1190" s="119"/>
      <c r="F1190" s="711"/>
      <c r="G1190" s="356"/>
      <c r="H1190" s="745"/>
      <c r="I1190" s="119"/>
      <c r="J1190" s="119"/>
      <c r="K1190" s="609"/>
      <c r="L1190" s="609"/>
      <c r="M1190" s="121"/>
      <c r="N1190" s="122" t="s">
        <v>331</v>
      </c>
      <c r="O1190" s="123"/>
      <c r="P1190" s="124"/>
      <c r="Q1190" s="124"/>
      <c r="R1190" s="83"/>
      <c r="S1190" s="82"/>
      <c r="T1190" s="540"/>
      <c r="U1190" s="83"/>
      <c r="V1190" s="100"/>
      <c r="W1190" s="100"/>
      <c r="X1190" s="100"/>
      <c r="Y1190" s="201"/>
      <c r="Z1190" s="829" t="str">
        <f t="shared" si="2891"/>
        <v/>
      </c>
      <c r="AA1190" s="829"/>
      <c r="AB1190" s="830" t="str">
        <f>IF(G1190=0,"",IF(AD1190="free","re-planting",IF(AD1190="me","not NVP, by",IF($AD$8="yes",(VLOOKUP(A1190,'Discount Lookup'!J:K,2)*G1190*(1-$AC$1786)*(1+$AC$1788)),IF(AD1190="NVP",(VLOOKUP(A1190,'Discount Lookup'!J:K,2)*G1190*(1-$AC$1786)*(1+$AC$1788)),IF(AD1190="free","re-planting",IF(G1190=0,"",IF($AD$8="",IF(AD1190="me","not NVP, by",IF(AD1190="",IF(G1190&gt;0,(VLOOKUP(A1190,'Discount Lookup'!J:K,2)*G1190*(1-$AC$1786)*(1+$AC$1788)),""),"")),"not NVP, by"))))))))</f>
        <v/>
      </c>
      <c r="AC1190" s="830"/>
      <c r="AD1190" s="375" t="str">
        <f t="shared" si="2966"/>
        <v/>
      </c>
      <c r="AE1190" s="833" t="str">
        <f t="shared" si="3005"/>
        <v/>
      </c>
      <c r="AF1190" s="833"/>
      <c r="AG1190" s="833"/>
      <c r="AH1190" s="91">
        <f>IF(AD1190="free",0,IF(AD1190="me",0,IF(G1190&gt;0,(VLOOKUP(A1190,'Discount Lookup'!J:K,2)*G1190),0)))</f>
        <v>0</v>
      </c>
      <c r="AI1190" s="92" t="str">
        <f t="shared" si="2973"/>
        <v/>
      </c>
      <c r="AJ1190" s="828" t="str">
        <f t="shared" si="2892"/>
        <v/>
      </c>
      <c r="AK1190" s="828"/>
      <c r="AL1190" s="313" t="str">
        <f t="shared" si="2967"/>
        <v/>
      </c>
      <c r="AM1190" s="312"/>
      <c r="AN1190" s="101"/>
      <c r="AO1190" s="101"/>
      <c r="AP1190" s="101"/>
      <c r="AQ1190" s="101"/>
      <c r="AR1190" s="101"/>
      <c r="AS1190" s="101"/>
      <c r="AT1190" s="101"/>
    </row>
    <row r="1191" spans="1:46" ht="12.95" customHeight="1">
      <c r="A1191" s="836" t="s">
        <v>665</v>
      </c>
      <c r="B1191" s="837"/>
      <c r="C1191" s="837"/>
      <c r="D1191" s="837"/>
      <c r="E1191" s="837"/>
      <c r="F1191" s="837"/>
      <c r="G1191" s="837"/>
      <c r="H1191" s="775" t="s">
        <v>531</v>
      </c>
      <c r="I1191" s="349" t="s">
        <v>280</v>
      </c>
      <c r="J1191" s="157"/>
      <c r="K1191" s="611" t="s">
        <v>45</v>
      </c>
      <c r="L1191" s="630" t="s">
        <v>46</v>
      </c>
      <c r="M1191" s="157"/>
      <c r="N1191" s="352" t="s">
        <v>75</v>
      </c>
      <c r="O1191" s="158"/>
      <c r="P1191" s="164"/>
      <c r="Q1191" s="164"/>
      <c r="R1191" s="157"/>
      <c r="S1191" s="170"/>
      <c r="T1191" s="547"/>
      <c r="U1191" s="171"/>
      <c r="V1191" s="100" t="b">
        <f>IF(G1191&gt;0,IF(AD1191="me","",G1191))</f>
        <v>0</v>
      </c>
      <c r="W1191" s="100"/>
      <c r="X1191" s="100"/>
      <c r="Y1191" s="201"/>
      <c r="Z1191" s="829" t="str">
        <f t="shared" si="2891"/>
        <v/>
      </c>
      <c r="AA1191" s="829"/>
      <c r="AB1191" s="830" t="str">
        <f>IF(G1191=0,"",IF(AD1191="free","re-planting",IF(AD1191="me","not NVP, by",IF($AD$8="yes",(VLOOKUP(A1191,'Discount Lookup'!J:K,2)*G1191*(1-$AC$1786)*(1+$AC$1788)),IF(AD1191="NVP",(VLOOKUP(A1191,'Discount Lookup'!J:K,2)*G1191*(1-$AC$1786)*(1+$AC$1788)),IF(AD1191="free","re-planting",IF(G1191=0,"",IF($AD$8="",IF(AD1191="me","not NVP, by",IF(AD1191="",IF(G1191&gt;0,(VLOOKUP(A1191,'Discount Lookup'!J:K,2)*G1191*(1-$AC$1786)*(1+$AC$1788)),""),"")),"not NVP, by"))))))))</f>
        <v/>
      </c>
      <c r="AC1191" s="830"/>
      <c r="AD1191" s="375" t="str">
        <f t="shared" si="2966"/>
        <v/>
      </c>
      <c r="AE1191" s="833" t="str">
        <f t="shared" si="3005"/>
        <v/>
      </c>
      <c r="AF1191" s="833"/>
      <c r="AG1191" s="833"/>
      <c r="AH1191" s="91">
        <f>IF(AD1191="free",0,IF(AD1191="me",0,IF(G1191&gt;0,(VLOOKUP(A1191,'Discount Lookup'!J:K,2)*G1191),0)))</f>
        <v>0</v>
      </c>
      <c r="AI1191" s="92" t="str">
        <f t="shared" si="2973"/>
        <v/>
      </c>
      <c r="AJ1191" s="828" t="str">
        <f t="shared" si="2892"/>
        <v/>
      </c>
      <c r="AK1191" s="828"/>
      <c r="AL1191" s="313" t="str">
        <f t="shared" si="2967"/>
        <v/>
      </c>
      <c r="AM1191" s="312"/>
      <c r="AN1191" s="101"/>
      <c r="AO1191" s="101"/>
      <c r="AP1191" s="101"/>
      <c r="AQ1191" s="101"/>
      <c r="AR1191" s="101"/>
      <c r="AS1191" s="101"/>
      <c r="AT1191" s="101"/>
    </row>
    <row r="1192" spans="1:46" ht="12.95" customHeight="1">
      <c r="A1192" s="383">
        <v>7</v>
      </c>
      <c r="B1192" s="158" t="s">
        <v>50</v>
      </c>
      <c r="C1192" s="160" t="s">
        <v>223</v>
      </c>
      <c r="D1192" s="161" t="s">
        <v>54</v>
      </c>
      <c r="E1192" s="162">
        <v>91.95</v>
      </c>
      <c r="F1192" s="713" t="s">
        <v>1306</v>
      </c>
      <c r="G1192" s="357">
        <v>0</v>
      </c>
      <c r="H1192" s="748" t="str">
        <f t="shared" ref="H1192" si="3029">IF(G1192=0,"",IF(F1192="Qty=",IF(G1192=1,"plant","plants"),IF(F1192&gt;0.0001,"warranty","Error")))</f>
        <v/>
      </c>
      <c r="I1192" s="592">
        <f t="shared" ref="I1192" si="3030">IF(F1192="Qty=",(E1192*G1192),((E1192*(1-F1192))*G1192))</f>
        <v>0</v>
      </c>
      <c r="J1192" s="592">
        <f>IF(H1192="warranty",0,(I1192*($J$1782)))</f>
        <v>0</v>
      </c>
      <c r="K1192" s="834">
        <f t="shared" ref="K1192" si="3031">I1192+J1192</f>
        <v>0</v>
      </c>
      <c r="L1192" s="834"/>
      <c r="M1192" s="832" t="str">
        <f>IF($H$1784=0,"",IF(G1192=0,"",IF(F1192="Qty=",CONCATENATE("$",ROUND(K1192*(1-$H$1784),2)," with ",($H$1784*100),"% discount"),CONCATENATE("$",ROUND(K1192*(1-$H$1784),2)," with ",(($H$1784*100+F1192*100)-($H$1784*100*F1192)),IF(F1192&gt;0,"% discounts",IF($H$1781&gt;0,"% discounts","% discount"))))))</f>
        <v/>
      </c>
      <c r="N1192" s="832"/>
      <c r="O1192" s="832"/>
      <c r="P1192" s="832"/>
      <c r="Q1192" s="832"/>
      <c r="R1192" s="832"/>
      <c r="S1192" s="303">
        <f t="shared" ref="S1192" si="3032">E1192*G1192</f>
        <v>0</v>
      </c>
      <c r="T1192" s="541">
        <f>VLOOKUP(A1192,'Discount Lookup'!D:E,2,FALSE)*G1192</f>
        <v>0</v>
      </c>
      <c r="U1192" s="83">
        <f>VLOOKUP(A1192,'Discount Lookup'!G:H,2,FALSE)*G1192</f>
        <v>0</v>
      </c>
      <c r="V1192" s="100">
        <f>E1192*($J$1782)*G1192</f>
        <v>0</v>
      </c>
      <c r="W1192" s="100">
        <f t="shared" ref="W1192" si="3033">I1192</f>
        <v>0</v>
      </c>
      <c r="X1192" s="100" t="b">
        <f>IF(G1192&gt;0,IF(AD1192="me","",G1192))</f>
        <v>0</v>
      </c>
      <c r="Y1192" s="201"/>
      <c r="Z1192" s="829" t="str">
        <f t="shared" si="2891"/>
        <v/>
      </c>
      <c r="AA1192" s="829"/>
      <c r="AB1192" s="830" t="str">
        <f>IF(G1192=0,"",IF(AD1192="free","re-planting",IF(AD1192="me","not NVP, by",IF($AD$8="yes",(VLOOKUP(A1192,'Discount Lookup'!J:K,2)*G1192*(1-$AC$1786)*(1+$AC$1788)),IF(AD1192="NVP",(VLOOKUP(A1192,'Discount Lookup'!J:K,2)*G1192*(1-$AC$1786)*(1+$AC$1788)),IF(AD1192="free","re-planting",IF(G1192=0,"",IF($AD$8="",IF(AD1192="me","not NVP, by",IF(AD1192="",IF(G1192&gt;0,(VLOOKUP(A1192,'Discount Lookup'!J:K,2)*G1192*(1-$AC$1786)*(1+$AC$1788)),""),"")),"not NVP, by"))))))))</f>
        <v/>
      </c>
      <c r="AC1192" s="830"/>
      <c r="AD1192" s="375" t="str">
        <f t="shared" si="2966"/>
        <v/>
      </c>
      <c r="AE1192" s="833" t="str">
        <f t="shared" si="3005"/>
        <v/>
      </c>
      <c r="AF1192" s="833"/>
      <c r="AG1192" s="833"/>
      <c r="AH1192" s="91">
        <f>IF(AD1192="free",0,IF(AD1192="me",0,IF(G1192&gt;0,(VLOOKUP(A1192,'Discount Lookup'!J:K,2)*G1192),0)))</f>
        <v>0</v>
      </c>
      <c r="AI1192" s="92" t="str">
        <f t="shared" si="2973"/>
        <v/>
      </c>
      <c r="AJ1192" s="828" t="str">
        <f t="shared" si="2892"/>
        <v/>
      </c>
      <c r="AK1192" s="828"/>
      <c r="AL1192" s="313" t="str">
        <f t="shared" si="2967"/>
        <v/>
      </c>
      <c r="AM1192" s="312"/>
      <c r="AN1192" s="101"/>
      <c r="AO1192" s="101"/>
      <c r="AP1192" s="101"/>
      <c r="AQ1192" s="101"/>
      <c r="AR1192" s="101"/>
      <c r="AS1192" s="101"/>
      <c r="AT1192" s="101"/>
    </row>
    <row r="1193" spans="1:46" ht="12.95" customHeight="1">
      <c r="A1193" s="472"/>
      <c r="B1193" s="173" t="s">
        <v>666</v>
      </c>
      <c r="C1193" s="117"/>
      <c r="D1193" s="118"/>
      <c r="E1193" s="119"/>
      <c r="F1193" s="711"/>
      <c r="G1193" s="356"/>
      <c r="H1193" s="745"/>
      <c r="I1193" s="119"/>
      <c r="J1193" s="119"/>
      <c r="K1193" s="609"/>
      <c r="L1193" s="609"/>
      <c r="M1193" s="121"/>
      <c r="N1193" s="122"/>
      <c r="O1193" s="123"/>
      <c r="P1193" s="124"/>
      <c r="Q1193" s="124"/>
      <c r="R1193" s="83"/>
      <c r="S1193" s="82"/>
      <c r="T1193" s="540"/>
      <c r="U1193" s="83"/>
      <c r="V1193" s="100" t="b">
        <f>IF(G1193&gt;0,IF(AD1193="me","",G1193))</f>
        <v>0</v>
      </c>
      <c r="W1193" s="100"/>
      <c r="X1193" s="100"/>
      <c r="Y1193" s="201"/>
      <c r="Z1193" s="829" t="str">
        <f t="shared" si="2891"/>
        <v/>
      </c>
      <c r="AA1193" s="829"/>
      <c r="AB1193" s="830" t="str">
        <f>IF(G1193=0,"",IF(AD1193="free","re-planting",IF(AD1193="me","not NVP, by",IF($AD$8="yes",(VLOOKUP(A1193,'Discount Lookup'!J:K,2)*G1193*(1-$AC$1786)*(1+$AC$1788)),IF(AD1193="NVP",(VLOOKUP(A1193,'Discount Lookup'!J:K,2)*G1193*(1-$AC$1786)*(1+$AC$1788)),IF(AD1193="free","re-planting",IF(G1193=0,"",IF($AD$8="",IF(AD1193="me","not NVP, by",IF(AD1193="",IF(G1193&gt;0,(VLOOKUP(A1193,'Discount Lookup'!J:K,2)*G1193*(1-$AC$1786)*(1+$AC$1788)),""),"")),"not NVP, by"))))))))</f>
        <v/>
      </c>
      <c r="AC1193" s="830"/>
      <c r="AD1193" s="375" t="str">
        <f t="shared" si="2966"/>
        <v/>
      </c>
      <c r="AE1193" s="833" t="str">
        <f t="shared" si="3005"/>
        <v/>
      </c>
      <c r="AF1193" s="833"/>
      <c r="AG1193" s="833"/>
      <c r="AH1193" s="91">
        <f>IF(AD1193="free",0,IF(AD1193="me",0,IF(G1193&gt;0,(VLOOKUP(A1193,'Discount Lookup'!J:K,2)*G1193),0)))</f>
        <v>0</v>
      </c>
      <c r="AI1193" s="92" t="str">
        <f t="shared" si="2973"/>
        <v/>
      </c>
      <c r="AJ1193" s="828" t="str">
        <f t="shared" si="2892"/>
        <v/>
      </c>
      <c r="AK1193" s="828"/>
      <c r="AL1193" s="313" t="str">
        <f t="shared" si="2967"/>
        <v/>
      </c>
      <c r="AM1193" s="312"/>
      <c r="AN1193" s="101"/>
      <c r="AO1193" s="101"/>
      <c r="AP1193" s="101"/>
      <c r="AQ1193" s="101"/>
      <c r="AR1193" s="101"/>
      <c r="AS1193" s="101"/>
      <c r="AT1193" s="101"/>
    </row>
    <row r="1194" spans="1:46" ht="12.95" customHeight="1">
      <c r="A1194" s="894" t="s">
        <v>667</v>
      </c>
      <c r="B1194" s="895"/>
      <c r="C1194" s="895"/>
      <c r="D1194" s="895"/>
      <c r="E1194" s="895"/>
      <c r="F1194" s="895"/>
      <c r="G1194" s="895"/>
      <c r="H1194" s="775" t="s">
        <v>535</v>
      </c>
      <c r="I1194" s="164" t="s">
        <v>79</v>
      </c>
      <c r="J1194" s="157"/>
      <c r="K1194" s="611" t="s">
        <v>45</v>
      </c>
      <c r="L1194" s="630" t="s">
        <v>46</v>
      </c>
      <c r="M1194" s="157"/>
      <c r="N1194" s="352" t="s">
        <v>75</v>
      </c>
      <c r="O1194" s="158"/>
      <c r="P1194" s="158"/>
      <c r="Q1194" s="158"/>
      <c r="R1194" s="157"/>
      <c r="S1194" s="170"/>
      <c r="T1194" s="547"/>
      <c r="U1194" s="171"/>
      <c r="V1194" s="100" t="b">
        <f>IF(G1194&gt;0,IF(AD1194="me","",G1194))</f>
        <v>0</v>
      </c>
      <c r="W1194" s="100"/>
      <c r="X1194" s="100"/>
      <c r="Y1194" s="201"/>
      <c r="Z1194" s="829" t="str">
        <f t="shared" si="2891"/>
        <v/>
      </c>
      <c r="AA1194" s="829"/>
      <c r="AB1194" s="830" t="str">
        <f>IF(G1194=0,"",IF(AD1194="free","re-planting",IF(AD1194="me","not NVP, by",IF($AD$8="yes",(VLOOKUP(A1194,'Discount Lookup'!J:K,2)*G1194*(1-$AC$1786)*(1+$AC$1788)),IF(AD1194="NVP",(VLOOKUP(A1194,'Discount Lookup'!J:K,2)*G1194*(1-$AC$1786)*(1+$AC$1788)),IF(AD1194="free","re-planting",IF(G1194=0,"",IF($AD$8="",IF(AD1194="me","not NVP, by",IF(AD1194="",IF(G1194&gt;0,(VLOOKUP(A1194,'Discount Lookup'!J:K,2)*G1194*(1-$AC$1786)*(1+$AC$1788)),""),"")),"not NVP, by"))))))))</f>
        <v/>
      </c>
      <c r="AC1194" s="830"/>
      <c r="AD1194" s="375" t="str">
        <f t="shared" si="2966"/>
        <v/>
      </c>
      <c r="AE1194" s="833" t="str">
        <f t="shared" si="3005"/>
        <v/>
      </c>
      <c r="AF1194" s="833"/>
      <c r="AG1194" s="833"/>
      <c r="AH1194" s="91">
        <f>IF(AD1194="free",0,IF(AD1194="me",0,IF(G1194&gt;0,(VLOOKUP(A1194,'Discount Lookup'!J:K,2)*G1194),0)))</f>
        <v>0</v>
      </c>
      <c r="AI1194" s="92" t="str">
        <f t="shared" si="2973"/>
        <v/>
      </c>
      <c r="AJ1194" s="828" t="str">
        <f t="shared" si="2892"/>
        <v/>
      </c>
      <c r="AK1194" s="828"/>
      <c r="AL1194" s="313" t="str">
        <f t="shared" si="2967"/>
        <v/>
      </c>
      <c r="AM1194" s="312"/>
      <c r="AN1194" s="101"/>
      <c r="AO1194" s="101"/>
      <c r="AP1194" s="101"/>
      <c r="AQ1194" s="101"/>
      <c r="AR1194" s="101"/>
      <c r="AS1194" s="101"/>
      <c r="AT1194" s="101"/>
    </row>
    <row r="1195" spans="1:46" ht="12.95" customHeight="1">
      <c r="A1195" s="383" t="s">
        <v>668</v>
      </c>
      <c r="B1195" s="158" t="s">
        <v>669</v>
      </c>
      <c r="C1195" s="168" t="s">
        <v>136</v>
      </c>
      <c r="D1195" s="161" t="s">
        <v>87</v>
      </c>
      <c r="E1195" s="162">
        <v>26.95</v>
      </c>
      <c r="F1195" s="713" t="s">
        <v>1306</v>
      </c>
      <c r="G1195" s="357">
        <v>0</v>
      </c>
      <c r="H1195" s="748" t="str">
        <f t="shared" ref="H1195" si="3034">IF(G1195=0,"",IF(F1195="Qty=",IF(G1195=1,"plant","plants"),IF(F1195&gt;0.0001,"warranty","Error")))</f>
        <v/>
      </c>
      <c r="I1195" s="592">
        <f t="shared" ref="I1195" si="3035">IF(F1195="Qty=",(E1195*G1195),((E1195*(1-F1195))*G1195))</f>
        <v>0</v>
      </c>
      <c r="J1195" s="592">
        <f>IF(H1195="warranty",0,(I1195*($J$1782)))</f>
        <v>0</v>
      </c>
      <c r="K1195" s="834">
        <f t="shared" ref="K1195" si="3036">I1195+J1195</f>
        <v>0</v>
      </c>
      <c r="L1195" s="834"/>
      <c r="M1195" s="832" t="str">
        <f>IF($H$1784=0,"",IF(G1195=0,"",IF(F1195="Qty=",CONCATENATE("$",ROUND(K1195*(1-$H$1784),2)," with ",($H$1784*100),"% discount"),CONCATENATE("$",ROUND(K1195*(1-$H$1784),2)," with ",(($H$1784*100+F1195*100)-($H$1784*100*F1195)),IF(F1195&gt;0,"% discounts",IF($H$1781&gt;0,"% discounts","% discount"))))))</f>
        <v/>
      </c>
      <c r="N1195" s="832"/>
      <c r="O1195" s="832"/>
      <c r="P1195" s="832"/>
      <c r="Q1195" s="832"/>
      <c r="R1195" s="832"/>
      <c r="S1195" s="303">
        <f t="shared" ref="S1195" si="3037">E1195*G1195</f>
        <v>0</v>
      </c>
      <c r="T1195" s="541">
        <f>VLOOKUP(A1195,'Discount Lookup'!D:E,2,FALSE)*G1195</f>
        <v>0</v>
      </c>
      <c r="U1195" s="83">
        <f>VLOOKUP(A1195,'Discount Lookup'!G:H,2,FALSE)*G1195</f>
        <v>0</v>
      </c>
      <c r="V1195" s="100">
        <f>E1195*($J$1782)*G1195</f>
        <v>0</v>
      </c>
      <c r="W1195" s="100">
        <f t="shared" ref="W1195" si="3038">I1195</f>
        <v>0</v>
      </c>
      <c r="X1195" s="100" t="b">
        <f>IF(G1195&gt;0,IF(AD1195="me","",G1195))</f>
        <v>0</v>
      </c>
      <c r="Y1195" s="201"/>
      <c r="Z1195" s="829" t="str">
        <f t="shared" si="2891"/>
        <v/>
      </c>
      <c r="AA1195" s="829"/>
      <c r="AB1195" s="830" t="str">
        <f>IF(G1195=0,"",IF(AD1195="free","re-planting",IF(AD1195="me","not NVP, by",IF($AD$8="yes",(VLOOKUP(A1195,'Discount Lookup'!J:K,2)*G1195*(1-$AC$1786)*(1+$AC$1788)),IF(AD1195="NVP",(VLOOKUP(A1195,'Discount Lookup'!J:K,2)*G1195*(1-$AC$1786)*(1+$AC$1788)),IF(AD1195="free","re-planting",IF(G1195=0,"",IF($AD$8="",IF(AD1195="me","not NVP, by",IF(AD1195="",IF(G1195&gt;0,(VLOOKUP(A1195,'Discount Lookup'!J:K,2)*G1195*(1-$AC$1786)*(1+$AC$1788)),""),"")),"not NVP, by"))))))))</f>
        <v/>
      </c>
      <c r="AC1195" s="830"/>
      <c r="AD1195" s="375" t="str">
        <f t="shared" si="2966"/>
        <v/>
      </c>
      <c r="AE1195" s="833" t="str">
        <f t="shared" si="3005"/>
        <v/>
      </c>
      <c r="AF1195" s="833"/>
      <c r="AG1195" s="833"/>
      <c r="AH1195" s="91">
        <f>IF(AD1195="free",0,IF(AD1195="me",0,IF(G1195&gt;0,(VLOOKUP(A1195,'Discount Lookup'!J:K,2)*G1195),0)))</f>
        <v>0</v>
      </c>
      <c r="AI1195" s="92" t="str">
        <f t="shared" si="2973"/>
        <v/>
      </c>
      <c r="AJ1195" s="828" t="str">
        <f t="shared" si="2892"/>
        <v/>
      </c>
      <c r="AK1195" s="828"/>
      <c r="AL1195" s="313" t="str">
        <f t="shared" si="2967"/>
        <v/>
      </c>
      <c r="AM1195" s="312"/>
      <c r="AN1195" s="101"/>
      <c r="AO1195" s="101"/>
      <c r="AP1195" s="101"/>
      <c r="AQ1195" s="101"/>
      <c r="AR1195" s="101"/>
      <c r="AS1195" s="101"/>
      <c r="AT1195" s="101"/>
    </row>
    <row r="1196" spans="1:46" ht="12.95" customHeight="1">
      <c r="A1196" s="477"/>
      <c r="B1196" s="149" t="s">
        <v>670</v>
      </c>
      <c r="C1196" s="118"/>
      <c r="D1196" s="118"/>
      <c r="E1196" s="119"/>
      <c r="F1196" s="711"/>
      <c r="G1196" s="358"/>
      <c r="H1196" s="745"/>
      <c r="I1196" s="119"/>
      <c r="J1196" s="119"/>
      <c r="K1196" s="609"/>
      <c r="L1196" s="609"/>
      <c r="M1196" s="121"/>
      <c r="N1196" s="121"/>
      <c r="O1196" s="123"/>
      <c r="P1196" s="124"/>
      <c r="Q1196" s="124"/>
      <c r="R1196" s="83"/>
      <c r="S1196" s="82">
        <f>E1196*G1196</f>
        <v>0</v>
      </c>
      <c r="T1196" s="540"/>
      <c r="U1196" s="83"/>
      <c r="V1196" s="100" t="b">
        <f>IF(G1196&gt;0,IF(AD1196="me","",G1196))</f>
        <v>0</v>
      </c>
      <c r="W1196" s="100"/>
      <c r="X1196" s="100"/>
      <c r="Y1196" s="201"/>
      <c r="Z1196" s="829" t="str">
        <f t="shared" si="2891"/>
        <v/>
      </c>
      <c r="AA1196" s="829"/>
      <c r="AB1196" s="830" t="str">
        <f>IF(G1196=0,"",IF(AD1196="free","re-planting",IF(AD1196="me","not NVP, by",IF($AD$8="yes",(VLOOKUP(A1196,'Discount Lookup'!J:K,2)*G1196*(1-$AC$1786)*(1+$AC$1788)),IF(AD1196="NVP",(VLOOKUP(A1196,'Discount Lookup'!J:K,2)*G1196*(1-$AC$1786)*(1+$AC$1788)),IF(AD1196="free","re-planting",IF(G1196=0,"",IF($AD$8="",IF(AD1196="me","not NVP, by",IF(AD1196="",IF(G1196&gt;0,(VLOOKUP(A1196,'Discount Lookup'!J:K,2)*G1196*(1-$AC$1786)*(1+$AC$1788)),""),"")),"not NVP, by"))))))))</f>
        <v/>
      </c>
      <c r="AC1196" s="830"/>
      <c r="AD1196" s="375" t="str">
        <f t="shared" si="2966"/>
        <v/>
      </c>
      <c r="AE1196" s="833" t="str">
        <f t="shared" si="3005"/>
        <v/>
      </c>
      <c r="AF1196" s="833"/>
      <c r="AG1196" s="833"/>
      <c r="AH1196" s="91">
        <f>IF(AD1196="free",0,IF(AD1196="me",0,IF(G1196&gt;0,(VLOOKUP(A1196,'Discount Lookup'!J:K,2)*G1196),0)))</f>
        <v>0</v>
      </c>
      <c r="AI1196" s="92" t="str">
        <f t="shared" si="2973"/>
        <v/>
      </c>
      <c r="AJ1196" s="828" t="str">
        <f t="shared" si="2892"/>
        <v/>
      </c>
      <c r="AK1196" s="828"/>
      <c r="AL1196" s="313" t="str">
        <f t="shared" si="2967"/>
        <v/>
      </c>
      <c r="AM1196" s="312"/>
      <c r="AN1196" s="101"/>
      <c r="AO1196" s="101"/>
      <c r="AP1196" s="101"/>
      <c r="AQ1196" s="101"/>
      <c r="AR1196" s="101"/>
      <c r="AS1196" s="101"/>
      <c r="AT1196" s="101"/>
    </row>
    <row r="1197" spans="1:46" ht="12.95" customHeight="1">
      <c r="A1197" s="836" t="s">
        <v>671</v>
      </c>
      <c r="B1197" s="837"/>
      <c r="C1197" s="837"/>
      <c r="D1197" s="837"/>
      <c r="E1197" s="837"/>
      <c r="F1197" s="837"/>
      <c r="G1197" s="837"/>
      <c r="H1197" s="775" t="s">
        <v>535</v>
      </c>
      <c r="I1197" s="164" t="s">
        <v>79</v>
      </c>
      <c r="J1197" s="157"/>
      <c r="K1197" s="611" t="s">
        <v>45</v>
      </c>
      <c r="L1197" s="630" t="s">
        <v>46</v>
      </c>
      <c r="M1197" s="157"/>
      <c r="N1197" s="352" t="s">
        <v>75</v>
      </c>
      <c r="O1197" s="158"/>
      <c r="P1197" s="158"/>
      <c r="Q1197" s="158"/>
      <c r="R1197" s="157"/>
      <c r="S1197" s="170"/>
      <c r="T1197" s="547"/>
      <c r="U1197" s="171"/>
      <c r="V1197" s="100" t="b">
        <f>IF(G1197&gt;0,IF(AD1197="me","",G1197))</f>
        <v>0</v>
      </c>
      <c r="W1197" s="100"/>
      <c r="X1197" s="100"/>
      <c r="Y1197" s="201"/>
      <c r="Z1197" s="829" t="str">
        <f t="shared" si="2891"/>
        <v/>
      </c>
      <c r="AA1197" s="829"/>
      <c r="AB1197" s="830" t="str">
        <f>IF(G1197=0,"",IF(AD1197="free","re-planting",IF(AD1197="me","not NVP, by",IF($AD$8="yes",(VLOOKUP(A1197,'Discount Lookup'!J:K,2)*G1197*(1-$AC$1786)*(1+$AC$1788)),IF(AD1197="NVP",(VLOOKUP(A1197,'Discount Lookup'!J:K,2)*G1197*(1-$AC$1786)*(1+$AC$1788)),IF(AD1197="free","re-planting",IF(G1197=0,"",IF($AD$8="",IF(AD1197="me","not NVP, by",IF(AD1197="",IF(G1197&gt;0,(VLOOKUP(A1197,'Discount Lookup'!J:K,2)*G1197*(1-$AC$1786)*(1+$AC$1788)),""),"")),"not NVP, by"))))))))</f>
        <v/>
      </c>
      <c r="AC1197" s="830"/>
      <c r="AD1197" s="375" t="str">
        <f t="shared" si="2966"/>
        <v/>
      </c>
      <c r="AE1197" s="833" t="str">
        <f t="shared" si="3005"/>
        <v/>
      </c>
      <c r="AF1197" s="833"/>
      <c r="AG1197" s="833"/>
      <c r="AH1197" s="91">
        <f>IF(AD1197="free",0,IF(AD1197="me",0,IF(G1197&gt;0,(VLOOKUP(A1197,'Discount Lookup'!J:K,2)*G1197),0)))</f>
        <v>0</v>
      </c>
      <c r="AI1197" s="92" t="str">
        <f t="shared" si="2973"/>
        <v/>
      </c>
      <c r="AJ1197" s="828" t="str">
        <f t="shared" si="2892"/>
        <v/>
      </c>
      <c r="AK1197" s="828"/>
      <c r="AL1197" s="313" t="str">
        <f t="shared" si="2967"/>
        <v/>
      </c>
      <c r="AM1197" s="312"/>
      <c r="AN1197" s="101"/>
      <c r="AO1197" s="101"/>
      <c r="AP1197" s="101"/>
      <c r="AQ1197" s="101"/>
      <c r="AR1197" s="101"/>
      <c r="AS1197" s="101"/>
      <c r="AT1197" s="101"/>
    </row>
    <row r="1198" spans="1:46" ht="12.95" customHeight="1">
      <c r="A1198" s="383">
        <v>3</v>
      </c>
      <c r="B1198" s="158" t="s">
        <v>50</v>
      </c>
      <c r="C1198" s="168" t="s">
        <v>136</v>
      </c>
      <c r="D1198" s="161" t="s">
        <v>54</v>
      </c>
      <c r="E1198" s="162">
        <v>40.950000000000003</v>
      </c>
      <c r="F1198" s="713" t="s">
        <v>1306</v>
      </c>
      <c r="G1198" s="357">
        <v>0</v>
      </c>
      <c r="H1198" s="748" t="str">
        <f t="shared" ref="H1198:H1203" si="3039">IF(G1198=0,"",IF(F1198="Qty=",IF(G1198=1,"plant","plants"),IF(F1198&gt;0.0001,"warranty","Error")))</f>
        <v/>
      </c>
      <c r="I1198" s="592">
        <f t="shared" ref="I1198:I1203" si="3040">IF(F1198="Qty=",(E1198*G1198),((E1198*(1-F1198))*G1198))</f>
        <v>0</v>
      </c>
      <c r="J1198" s="592">
        <f t="shared" ref="J1198:J1203" si="3041">IF(H1198="warranty",0,(I1198*($J$1782)))</f>
        <v>0</v>
      </c>
      <c r="K1198" s="834">
        <f t="shared" ref="K1198:K1203" si="3042">I1198+J1198</f>
        <v>0</v>
      </c>
      <c r="L1198" s="834"/>
      <c r="M1198" s="832" t="str">
        <f t="shared" ref="M1198:M1203" si="3043">IF($H$1784=0,"",IF(G1198=0,"",IF(F1198="Qty=",CONCATENATE("$",ROUND(K1198*(1-$H$1784),2)," with ",($H$1784*100),"% discount"),CONCATENATE("$",ROUND(K1198*(1-$H$1784),2)," with ",(($H$1784*100+F1198*100)-($H$1784*100*F1198)),IF(F1198&gt;0,"% discounts",IF($H$1781&gt;0,"% discounts","% discount"))))))</f>
        <v/>
      </c>
      <c r="N1198" s="832"/>
      <c r="O1198" s="832"/>
      <c r="P1198" s="832"/>
      <c r="Q1198" s="832"/>
      <c r="R1198" s="832"/>
      <c r="S1198" s="303">
        <f t="shared" ref="S1198:S1200" si="3044">E1198*G1198</f>
        <v>0</v>
      </c>
      <c r="T1198" s="541">
        <f>VLOOKUP(A1198,'Discount Lookup'!D:E,2,FALSE)*G1198</f>
        <v>0</v>
      </c>
      <c r="U1198" s="83">
        <f>VLOOKUP(A1198,'Discount Lookup'!G:H,2,FALSE)*G1198</f>
        <v>0</v>
      </c>
      <c r="V1198" s="100">
        <f t="shared" ref="V1198:V1203" si="3045">E1198*($J$1782)*G1198</f>
        <v>0</v>
      </c>
      <c r="W1198" s="100">
        <f t="shared" ref="W1198:W1200" si="3046">I1198</f>
        <v>0</v>
      </c>
      <c r="X1198" s="100" t="b">
        <f t="shared" ref="X1198:X1203" si="3047">IF(G1198&gt;0,IF(AD1198="me","",G1198))</f>
        <v>0</v>
      </c>
      <c r="Y1198" s="201"/>
      <c r="Z1198" s="829" t="str">
        <f t="shared" si="2891"/>
        <v/>
      </c>
      <c r="AA1198" s="829"/>
      <c r="AB1198" s="830" t="str">
        <f>IF(G1198=0,"",IF(AD1198="free","re-planting",IF(AD1198="me","not NVP, by",IF($AD$8="yes",(VLOOKUP(A1198,'Discount Lookup'!J:K,2)*G1198*(1-$AC$1786)*(1+$AC$1788)),IF(AD1198="NVP",(VLOOKUP(A1198,'Discount Lookup'!J:K,2)*G1198*(1-$AC$1786)*(1+$AC$1788)),IF(AD1198="free","re-planting",IF(G1198=0,"",IF($AD$8="",IF(AD1198="me","not NVP, by",IF(AD1198="",IF(G1198&gt;0,(VLOOKUP(A1198,'Discount Lookup'!J:K,2)*G1198*(1-$AC$1786)*(1+$AC$1788)),""),"")),"not NVP, by"))))))))</f>
        <v/>
      </c>
      <c r="AC1198" s="830"/>
      <c r="AD1198" s="375" t="str">
        <f t="shared" si="2966"/>
        <v/>
      </c>
      <c r="AE1198" s="833" t="str">
        <f t="shared" si="3005"/>
        <v/>
      </c>
      <c r="AF1198" s="833"/>
      <c r="AG1198" s="833"/>
      <c r="AH1198" s="91">
        <f>IF(AD1198="free",0,IF(AD1198="me",0,IF(G1198&gt;0,(VLOOKUP(A1198,'Discount Lookup'!J:K,2)*G1198),0)))</f>
        <v>0</v>
      </c>
      <c r="AI1198" s="92" t="str">
        <f t="shared" si="2973"/>
        <v/>
      </c>
      <c r="AJ1198" s="828" t="str">
        <f t="shared" si="2892"/>
        <v/>
      </c>
      <c r="AK1198" s="828"/>
      <c r="AL1198" s="313" t="str">
        <f t="shared" si="2967"/>
        <v/>
      </c>
      <c r="AM1198" s="312"/>
      <c r="AN1198" s="101"/>
      <c r="AO1198" s="101"/>
      <c r="AP1198" s="101"/>
      <c r="AQ1198" s="101"/>
      <c r="AR1198" s="101"/>
      <c r="AS1198" s="101"/>
      <c r="AT1198" s="101"/>
    </row>
    <row r="1199" spans="1:46" ht="12.95" customHeight="1">
      <c r="A1199" s="383">
        <v>3</v>
      </c>
      <c r="B1199" s="158" t="s">
        <v>50</v>
      </c>
      <c r="C1199" s="168" t="s">
        <v>136</v>
      </c>
      <c r="D1199" s="161" t="s">
        <v>63</v>
      </c>
      <c r="E1199" s="162">
        <v>40.950000000000003</v>
      </c>
      <c r="F1199" s="713" t="s">
        <v>1306</v>
      </c>
      <c r="G1199" s="357">
        <v>0</v>
      </c>
      <c r="H1199" s="748" t="str">
        <f t="shared" si="3039"/>
        <v/>
      </c>
      <c r="I1199" s="592">
        <f t="shared" si="3040"/>
        <v>0</v>
      </c>
      <c r="J1199" s="592">
        <f t="shared" si="3041"/>
        <v>0</v>
      </c>
      <c r="K1199" s="834">
        <f t="shared" si="3042"/>
        <v>0</v>
      </c>
      <c r="L1199" s="834"/>
      <c r="M1199" s="832" t="str">
        <f t="shared" si="3043"/>
        <v/>
      </c>
      <c r="N1199" s="832"/>
      <c r="O1199" s="832"/>
      <c r="P1199" s="832"/>
      <c r="Q1199" s="832"/>
      <c r="R1199" s="832"/>
      <c r="S1199" s="303">
        <f t="shared" si="3044"/>
        <v>0</v>
      </c>
      <c r="T1199" s="541">
        <f>VLOOKUP(A1199,'Discount Lookup'!D:E,2,FALSE)*G1199</f>
        <v>0</v>
      </c>
      <c r="U1199" s="83">
        <f>VLOOKUP(A1199,'Discount Lookup'!G:H,2,FALSE)*G1199</f>
        <v>0</v>
      </c>
      <c r="V1199" s="100">
        <f t="shared" si="3045"/>
        <v>0</v>
      </c>
      <c r="W1199" s="100">
        <f t="shared" si="3046"/>
        <v>0</v>
      </c>
      <c r="X1199" s="100" t="b">
        <f t="shared" si="3047"/>
        <v>0</v>
      </c>
      <c r="Y1199" s="201"/>
      <c r="Z1199" s="829" t="str">
        <f t="shared" si="2891"/>
        <v/>
      </c>
      <c r="AA1199" s="829"/>
      <c r="AB1199" s="830" t="str">
        <f>IF(G1199=0,"",IF(AD1199="free","re-planting",IF(AD1199="me","not NVP, by",IF($AD$8="yes",(VLOOKUP(A1199,'Discount Lookup'!J:K,2)*G1199*(1-$AC$1786)*(1+$AC$1788)),IF(AD1199="NVP",(VLOOKUP(A1199,'Discount Lookup'!J:K,2)*G1199*(1-$AC$1786)*(1+$AC$1788)),IF(AD1199="free","re-planting",IF(G1199=0,"",IF($AD$8="",IF(AD1199="me","not NVP, by",IF(AD1199="",IF(G1199&gt;0,(VLOOKUP(A1199,'Discount Lookup'!J:K,2)*G1199*(1-$AC$1786)*(1+$AC$1788)),""),"")),"not NVP, by"))))))))</f>
        <v/>
      </c>
      <c r="AC1199" s="830"/>
      <c r="AD1199" s="375" t="str">
        <f t="shared" si="2966"/>
        <v/>
      </c>
      <c r="AE1199" s="833" t="str">
        <f t="shared" si="3005"/>
        <v/>
      </c>
      <c r="AF1199" s="833"/>
      <c r="AG1199" s="833"/>
      <c r="AH1199" s="91">
        <f>IF(AD1199="free",0,IF(AD1199="me",0,IF(G1199&gt;0,(VLOOKUP(A1199,'Discount Lookup'!J:K,2)*G1199),0)))</f>
        <v>0</v>
      </c>
      <c r="AI1199" s="92" t="str">
        <f t="shared" si="2973"/>
        <v/>
      </c>
      <c r="AJ1199" s="828" t="str">
        <f t="shared" si="2892"/>
        <v/>
      </c>
      <c r="AK1199" s="828"/>
      <c r="AL1199" s="313" t="str">
        <f t="shared" si="2967"/>
        <v/>
      </c>
      <c r="AM1199" s="312"/>
      <c r="AN1199" s="101"/>
      <c r="AO1199" s="101"/>
      <c r="AP1199" s="101"/>
      <c r="AQ1199" s="101"/>
      <c r="AR1199" s="101"/>
      <c r="AS1199" s="101"/>
      <c r="AT1199" s="101"/>
    </row>
    <row r="1200" spans="1:46" ht="12.95" customHeight="1">
      <c r="A1200" s="383">
        <v>7</v>
      </c>
      <c r="B1200" s="158" t="s">
        <v>50</v>
      </c>
      <c r="C1200" s="168" t="s">
        <v>136</v>
      </c>
      <c r="D1200" s="161" t="s">
        <v>54</v>
      </c>
      <c r="E1200" s="162">
        <v>86.95</v>
      </c>
      <c r="F1200" s="713" t="s">
        <v>1306</v>
      </c>
      <c r="G1200" s="357">
        <v>0</v>
      </c>
      <c r="H1200" s="748" t="str">
        <f t="shared" si="3039"/>
        <v/>
      </c>
      <c r="I1200" s="592">
        <f t="shared" si="3040"/>
        <v>0</v>
      </c>
      <c r="J1200" s="592">
        <f t="shared" si="3041"/>
        <v>0</v>
      </c>
      <c r="K1200" s="834">
        <f t="shared" si="3042"/>
        <v>0</v>
      </c>
      <c r="L1200" s="834"/>
      <c r="M1200" s="832" t="str">
        <f t="shared" si="3043"/>
        <v/>
      </c>
      <c r="N1200" s="832"/>
      <c r="O1200" s="832"/>
      <c r="P1200" s="832"/>
      <c r="Q1200" s="832"/>
      <c r="R1200" s="832"/>
      <c r="S1200" s="303">
        <f t="shared" si="3044"/>
        <v>0</v>
      </c>
      <c r="T1200" s="541">
        <f>VLOOKUP(A1200,'Discount Lookup'!D:E,2,FALSE)*G1200</f>
        <v>0</v>
      </c>
      <c r="U1200" s="83">
        <f>VLOOKUP(A1200,'Discount Lookup'!G:H,2,FALSE)*G1200</f>
        <v>0</v>
      </c>
      <c r="V1200" s="100">
        <f t="shared" si="3045"/>
        <v>0</v>
      </c>
      <c r="W1200" s="100">
        <f t="shared" si="3046"/>
        <v>0</v>
      </c>
      <c r="X1200" s="100" t="b">
        <f t="shared" si="3047"/>
        <v>0</v>
      </c>
      <c r="Y1200" s="201"/>
      <c r="Z1200" s="829" t="str">
        <f t="shared" ref="Z1200:Z1270" si="3048">IF(G1200=0,"",IF(AD1200="me","",IF($AD$8="me","",IF(AD1200="free","warranty",IF($AD$8="yes","NVP planting:","to NVP install:")))))</f>
        <v/>
      </c>
      <c r="AA1200" s="829"/>
      <c r="AB1200" s="830" t="str">
        <f>IF(G1200=0,"",IF(AD1200="free","re-planting",IF(AD1200="me","not NVP, by",IF($AD$8="yes",(VLOOKUP(A1200,'Discount Lookup'!J:K,2)*G1200*(1-$AC$1786)*(1+$AC$1788)),IF(AD1200="NVP",(VLOOKUP(A1200,'Discount Lookup'!J:K,2)*G1200*(1-$AC$1786)*(1+$AC$1788)),IF(AD1200="free","re-planting",IF(G1200=0,"",IF($AD$8="",IF(AD1200="me","not NVP, by",IF(AD1200="",IF(G1200&gt;0,(VLOOKUP(A1200,'Discount Lookup'!J:K,2)*G1200*(1-$AC$1786)*(1+$AC$1788)),""),"")),"not NVP, by"))))))))</f>
        <v/>
      </c>
      <c r="AC1200" s="830"/>
      <c r="AD1200" s="375" t="str">
        <f t="shared" si="2966"/>
        <v/>
      </c>
      <c r="AE1200" s="833" t="str">
        <f t="shared" si="3005"/>
        <v/>
      </c>
      <c r="AF1200" s="833"/>
      <c r="AG1200" s="833"/>
      <c r="AH1200" s="91">
        <f>IF(AD1200="free",0,IF(AD1200="me",0,IF(G1200&gt;0,(VLOOKUP(A1200,'Discount Lookup'!J:K,2)*G1200),0)))</f>
        <v>0</v>
      </c>
      <c r="AI1200" s="92" t="str">
        <f t="shared" si="2973"/>
        <v/>
      </c>
      <c r="AJ1200" s="828" t="str">
        <f t="shared" ref="AJ1200:AJ1270" si="3049">IF(G1200=0,"",IF(AD1200="me","  delivery-only",IF($AD$8="me","  delivery-only",CONCATENATE(" $",ROUND(AI1200/G1200,2)," each"))))</f>
        <v/>
      </c>
      <c r="AK1200" s="828"/>
      <c r="AL1200" s="313" t="str">
        <f t="shared" si="2967"/>
        <v/>
      </c>
      <c r="AM1200" s="312"/>
      <c r="AN1200" s="101"/>
      <c r="AO1200" s="101"/>
      <c r="AP1200" s="101"/>
      <c r="AQ1200" s="101"/>
      <c r="AR1200" s="101"/>
      <c r="AS1200" s="101"/>
      <c r="AT1200" s="101"/>
    </row>
    <row r="1201" spans="1:46" ht="12.95" customHeight="1">
      <c r="A1201" s="383">
        <v>7</v>
      </c>
      <c r="B1201" s="158" t="s">
        <v>50</v>
      </c>
      <c r="C1201" s="168" t="s">
        <v>1467</v>
      </c>
      <c r="D1201" s="161" t="s">
        <v>54</v>
      </c>
      <c r="E1201" s="162">
        <v>173.95</v>
      </c>
      <c r="F1201" s="713" t="s">
        <v>1306</v>
      </c>
      <c r="G1201" s="357">
        <v>0</v>
      </c>
      <c r="H1201" s="748" t="str">
        <f t="shared" ref="H1201:H1202" si="3050">IF(G1201=0,"",IF(F1201="Qty=",IF(G1201=1,"plant","plants"),IF(F1201&gt;0.0001,"warranty","Error")))</f>
        <v/>
      </c>
      <c r="I1201" s="592">
        <f t="shared" ref="I1201:I1202" si="3051">IF(F1201="Qty=",(E1201*G1201),((E1201*(1-F1201))*G1201))</f>
        <v>0</v>
      </c>
      <c r="J1201" s="592">
        <f t="shared" si="3041"/>
        <v>0</v>
      </c>
      <c r="K1201" s="834">
        <f t="shared" si="3042"/>
        <v>0</v>
      </c>
      <c r="L1201" s="834"/>
      <c r="M1201" s="832" t="str">
        <f t="shared" si="3043"/>
        <v/>
      </c>
      <c r="N1201" s="832"/>
      <c r="O1201" s="832"/>
      <c r="P1201" s="832"/>
      <c r="Q1201" s="832"/>
      <c r="R1201" s="832"/>
      <c r="S1201" s="303">
        <f t="shared" ref="S1201:S1202" si="3052">E1201*G1201</f>
        <v>0</v>
      </c>
      <c r="T1201" s="541">
        <f>VLOOKUP(A1201,'Discount Lookup'!D:E,2,FALSE)*G1201</f>
        <v>0</v>
      </c>
      <c r="U1201" s="83">
        <f>VLOOKUP(A1201,'Discount Lookup'!G:H,2,FALSE)*G1201</f>
        <v>0</v>
      </c>
      <c r="V1201" s="100">
        <f t="shared" si="3045"/>
        <v>0</v>
      </c>
      <c r="W1201" s="100">
        <f t="shared" ref="W1201:W1202" si="3053">I1201</f>
        <v>0</v>
      </c>
      <c r="X1201" s="100" t="b">
        <f t="shared" ref="X1201:X1202" si="3054">IF(G1201&gt;0,IF(AD1201="me","",G1201))</f>
        <v>0</v>
      </c>
      <c r="Y1201" s="201"/>
      <c r="Z1201" s="829" t="str">
        <f t="shared" ref="Z1201:Z1202" si="3055">IF(G1201=0,"",IF(AD1201="me","",IF($AD$8="me","",IF(AD1201="free","warranty",IF($AD$8="yes","NVP planting:","to NVP install:")))))</f>
        <v/>
      </c>
      <c r="AA1201" s="829"/>
      <c r="AB1201" s="830" t="str">
        <f>IF(G1201=0,"",IF(AD1201="free","re-planting",IF(AD1201="me","not NVP, by",IF($AD$8="yes",(VLOOKUP(A1201,'Discount Lookup'!J:K,2)*G1201*(1-$AC$1786)*(1+$AC$1788)),IF(AD1201="NVP",(VLOOKUP(A1201,'Discount Lookup'!J:K,2)*G1201*(1-$AC$1786)*(1+$AC$1788)),IF(AD1201="free","re-planting",IF(G1201=0,"",IF($AD$8="",IF(AD1201="me","not NVP, by",IF(AD1201="",IF(G1201&gt;0,(VLOOKUP(A1201,'Discount Lookup'!J:K,2)*G1201*(1-$AC$1786)*(1+$AC$1788)),""),"")),"not NVP, by"))))))))</f>
        <v/>
      </c>
      <c r="AC1201" s="830"/>
      <c r="AD1201" s="375" t="str">
        <f t="shared" si="2966"/>
        <v/>
      </c>
      <c r="AE1201" s="833" t="str">
        <f t="shared" ref="AE1201:AE1202" si="3056">IF(G1201&gt;0,(CONCATENATE((G1201)," quantity, ",(A1201)," ",B1201)),"")</f>
        <v/>
      </c>
      <c r="AF1201" s="833"/>
      <c r="AG1201" s="833"/>
      <c r="AH1201" s="91">
        <f>IF(AD1201="free",0,IF(AD1201="me",0,IF(G1201&gt;0,(VLOOKUP(A1201,'Discount Lookup'!J:K,2)*G1201),0)))</f>
        <v>0</v>
      </c>
      <c r="AI1201" s="92" t="str">
        <f t="shared" si="2973"/>
        <v/>
      </c>
      <c r="AJ1201" s="828" t="str">
        <f t="shared" ref="AJ1201:AJ1202" si="3057">IF(G1201=0,"",IF(AD1201="me","  delivery-only",IF($AD$8="me","  delivery-only",CONCATENATE(" $",ROUND(AI1201/G1201,2)," each"))))</f>
        <v/>
      </c>
      <c r="AK1201" s="828"/>
      <c r="AL1201" s="313" t="str">
        <f t="shared" si="2967"/>
        <v/>
      </c>
      <c r="AM1201" s="312"/>
      <c r="AN1201" s="101"/>
      <c r="AO1201" s="101"/>
      <c r="AP1201" s="101"/>
      <c r="AQ1201" s="101"/>
      <c r="AR1201" s="101"/>
      <c r="AS1201" s="101"/>
      <c r="AT1201" s="101"/>
    </row>
    <row r="1202" spans="1:46" ht="12.95" customHeight="1">
      <c r="A1202" s="383">
        <v>7</v>
      </c>
      <c r="B1202" s="158" t="s">
        <v>50</v>
      </c>
      <c r="C1202" s="168" t="s">
        <v>136</v>
      </c>
      <c r="D1202" s="161" t="s">
        <v>63</v>
      </c>
      <c r="E1202" s="162">
        <v>79.95</v>
      </c>
      <c r="F1202" s="713" t="s">
        <v>1306</v>
      </c>
      <c r="G1202" s="357">
        <v>0</v>
      </c>
      <c r="H1202" s="748" t="str">
        <f t="shared" si="3050"/>
        <v/>
      </c>
      <c r="I1202" s="592">
        <f t="shared" si="3051"/>
        <v>0</v>
      </c>
      <c r="J1202" s="592">
        <f t="shared" si="3041"/>
        <v>0</v>
      </c>
      <c r="K1202" s="834">
        <f t="shared" ref="K1202" si="3058">I1202+J1202</f>
        <v>0</v>
      </c>
      <c r="L1202" s="834"/>
      <c r="M1202" s="832" t="str">
        <f t="shared" si="3043"/>
        <v/>
      </c>
      <c r="N1202" s="832"/>
      <c r="O1202" s="832"/>
      <c r="P1202" s="832"/>
      <c r="Q1202" s="832"/>
      <c r="R1202" s="832"/>
      <c r="S1202" s="303">
        <f t="shared" si="3052"/>
        <v>0</v>
      </c>
      <c r="T1202" s="541">
        <f>VLOOKUP(A1202,'Discount Lookup'!D:E,2,FALSE)*G1202</f>
        <v>0</v>
      </c>
      <c r="U1202" s="83">
        <f>VLOOKUP(A1202,'Discount Lookup'!G:H,2,FALSE)*G1202</f>
        <v>0</v>
      </c>
      <c r="V1202" s="100">
        <f t="shared" si="3045"/>
        <v>0</v>
      </c>
      <c r="W1202" s="100">
        <f t="shared" si="3053"/>
        <v>0</v>
      </c>
      <c r="X1202" s="100" t="b">
        <f t="shared" si="3054"/>
        <v>0</v>
      </c>
      <c r="Y1202" s="201"/>
      <c r="Z1202" s="829" t="str">
        <f t="shared" si="3055"/>
        <v/>
      </c>
      <c r="AA1202" s="829"/>
      <c r="AB1202" s="830" t="str">
        <f>IF(G1202=0,"",IF(AD1202="free","re-planting",IF(AD1202="me","not NVP, by",IF($AD$8="yes",(VLOOKUP(A1202,'Discount Lookup'!J:K,2)*G1202*(1-$AC$1786)*(1+$AC$1788)),IF(AD1202="NVP",(VLOOKUP(A1202,'Discount Lookup'!J:K,2)*G1202*(1-$AC$1786)*(1+$AC$1788)),IF(AD1202="free","re-planting",IF(G1202=0,"",IF($AD$8="",IF(AD1202="me","not NVP, by",IF(AD1202="",IF(G1202&gt;0,(VLOOKUP(A1202,'Discount Lookup'!J:K,2)*G1202*(1-$AC$1786)*(1+$AC$1788)),""),"")),"not NVP, by"))))))))</f>
        <v/>
      </c>
      <c r="AC1202" s="830"/>
      <c r="AD1202" s="375" t="str">
        <f t="shared" ref="AD1202" si="3059">IF(G1202=0,"",IF($AD$8="me","me",IF(H1202="warranty","free",IF($AD$8="yes","NVP",""))))</f>
        <v/>
      </c>
      <c r="AE1202" s="833" t="str">
        <f t="shared" si="3056"/>
        <v/>
      </c>
      <c r="AF1202" s="833"/>
      <c r="AG1202" s="833"/>
      <c r="AH1202" s="91">
        <f>IF(AD1202="free",0,IF(AD1202="me",0,IF(G1202&gt;0,(VLOOKUP(A1202,'Discount Lookup'!J:K,2)*G1202),0)))</f>
        <v>0</v>
      </c>
      <c r="AI1202" s="92" t="str">
        <f t="shared" si="2973"/>
        <v/>
      </c>
      <c r="AJ1202" s="828" t="str">
        <f t="shared" si="3057"/>
        <v/>
      </c>
      <c r="AK1202" s="828"/>
      <c r="AL1202" s="313" t="str">
        <f t="shared" si="2967"/>
        <v/>
      </c>
      <c r="AM1202" s="312"/>
      <c r="AN1202" s="101"/>
      <c r="AO1202" s="101"/>
      <c r="AP1202" s="101"/>
      <c r="AQ1202" s="101"/>
      <c r="AR1202" s="101"/>
      <c r="AS1202" s="101"/>
      <c r="AT1202" s="101"/>
    </row>
    <row r="1203" spans="1:46" ht="12.95" customHeight="1">
      <c r="A1203" s="383">
        <v>7</v>
      </c>
      <c r="B1203" s="158" t="s">
        <v>50</v>
      </c>
      <c r="C1203" s="168" t="s">
        <v>136</v>
      </c>
      <c r="D1203" s="161" t="s">
        <v>94</v>
      </c>
      <c r="E1203" s="162">
        <v>71.95</v>
      </c>
      <c r="F1203" s="713" t="s">
        <v>1306</v>
      </c>
      <c r="G1203" s="357">
        <v>0</v>
      </c>
      <c r="H1203" s="748" t="str">
        <f t="shared" si="3039"/>
        <v/>
      </c>
      <c r="I1203" s="592">
        <f t="shared" si="3040"/>
        <v>0</v>
      </c>
      <c r="J1203" s="592">
        <f t="shared" si="3041"/>
        <v>0</v>
      </c>
      <c r="K1203" s="834">
        <f t="shared" si="3042"/>
        <v>0</v>
      </c>
      <c r="L1203" s="834"/>
      <c r="M1203" s="832" t="str">
        <f t="shared" si="3043"/>
        <v/>
      </c>
      <c r="N1203" s="832"/>
      <c r="O1203" s="832"/>
      <c r="P1203" s="832"/>
      <c r="Q1203" s="832"/>
      <c r="R1203" s="832"/>
      <c r="S1203" s="303">
        <f t="shared" ref="S1203" si="3060">E1203*G1203</f>
        <v>0</v>
      </c>
      <c r="T1203" s="541">
        <f>VLOOKUP(A1203,'Discount Lookup'!D:E,2,FALSE)*G1203</f>
        <v>0</v>
      </c>
      <c r="U1203" s="83">
        <f>VLOOKUP(A1203,'Discount Lookup'!G:H,2,FALSE)*G1203</f>
        <v>0</v>
      </c>
      <c r="V1203" s="100">
        <f t="shared" si="3045"/>
        <v>0</v>
      </c>
      <c r="W1203" s="100">
        <f t="shared" ref="W1203" si="3061">I1203</f>
        <v>0</v>
      </c>
      <c r="X1203" s="100" t="b">
        <f t="shared" si="3047"/>
        <v>0</v>
      </c>
      <c r="Y1203" s="201"/>
      <c r="Z1203" s="829" t="str">
        <f t="shared" si="3048"/>
        <v/>
      </c>
      <c r="AA1203" s="829"/>
      <c r="AB1203" s="830" t="str">
        <f>IF(G1203=0,"",IF(AD1203="free","re-planting",IF(AD1203="me","not NVP, by",IF($AD$8="yes",(VLOOKUP(A1203,'Discount Lookup'!J:K,2)*G1203*(1-$AC$1786)*(1+$AC$1788)),IF(AD1203="NVP",(VLOOKUP(A1203,'Discount Lookup'!J:K,2)*G1203*(1-$AC$1786)*(1+$AC$1788)),IF(AD1203="free","re-planting",IF(G1203=0,"",IF($AD$8="",IF(AD1203="me","not NVP, by",IF(AD1203="",IF(G1203&gt;0,(VLOOKUP(A1203,'Discount Lookup'!J:K,2)*G1203*(1-$AC$1786)*(1+$AC$1788)),""),"")),"not NVP, by"))))))))</f>
        <v/>
      </c>
      <c r="AC1203" s="830"/>
      <c r="AD1203" s="375" t="str">
        <f t="shared" si="2966"/>
        <v/>
      </c>
      <c r="AE1203" s="833" t="str">
        <f t="shared" ref="AE1203" si="3062">IF(G1203&gt;0,(CONCATENATE((G1203)," quantity, ",(A1203)," ",B1203)),"")</f>
        <v/>
      </c>
      <c r="AF1203" s="833"/>
      <c r="AG1203" s="833"/>
      <c r="AH1203" s="91">
        <f>IF(AD1203="free",0,IF(AD1203="me",0,IF(G1203&gt;0,(VLOOKUP(A1203,'Discount Lookup'!J:K,2)*G1203),0)))</f>
        <v>0</v>
      </c>
      <c r="AI1203" s="92" t="str">
        <f t="shared" si="2973"/>
        <v/>
      </c>
      <c r="AJ1203" s="828" t="str">
        <f t="shared" si="3049"/>
        <v/>
      </c>
      <c r="AK1203" s="828"/>
      <c r="AL1203" s="313" t="str">
        <f t="shared" si="2967"/>
        <v/>
      </c>
      <c r="AM1203" s="312"/>
      <c r="AN1203" s="101"/>
      <c r="AO1203" s="101"/>
      <c r="AP1203" s="101"/>
      <c r="AQ1203" s="101"/>
      <c r="AR1203" s="101"/>
      <c r="AS1203" s="101"/>
      <c r="AT1203" s="101"/>
    </row>
    <row r="1204" spans="1:46" ht="12.95" customHeight="1">
      <c r="A1204" s="477"/>
      <c r="B1204" s="149" t="s">
        <v>672</v>
      </c>
      <c r="C1204" s="117"/>
      <c r="D1204" s="118"/>
      <c r="E1204" s="119"/>
      <c r="F1204" s="711"/>
      <c r="G1204" s="356"/>
      <c r="H1204" s="745"/>
      <c r="I1204" s="119"/>
      <c r="J1204" s="119"/>
      <c r="K1204" s="609"/>
      <c r="L1204" s="609"/>
      <c r="M1204" s="121"/>
      <c r="N1204" s="196"/>
      <c r="O1204" s="123"/>
      <c r="P1204" s="124"/>
      <c r="Q1204" s="124"/>
      <c r="R1204" s="83"/>
      <c r="S1204" s="82">
        <f t="shared" ref="S1204" si="3063">E1204*G1204</f>
        <v>0</v>
      </c>
      <c r="T1204" s="540"/>
      <c r="U1204" s="83"/>
      <c r="V1204" s="100" t="b">
        <f>IF(G1204&gt;0,IF(AD1204="me","",G1204))</f>
        <v>0</v>
      </c>
      <c r="W1204" s="100"/>
      <c r="X1204" s="100"/>
      <c r="Y1204" s="201"/>
      <c r="Z1204" s="829" t="str">
        <f t="shared" si="3048"/>
        <v/>
      </c>
      <c r="AA1204" s="829"/>
      <c r="AB1204" s="830" t="str">
        <f>IF(G1204=0,"",IF(AD1204="free","re-planting",IF(AD1204="me","not NVP, by",IF($AD$8="yes",(VLOOKUP(A1204,'Discount Lookup'!J:K,2)*G1204*(1-$AC$1786)*(1+$AC$1788)),IF(AD1204="NVP",(VLOOKUP(A1204,'Discount Lookup'!J:K,2)*G1204*(1-$AC$1786)*(1+$AC$1788)),IF(AD1204="free","re-planting",IF(G1204=0,"",IF($AD$8="",IF(AD1204="me","not NVP, by",IF(AD1204="",IF(G1204&gt;0,(VLOOKUP(A1204,'Discount Lookup'!J:K,2)*G1204*(1-$AC$1786)*(1+$AC$1788)),""),"")),"not NVP, by"))))))))</f>
        <v/>
      </c>
      <c r="AC1204" s="830"/>
      <c r="AD1204" s="375" t="str">
        <f t="shared" si="2966"/>
        <v/>
      </c>
      <c r="AE1204" s="833" t="str">
        <f t="shared" si="3005"/>
        <v/>
      </c>
      <c r="AF1204" s="833"/>
      <c r="AG1204" s="833"/>
      <c r="AH1204" s="91">
        <f>IF(AD1204="free",0,IF(AD1204="me",0,IF(G1204&gt;0,(VLOOKUP(A1204,'Discount Lookup'!J:K,2)*G1204),0)))</f>
        <v>0</v>
      </c>
      <c r="AI1204" s="92" t="str">
        <f t="shared" si="2973"/>
        <v/>
      </c>
      <c r="AJ1204" s="828" t="str">
        <f t="shared" si="3049"/>
        <v/>
      </c>
      <c r="AK1204" s="828"/>
      <c r="AL1204" s="313" t="str">
        <f t="shared" si="2967"/>
        <v/>
      </c>
      <c r="AM1204" s="312"/>
      <c r="AN1204" s="101"/>
      <c r="AO1204" s="101"/>
      <c r="AP1204" s="101"/>
      <c r="AQ1204" s="101"/>
      <c r="AR1204" s="101"/>
      <c r="AS1204" s="101"/>
      <c r="AT1204" s="101"/>
    </row>
    <row r="1205" spans="1:46" ht="12.95" customHeight="1">
      <c r="A1205" s="894" t="s">
        <v>673</v>
      </c>
      <c r="B1205" s="895"/>
      <c r="C1205" s="895"/>
      <c r="D1205" s="895"/>
      <c r="E1205" s="895"/>
      <c r="F1205" s="895"/>
      <c r="G1205" s="895"/>
      <c r="H1205" s="775" t="s">
        <v>535</v>
      </c>
      <c r="I1205" s="349" t="s">
        <v>280</v>
      </c>
      <c r="J1205" s="157"/>
      <c r="K1205" s="611" t="s">
        <v>45</v>
      </c>
      <c r="L1205" s="631" t="s">
        <v>46</v>
      </c>
      <c r="M1205" s="157"/>
      <c r="N1205" s="158" t="s">
        <v>98</v>
      </c>
      <c r="O1205" s="158"/>
      <c r="P1205" s="158"/>
      <c r="Q1205" s="158"/>
      <c r="R1205" s="157"/>
      <c r="S1205" s="170"/>
      <c r="T1205" s="547"/>
      <c r="U1205" s="159" t="s">
        <v>48</v>
      </c>
      <c r="V1205" s="100" t="b">
        <f>IF(G1205&gt;0,IF(AD1205="me","",G1205))</f>
        <v>0</v>
      </c>
      <c r="W1205" s="100"/>
      <c r="X1205" s="100"/>
      <c r="Y1205" s="201"/>
      <c r="Z1205" s="829" t="str">
        <f t="shared" si="3048"/>
        <v/>
      </c>
      <c r="AA1205" s="829"/>
      <c r="AB1205" s="830" t="str">
        <f>IF(G1205=0,"",IF(AD1205="free","re-planting",IF(AD1205="me","not NVP, by",IF($AD$8="yes",(VLOOKUP(A1205,'Discount Lookup'!J:K,2)*G1205*(1-$AC$1786)*(1+$AC$1788)),IF(AD1205="NVP",(VLOOKUP(A1205,'Discount Lookup'!J:K,2)*G1205*(1-$AC$1786)*(1+$AC$1788)),IF(AD1205="free","re-planting",IF(G1205=0,"",IF($AD$8="",IF(AD1205="me","not NVP, by",IF(AD1205="",IF(G1205&gt;0,(VLOOKUP(A1205,'Discount Lookup'!J:K,2)*G1205*(1-$AC$1786)*(1+$AC$1788)),""),"")),"not NVP, by"))))))))</f>
        <v/>
      </c>
      <c r="AC1205" s="830"/>
      <c r="AD1205" s="375" t="str">
        <f t="shared" si="2966"/>
        <v/>
      </c>
      <c r="AE1205" s="833" t="str">
        <f t="shared" si="3005"/>
        <v/>
      </c>
      <c r="AF1205" s="833"/>
      <c r="AG1205" s="833"/>
      <c r="AH1205" s="91">
        <f>IF(AD1205="free",0,IF(AD1205="me",0,IF(G1205&gt;0,(VLOOKUP(A1205,'Discount Lookup'!J:K,2)*G1205),0)))</f>
        <v>0</v>
      </c>
      <c r="AI1205" s="92" t="str">
        <f t="shared" si="2973"/>
        <v/>
      </c>
      <c r="AJ1205" s="828" t="str">
        <f t="shared" si="3049"/>
        <v/>
      </c>
      <c r="AK1205" s="828"/>
      <c r="AL1205" s="313" t="str">
        <f t="shared" si="2967"/>
        <v/>
      </c>
      <c r="AM1205" s="312"/>
      <c r="AN1205" s="101"/>
      <c r="AO1205" s="101"/>
      <c r="AP1205" s="101"/>
      <c r="AQ1205" s="101"/>
      <c r="AR1205" s="101"/>
      <c r="AS1205" s="101"/>
      <c r="AT1205" s="101"/>
    </row>
    <row r="1206" spans="1:46" ht="12.95" customHeight="1">
      <c r="A1206" s="383">
        <v>3</v>
      </c>
      <c r="B1206" s="158" t="s">
        <v>50</v>
      </c>
      <c r="C1206" s="168" t="s">
        <v>236</v>
      </c>
      <c r="D1206" s="161" t="s">
        <v>63</v>
      </c>
      <c r="E1206" s="162">
        <v>40.950000000000003</v>
      </c>
      <c r="F1206" s="713" t="s">
        <v>1306</v>
      </c>
      <c r="G1206" s="357">
        <v>0</v>
      </c>
      <c r="H1206" s="748" t="str">
        <f t="shared" ref="H1206" si="3064">IF(G1206=0,"",IF(F1206="Qty=",IF(G1206=1,"plant","plants"),IF(F1206&gt;0.0001,"warranty","Error")))</f>
        <v/>
      </c>
      <c r="I1206" s="592">
        <f t="shared" ref="I1206" si="3065">IF(F1206="Qty=",(E1206*G1206),((E1206*(1-F1206))*G1206))</f>
        <v>0</v>
      </c>
      <c r="J1206" s="592">
        <f>IF(H1206="warranty",0,(I1206*($J$1782)))</f>
        <v>0</v>
      </c>
      <c r="K1206" s="834">
        <f t="shared" ref="K1206" si="3066">I1206+J1206</f>
        <v>0</v>
      </c>
      <c r="L1206" s="834"/>
      <c r="M1206" s="832" t="str">
        <f>IF($H$1784=0,"",IF(G1206=0,"",IF(F1206="Qty=",CONCATENATE("$",ROUND(K1206*(1-$H$1784),2)," with ",($H$1784*100),"% discount"),CONCATENATE("$",ROUND(K1206*(1-$H$1784),2)," with ",(($H$1784*100+F1206*100)-($H$1784*100*F1206)),IF(F1206&gt;0,"% discounts",IF($H$1781&gt;0,"% discounts","% discount"))))))</f>
        <v/>
      </c>
      <c r="N1206" s="832"/>
      <c r="O1206" s="832"/>
      <c r="P1206" s="832"/>
      <c r="Q1206" s="832"/>
      <c r="R1206" s="832"/>
      <c r="S1206" s="303">
        <f t="shared" ref="S1206" si="3067">E1206*G1206</f>
        <v>0</v>
      </c>
      <c r="T1206" s="541">
        <f>VLOOKUP(A1206,'Discount Lookup'!D:E,2,FALSE)*G1206</f>
        <v>0</v>
      </c>
      <c r="U1206" s="83">
        <f>VLOOKUP(A1206,'Discount Lookup'!G:H,2,FALSE)*G1206</f>
        <v>0</v>
      </c>
      <c r="V1206" s="100">
        <f>E1206*($J$1782)*G1206</f>
        <v>0</v>
      </c>
      <c r="W1206" s="100">
        <f t="shared" ref="W1206" si="3068">I1206</f>
        <v>0</v>
      </c>
      <c r="X1206" s="100" t="b">
        <f>IF(G1206&gt;0,IF(AD1206="me","",G1206))</f>
        <v>0</v>
      </c>
      <c r="Y1206" s="201"/>
      <c r="Z1206" s="829" t="str">
        <f t="shared" si="3048"/>
        <v/>
      </c>
      <c r="AA1206" s="829"/>
      <c r="AB1206" s="830" t="str">
        <f>IF(G1206=0,"",IF(AD1206="free","re-planting",IF(AD1206="me","not NVP, by",IF($AD$8="yes",(VLOOKUP(A1206,'Discount Lookup'!J:K,2)*G1206*(1-$AC$1786)*(1+$AC$1788)),IF(AD1206="NVP",(VLOOKUP(A1206,'Discount Lookup'!J:K,2)*G1206*(1-$AC$1786)*(1+$AC$1788)),IF(AD1206="free","re-planting",IF(G1206=0,"",IF($AD$8="",IF(AD1206="me","not NVP, by",IF(AD1206="",IF(G1206&gt;0,(VLOOKUP(A1206,'Discount Lookup'!J:K,2)*G1206*(1-$AC$1786)*(1+$AC$1788)),""),"")),"not NVP, by"))))))))</f>
        <v/>
      </c>
      <c r="AC1206" s="830"/>
      <c r="AD1206" s="375" t="str">
        <f t="shared" si="2966"/>
        <v/>
      </c>
      <c r="AE1206" s="833" t="str">
        <f t="shared" si="3005"/>
        <v/>
      </c>
      <c r="AF1206" s="833"/>
      <c r="AG1206" s="833"/>
      <c r="AH1206" s="91">
        <f>IF(AD1206="free",0,IF(AD1206="me",0,IF(G1206&gt;0,(VLOOKUP(A1206,'Discount Lookup'!J:K,2)*G1206),0)))</f>
        <v>0</v>
      </c>
      <c r="AI1206" s="92" t="str">
        <f t="shared" si="2973"/>
        <v/>
      </c>
      <c r="AJ1206" s="828" t="str">
        <f t="shared" si="3049"/>
        <v/>
      </c>
      <c r="AK1206" s="828"/>
      <c r="AL1206" s="313" t="str">
        <f t="shared" si="2967"/>
        <v/>
      </c>
      <c r="AM1206" s="312"/>
      <c r="AN1206" s="101"/>
      <c r="AO1206" s="101"/>
      <c r="AP1206" s="101"/>
      <c r="AQ1206" s="101"/>
      <c r="AR1206" s="101"/>
      <c r="AS1206" s="101"/>
      <c r="AT1206" s="101"/>
    </row>
    <row r="1207" spans="1:46" ht="12.95" customHeight="1">
      <c r="A1207" s="477"/>
      <c r="B1207" s="149" t="s">
        <v>674</v>
      </c>
      <c r="C1207" s="117"/>
      <c r="D1207" s="118"/>
      <c r="E1207" s="119"/>
      <c r="F1207" s="711"/>
      <c r="G1207" s="356"/>
      <c r="H1207" s="745"/>
      <c r="I1207" s="119"/>
      <c r="J1207" s="119"/>
      <c r="K1207" s="609"/>
      <c r="L1207" s="609"/>
      <c r="M1207" s="121"/>
      <c r="N1207" s="122" t="s">
        <v>331</v>
      </c>
      <c r="O1207" s="123"/>
      <c r="P1207" s="124"/>
      <c r="Q1207" s="124"/>
      <c r="R1207" s="83"/>
      <c r="S1207" s="82"/>
      <c r="T1207" s="540"/>
      <c r="U1207" s="83"/>
      <c r="V1207" s="100"/>
      <c r="W1207" s="100"/>
      <c r="X1207" s="100"/>
      <c r="Y1207" s="201"/>
      <c r="Z1207" s="829" t="str">
        <f t="shared" si="3048"/>
        <v/>
      </c>
      <c r="AA1207" s="829"/>
      <c r="AB1207" s="830" t="str">
        <f>IF(G1207=0,"",IF(AD1207="free","re-planting",IF(AD1207="me","not NVP, by",IF($AD$8="yes",(VLOOKUP(A1207,'Discount Lookup'!J:K,2)*G1207*(1-$AC$1786)*(1+$AC$1788)),IF(AD1207="NVP",(VLOOKUP(A1207,'Discount Lookup'!J:K,2)*G1207*(1-$AC$1786)*(1+$AC$1788)),IF(AD1207="free","re-planting",IF(G1207=0,"",IF($AD$8="",IF(AD1207="me","not NVP, by",IF(AD1207="",IF(G1207&gt;0,(VLOOKUP(A1207,'Discount Lookup'!J:K,2)*G1207*(1-$AC$1786)*(1+$AC$1788)),""),"")),"not NVP, by"))))))))</f>
        <v/>
      </c>
      <c r="AC1207" s="830"/>
      <c r="AD1207" s="375" t="str">
        <f t="shared" si="2966"/>
        <v/>
      </c>
      <c r="AE1207" s="833" t="str">
        <f t="shared" si="3005"/>
        <v/>
      </c>
      <c r="AF1207" s="833"/>
      <c r="AG1207" s="833"/>
      <c r="AH1207" s="91">
        <f>IF(AD1207="free",0,IF(AD1207="me",0,IF(G1207&gt;0,(VLOOKUP(A1207,'Discount Lookup'!J:K,2)*G1207),0)))</f>
        <v>0</v>
      </c>
      <c r="AI1207" s="92" t="str">
        <f t="shared" si="2973"/>
        <v/>
      </c>
      <c r="AJ1207" s="828" t="str">
        <f t="shared" si="3049"/>
        <v/>
      </c>
      <c r="AK1207" s="828"/>
      <c r="AL1207" s="313" t="str">
        <f t="shared" si="2967"/>
        <v/>
      </c>
      <c r="AM1207" s="312"/>
      <c r="AN1207" s="101"/>
      <c r="AO1207" s="101"/>
      <c r="AP1207" s="101"/>
      <c r="AQ1207" s="101"/>
      <c r="AR1207" s="101"/>
      <c r="AS1207" s="101"/>
      <c r="AT1207" s="101"/>
    </row>
    <row r="1208" spans="1:46" ht="12.95" customHeight="1">
      <c r="A1208" s="894" t="s">
        <v>675</v>
      </c>
      <c r="B1208" s="895"/>
      <c r="C1208" s="895"/>
      <c r="D1208" s="895"/>
      <c r="E1208" s="895"/>
      <c r="F1208" s="895"/>
      <c r="G1208" s="895"/>
      <c r="H1208" s="775" t="s">
        <v>535</v>
      </c>
      <c r="I1208" s="164" t="s">
        <v>79</v>
      </c>
      <c r="J1208" s="157"/>
      <c r="K1208" s="611" t="s">
        <v>45</v>
      </c>
      <c r="L1208" s="630" t="s">
        <v>46</v>
      </c>
      <c r="M1208" s="157"/>
      <c r="N1208" s="352" t="s">
        <v>75</v>
      </c>
      <c r="O1208" s="158"/>
      <c r="P1208" s="158"/>
      <c r="Q1208" s="158"/>
      <c r="R1208" s="157"/>
      <c r="S1208" s="170"/>
      <c r="T1208" s="547"/>
      <c r="U1208" s="171"/>
      <c r="V1208" s="100" t="b">
        <f>IF(G1208&gt;0,IF(AD1208="me","",G1208))</f>
        <v>0</v>
      </c>
      <c r="W1208" s="100"/>
      <c r="X1208" s="100"/>
      <c r="Y1208" s="201"/>
      <c r="Z1208" s="829" t="str">
        <f t="shared" si="3048"/>
        <v/>
      </c>
      <c r="AA1208" s="829"/>
      <c r="AB1208" s="830" t="str">
        <f>IF(G1208=0,"",IF(AD1208="free","re-planting",IF(AD1208="me","not NVP, by",IF($AD$8="yes",(VLOOKUP(A1208,'Discount Lookup'!J:K,2)*G1208*(1-$AC$1786)*(1+$AC$1788)),IF(AD1208="NVP",(VLOOKUP(A1208,'Discount Lookup'!J:K,2)*G1208*(1-$AC$1786)*(1+$AC$1788)),IF(AD1208="free","re-planting",IF(G1208=0,"",IF($AD$8="",IF(AD1208="me","not NVP, by",IF(AD1208="",IF(G1208&gt;0,(VLOOKUP(A1208,'Discount Lookup'!J:K,2)*G1208*(1-$AC$1786)*(1+$AC$1788)),""),"")),"not NVP, by"))))))))</f>
        <v/>
      </c>
      <c r="AC1208" s="830"/>
      <c r="AD1208" s="375" t="str">
        <f t="shared" si="2966"/>
        <v/>
      </c>
      <c r="AE1208" s="833" t="str">
        <f t="shared" si="3005"/>
        <v/>
      </c>
      <c r="AF1208" s="833"/>
      <c r="AG1208" s="833"/>
      <c r="AH1208" s="91">
        <f>IF(AD1208="free",0,IF(AD1208="me",0,IF(G1208&gt;0,(VLOOKUP(A1208,'Discount Lookup'!J:K,2)*G1208),0)))</f>
        <v>0</v>
      </c>
      <c r="AI1208" s="92" t="str">
        <f t="shared" si="2973"/>
        <v/>
      </c>
      <c r="AJ1208" s="828" t="str">
        <f t="shared" si="3049"/>
        <v/>
      </c>
      <c r="AK1208" s="828"/>
      <c r="AL1208" s="313" t="str">
        <f t="shared" si="2967"/>
        <v/>
      </c>
      <c r="AM1208" s="312"/>
      <c r="AN1208" s="101"/>
      <c r="AO1208" s="101"/>
      <c r="AP1208" s="101"/>
      <c r="AQ1208" s="101"/>
      <c r="AR1208" s="101"/>
      <c r="AS1208" s="101"/>
      <c r="AT1208" s="101"/>
    </row>
    <row r="1209" spans="1:46" ht="12.95" customHeight="1">
      <c r="A1209" s="383">
        <v>3</v>
      </c>
      <c r="B1209" s="158" t="s">
        <v>50</v>
      </c>
      <c r="C1209" s="168" t="s">
        <v>136</v>
      </c>
      <c r="D1209" s="161" t="s">
        <v>86</v>
      </c>
      <c r="E1209" s="162">
        <v>24.95</v>
      </c>
      <c r="F1209" s="713" t="s">
        <v>1306</v>
      </c>
      <c r="G1209" s="357">
        <v>0</v>
      </c>
      <c r="H1209" s="748" t="str">
        <f t="shared" ref="H1209:H1211" si="3069">IF(G1209=0,"",IF(F1209="Qty=",IF(G1209=1,"plant","plants"),IF(F1209&gt;0.0001,"warranty","Error")))</f>
        <v/>
      </c>
      <c r="I1209" s="592">
        <f t="shared" ref="I1209:I1211" si="3070">IF(F1209="Qty=",(E1209*G1209),((E1209*(1-F1209))*G1209))</f>
        <v>0</v>
      </c>
      <c r="J1209" s="592">
        <f>IF(H1209="warranty",0,(I1209*($J$1782)))</f>
        <v>0</v>
      </c>
      <c r="K1209" s="834">
        <f t="shared" ref="K1209:K1211" si="3071">I1209+J1209</f>
        <v>0</v>
      </c>
      <c r="L1209" s="834"/>
      <c r="M1209" s="832" t="str">
        <f>IF($H$1784=0,"",IF(G1209=0,"",IF(F1209="Qty=",CONCATENATE("$",ROUND(K1209*(1-$H$1784),2)," with ",($H$1784*100),"% discount"),CONCATENATE("$",ROUND(K1209*(1-$H$1784),2)," with ",(($H$1784*100+F1209*100)-($H$1784*100*F1209)),IF(F1209&gt;0,"% discounts",IF($H$1781&gt;0,"% discounts","% discount"))))))</f>
        <v/>
      </c>
      <c r="N1209" s="832"/>
      <c r="O1209" s="832"/>
      <c r="P1209" s="832"/>
      <c r="Q1209" s="832"/>
      <c r="R1209" s="832"/>
      <c r="S1209" s="303">
        <f t="shared" ref="S1209:S1211" si="3072">E1209*G1209</f>
        <v>0</v>
      </c>
      <c r="T1209" s="541">
        <f>VLOOKUP(A1209,'Discount Lookup'!D:E,2,FALSE)*G1209</f>
        <v>0</v>
      </c>
      <c r="U1209" s="83">
        <f>VLOOKUP(A1209,'Discount Lookup'!G:H,2,FALSE)*G1209</f>
        <v>0</v>
      </c>
      <c r="V1209" s="100">
        <f>E1209*($J$1782)*G1209</f>
        <v>0</v>
      </c>
      <c r="W1209" s="100">
        <f t="shared" ref="W1209:W1211" si="3073">I1209</f>
        <v>0</v>
      </c>
      <c r="X1209" s="100" t="b">
        <f>IF(G1209&gt;0,IF(AD1209="me","",G1209))</f>
        <v>0</v>
      </c>
      <c r="Y1209" s="201"/>
      <c r="Z1209" s="829" t="str">
        <f t="shared" si="3048"/>
        <v/>
      </c>
      <c r="AA1209" s="829"/>
      <c r="AB1209" s="830" t="str">
        <f>IF(G1209=0,"",IF(AD1209="free","re-planting",IF(AD1209="me","not NVP, by",IF($AD$8="yes",(VLOOKUP(A1209,'Discount Lookup'!J:K,2)*G1209*(1-$AC$1786)*(1+$AC$1788)),IF(AD1209="NVP",(VLOOKUP(A1209,'Discount Lookup'!J:K,2)*G1209*(1-$AC$1786)*(1+$AC$1788)),IF(AD1209="free","re-planting",IF(G1209=0,"",IF($AD$8="",IF(AD1209="me","not NVP, by",IF(AD1209="",IF(G1209&gt;0,(VLOOKUP(A1209,'Discount Lookup'!J:K,2)*G1209*(1-$AC$1786)*(1+$AC$1788)),""),"")),"not NVP, by"))))))))</f>
        <v/>
      </c>
      <c r="AC1209" s="830"/>
      <c r="AD1209" s="375" t="str">
        <f t="shared" si="2966"/>
        <v/>
      </c>
      <c r="AE1209" s="833" t="str">
        <f t="shared" si="3005"/>
        <v/>
      </c>
      <c r="AF1209" s="833"/>
      <c r="AG1209" s="833"/>
      <c r="AH1209" s="91">
        <f>IF(AD1209="free",0,IF(AD1209="me",0,IF(G1209&gt;0,(VLOOKUP(A1209,'Discount Lookup'!J:K,2)*G1209),0)))</f>
        <v>0</v>
      </c>
      <c r="AI1209" s="92" t="str">
        <f t="shared" si="2973"/>
        <v/>
      </c>
      <c r="AJ1209" s="828" t="str">
        <f t="shared" si="3049"/>
        <v/>
      </c>
      <c r="AK1209" s="828"/>
      <c r="AL1209" s="313" t="str">
        <f t="shared" si="2967"/>
        <v/>
      </c>
      <c r="AM1209" s="312"/>
      <c r="AN1209" s="101"/>
      <c r="AO1209" s="101"/>
      <c r="AP1209" s="101"/>
      <c r="AQ1209" s="101"/>
      <c r="AR1209" s="101"/>
      <c r="AS1209" s="101"/>
      <c r="AT1209" s="101"/>
    </row>
    <row r="1210" spans="1:46" ht="12.95" customHeight="1">
      <c r="A1210" s="383">
        <v>3</v>
      </c>
      <c r="B1210" s="158" t="s">
        <v>50</v>
      </c>
      <c r="C1210" s="168" t="s">
        <v>136</v>
      </c>
      <c r="D1210" s="161" t="s">
        <v>94</v>
      </c>
      <c r="E1210" s="162">
        <v>25.95</v>
      </c>
      <c r="F1210" s="713" t="s">
        <v>1306</v>
      </c>
      <c r="G1210" s="357">
        <v>0</v>
      </c>
      <c r="H1210" s="748" t="str">
        <f t="shared" si="3069"/>
        <v/>
      </c>
      <c r="I1210" s="592">
        <f t="shared" si="3070"/>
        <v>0</v>
      </c>
      <c r="J1210" s="592">
        <f>IF(H1210="warranty",0,(I1210*($J$1782)))</f>
        <v>0</v>
      </c>
      <c r="K1210" s="834">
        <f t="shared" si="3071"/>
        <v>0</v>
      </c>
      <c r="L1210" s="834"/>
      <c r="M1210" s="832" t="str">
        <f>IF($H$1784=0,"",IF(G1210=0,"",IF(F1210="Qty=",CONCATENATE("$",ROUND(K1210*(1-$H$1784),2)," with ",($H$1784*100),"% discount"),CONCATENATE("$",ROUND(K1210*(1-$H$1784),2)," with ",(($H$1784*100+F1210*100)-($H$1784*100*F1210)),IF(F1210&gt;0,"% discounts",IF($H$1781&gt;0,"% discounts","% discount"))))))</f>
        <v/>
      </c>
      <c r="N1210" s="832"/>
      <c r="O1210" s="832"/>
      <c r="P1210" s="832"/>
      <c r="Q1210" s="832"/>
      <c r="R1210" s="832"/>
      <c r="S1210" s="303">
        <f t="shared" si="3072"/>
        <v>0</v>
      </c>
      <c r="T1210" s="541">
        <f>VLOOKUP(A1210,'Discount Lookup'!D:E,2,FALSE)*G1210</f>
        <v>0</v>
      </c>
      <c r="U1210" s="83">
        <f>VLOOKUP(A1210,'Discount Lookup'!G:H,2,FALSE)*G1210</f>
        <v>0</v>
      </c>
      <c r="V1210" s="100">
        <f>E1210*($J$1782)*G1210</f>
        <v>0</v>
      </c>
      <c r="W1210" s="100">
        <f t="shared" si="3073"/>
        <v>0</v>
      </c>
      <c r="X1210" s="100" t="b">
        <f>IF(G1210&gt;0,IF(AD1210="me","",G1210))</f>
        <v>0</v>
      </c>
      <c r="Y1210" s="201"/>
      <c r="Z1210" s="829" t="str">
        <f t="shared" si="3048"/>
        <v/>
      </c>
      <c r="AA1210" s="829"/>
      <c r="AB1210" s="830" t="str">
        <f>IF(G1210=0,"",IF(AD1210="free","re-planting",IF(AD1210="me","not NVP, by",IF($AD$8="yes",(VLOOKUP(A1210,'Discount Lookup'!J:K,2)*G1210*(1-$AC$1786)*(1+$AC$1788)),IF(AD1210="NVP",(VLOOKUP(A1210,'Discount Lookup'!J:K,2)*G1210*(1-$AC$1786)*(1+$AC$1788)),IF(AD1210="free","re-planting",IF(G1210=0,"",IF($AD$8="",IF(AD1210="me","not NVP, by",IF(AD1210="",IF(G1210&gt;0,(VLOOKUP(A1210,'Discount Lookup'!J:K,2)*G1210*(1-$AC$1786)*(1+$AC$1788)),""),"")),"not NVP, by"))))))))</f>
        <v/>
      </c>
      <c r="AC1210" s="830"/>
      <c r="AD1210" s="375" t="str">
        <f t="shared" si="2966"/>
        <v/>
      </c>
      <c r="AE1210" s="833" t="str">
        <f t="shared" si="3005"/>
        <v/>
      </c>
      <c r="AF1210" s="833"/>
      <c r="AG1210" s="833"/>
      <c r="AH1210" s="91">
        <f>IF(AD1210="free",0,IF(AD1210="me",0,IF(G1210&gt;0,(VLOOKUP(A1210,'Discount Lookup'!J:K,2)*G1210),0)))</f>
        <v>0</v>
      </c>
      <c r="AI1210" s="92" t="str">
        <f t="shared" si="2973"/>
        <v/>
      </c>
      <c r="AJ1210" s="828" t="str">
        <f t="shared" si="3049"/>
        <v/>
      </c>
      <c r="AK1210" s="828"/>
      <c r="AL1210" s="313" t="str">
        <f t="shared" si="2967"/>
        <v/>
      </c>
      <c r="AM1210" s="312"/>
      <c r="AN1210" s="101"/>
      <c r="AO1210" s="101"/>
      <c r="AP1210" s="101"/>
      <c r="AQ1210" s="101"/>
      <c r="AR1210" s="101"/>
      <c r="AS1210" s="101"/>
      <c r="AT1210" s="101"/>
    </row>
    <row r="1211" spans="1:46" ht="12.95" customHeight="1">
      <c r="A1211" s="383">
        <v>5</v>
      </c>
      <c r="B1211" s="158" t="s">
        <v>50</v>
      </c>
      <c r="C1211" s="168" t="s">
        <v>136</v>
      </c>
      <c r="D1211" s="161" t="s">
        <v>90</v>
      </c>
      <c r="E1211" s="162">
        <v>54.95</v>
      </c>
      <c r="F1211" s="713" t="s">
        <v>1306</v>
      </c>
      <c r="G1211" s="357">
        <v>0</v>
      </c>
      <c r="H1211" s="748" t="str">
        <f t="shared" si="3069"/>
        <v/>
      </c>
      <c r="I1211" s="592">
        <f t="shared" si="3070"/>
        <v>0</v>
      </c>
      <c r="J1211" s="592">
        <f>IF(H1211="warranty",0,(I1211*($J$1782)))</f>
        <v>0</v>
      </c>
      <c r="K1211" s="834">
        <f t="shared" si="3071"/>
        <v>0</v>
      </c>
      <c r="L1211" s="834"/>
      <c r="M1211" s="832" t="str">
        <f>IF($H$1784=0,"",IF(G1211=0,"",IF(F1211="Qty=",CONCATENATE("$",ROUND(K1211*(1-$H$1784),2)," with ",($H$1784*100),"% discount"),CONCATENATE("$",ROUND(K1211*(1-$H$1784),2)," with ",(($H$1784*100+F1211*100)-($H$1784*100*F1211)),IF(F1211&gt;0,"% discounts",IF($H$1781&gt;0,"% discounts","% discount"))))))</f>
        <v/>
      </c>
      <c r="N1211" s="832"/>
      <c r="O1211" s="832"/>
      <c r="P1211" s="832"/>
      <c r="Q1211" s="832"/>
      <c r="R1211" s="832"/>
      <c r="S1211" s="303">
        <f t="shared" si="3072"/>
        <v>0</v>
      </c>
      <c r="T1211" s="541">
        <f>VLOOKUP(A1211,'Discount Lookup'!D:E,2,FALSE)*G1211</f>
        <v>0</v>
      </c>
      <c r="U1211" s="83">
        <f>VLOOKUP(A1211,'Discount Lookup'!G:H,2,FALSE)*G1211</f>
        <v>0</v>
      </c>
      <c r="V1211" s="100">
        <f>E1211*($J$1782)*G1211</f>
        <v>0</v>
      </c>
      <c r="W1211" s="100">
        <f t="shared" si="3073"/>
        <v>0</v>
      </c>
      <c r="X1211" s="100" t="b">
        <f>IF(G1211&gt;0,IF(AD1211="me","",G1211))</f>
        <v>0</v>
      </c>
      <c r="Y1211" s="201"/>
      <c r="Z1211" s="829" t="str">
        <f t="shared" si="3048"/>
        <v/>
      </c>
      <c r="AA1211" s="829"/>
      <c r="AB1211" s="830" t="str">
        <f>IF(G1211=0,"",IF(AD1211="free","re-planting",IF(AD1211="me","not NVP, by",IF($AD$8="yes",(VLOOKUP(A1211,'Discount Lookup'!J:K,2)*G1211*(1-$AC$1786)*(1+$AC$1788)),IF(AD1211="NVP",(VLOOKUP(A1211,'Discount Lookup'!J:K,2)*G1211*(1-$AC$1786)*(1+$AC$1788)),IF(AD1211="free","re-planting",IF(G1211=0,"",IF($AD$8="",IF(AD1211="me","not NVP, by",IF(AD1211="",IF(G1211&gt;0,(VLOOKUP(A1211,'Discount Lookup'!J:K,2)*G1211*(1-$AC$1786)*(1+$AC$1788)),""),"")),"not NVP, by"))))))))</f>
        <v/>
      </c>
      <c r="AC1211" s="830"/>
      <c r="AD1211" s="375" t="str">
        <f t="shared" si="2966"/>
        <v/>
      </c>
      <c r="AE1211" s="833" t="str">
        <f t="shared" si="3005"/>
        <v/>
      </c>
      <c r="AF1211" s="833"/>
      <c r="AG1211" s="833"/>
      <c r="AH1211" s="91">
        <f>IF(AD1211="free",0,IF(AD1211="me",0,IF(G1211&gt;0,(VLOOKUP(A1211,'Discount Lookup'!J:K,2)*G1211),0)))</f>
        <v>0</v>
      </c>
      <c r="AI1211" s="92" t="str">
        <f t="shared" si="2973"/>
        <v/>
      </c>
      <c r="AJ1211" s="828" t="str">
        <f t="shared" si="3049"/>
        <v/>
      </c>
      <c r="AK1211" s="828"/>
      <c r="AL1211" s="313" t="str">
        <f t="shared" si="2967"/>
        <v/>
      </c>
      <c r="AM1211" s="312"/>
      <c r="AN1211" s="101"/>
      <c r="AO1211" s="101"/>
      <c r="AP1211" s="101"/>
      <c r="AQ1211" s="101"/>
      <c r="AR1211" s="101"/>
      <c r="AS1211" s="101"/>
      <c r="AT1211" s="101"/>
    </row>
    <row r="1212" spans="1:46" ht="12.95" customHeight="1">
      <c r="A1212" s="481"/>
      <c r="B1212" s="149" t="s">
        <v>676</v>
      </c>
      <c r="G1212" s="359"/>
      <c r="H1212" s="746"/>
      <c r="J1212" s="840"/>
      <c r="K1212" s="840"/>
      <c r="L1212" s="840"/>
      <c r="M1212" s="121"/>
      <c r="N1212" s="122" t="s">
        <v>331</v>
      </c>
      <c r="O1212" s="123"/>
      <c r="P1212" s="124"/>
      <c r="Q1212" s="124"/>
      <c r="R1212" s="83"/>
      <c r="S1212" s="82"/>
      <c r="T1212" s="540"/>
      <c r="U1212" s="83"/>
      <c r="V1212" s="100"/>
      <c r="W1212" s="100"/>
      <c r="X1212" s="100"/>
      <c r="Y1212" s="201"/>
      <c r="Z1212" s="829" t="str">
        <f t="shared" si="3048"/>
        <v/>
      </c>
      <c r="AA1212" s="829"/>
      <c r="AB1212" s="830" t="str">
        <f>IF(G1212=0,"",IF(AD1212="free","re-planting",IF(AD1212="me","not NVP, by",IF($AD$8="yes",(VLOOKUP(A1212,'Discount Lookup'!J:K,2)*G1212*(1-$AC$1786)*(1+$AC$1788)),IF(AD1212="NVP",(VLOOKUP(A1212,'Discount Lookup'!J:K,2)*G1212*(1-$AC$1786)*(1+$AC$1788)),IF(AD1212="free","re-planting",IF(G1212=0,"",IF($AD$8="",IF(AD1212="me","not NVP, by",IF(AD1212="",IF(G1212&gt;0,(VLOOKUP(A1212,'Discount Lookup'!J:K,2)*G1212*(1-$AC$1786)*(1+$AC$1788)),""),"")),"not NVP, by"))))))))</f>
        <v/>
      </c>
      <c r="AC1212" s="830"/>
      <c r="AD1212" s="375" t="str">
        <f t="shared" si="2966"/>
        <v/>
      </c>
      <c r="AE1212" s="833" t="str">
        <f t="shared" si="3005"/>
        <v/>
      </c>
      <c r="AF1212" s="833"/>
      <c r="AG1212" s="833"/>
      <c r="AH1212" s="91">
        <f>IF(AD1212="free",0,IF(AD1212="me",0,IF(G1212&gt;0,(VLOOKUP(A1212,'Discount Lookup'!J:K,2)*G1212),0)))</f>
        <v>0</v>
      </c>
      <c r="AI1212" s="92" t="str">
        <f t="shared" si="2973"/>
        <v/>
      </c>
      <c r="AJ1212" s="828" t="str">
        <f t="shared" si="3049"/>
        <v/>
      </c>
      <c r="AK1212" s="828"/>
      <c r="AL1212" s="313" t="str">
        <f t="shared" si="2967"/>
        <v/>
      </c>
      <c r="AM1212" s="312"/>
      <c r="AN1212" s="101"/>
      <c r="AO1212" s="101"/>
      <c r="AP1212" s="101"/>
      <c r="AQ1212" s="101"/>
      <c r="AR1212" s="101"/>
      <c r="AS1212" s="101"/>
      <c r="AT1212" s="101"/>
    </row>
    <row r="1213" spans="1:46" ht="12.95" customHeight="1">
      <c r="A1213" s="894" t="s">
        <v>677</v>
      </c>
      <c r="B1213" s="895"/>
      <c r="C1213" s="895"/>
      <c r="D1213" s="895"/>
      <c r="E1213" s="895"/>
      <c r="F1213" s="895"/>
      <c r="G1213" s="895"/>
      <c r="H1213" s="775" t="s">
        <v>535</v>
      </c>
      <c r="I1213" s="349" t="s">
        <v>280</v>
      </c>
      <c r="J1213" s="157"/>
      <c r="K1213" s="611" t="s">
        <v>45</v>
      </c>
      <c r="L1213" s="630" t="s">
        <v>46</v>
      </c>
      <c r="M1213" s="157"/>
      <c r="N1213" s="158" t="s">
        <v>69</v>
      </c>
      <c r="O1213" s="165"/>
      <c r="P1213" s="165"/>
      <c r="Q1213" s="165"/>
      <c r="R1213" s="157"/>
      <c r="S1213" s="170"/>
      <c r="T1213" s="547"/>
      <c r="U1213" s="171"/>
      <c r="V1213" s="100" t="b">
        <f>IF(G1213&gt;0,IF(AD1213="me","",G1213))</f>
        <v>0</v>
      </c>
      <c r="W1213" s="100"/>
      <c r="X1213" s="100"/>
      <c r="Y1213" s="201"/>
      <c r="Z1213" s="829" t="str">
        <f t="shared" si="3048"/>
        <v/>
      </c>
      <c r="AA1213" s="829"/>
      <c r="AB1213" s="830" t="str">
        <f>IF(G1213=0,"",IF(AD1213="free","re-planting",IF(AD1213="me","not NVP, by",IF($AD$8="yes",(VLOOKUP(A1213,'Discount Lookup'!J:K,2)*G1213*(1-$AC$1786)*(1+$AC$1788)),IF(AD1213="NVP",(VLOOKUP(A1213,'Discount Lookup'!J:K,2)*G1213*(1-$AC$1786)*(1+$AC$1788)),IF(AD1213="free","re-planting",IF(G1213=0,"",IF($AD$8="",IF(AD1213="me","not NVP, by",IF(AD1213="",IF(G1213&gt;0,(VLOOKUP(A1213,'Discount Lookup'!J:K,2)*G1213*(1-$AC$1786)*(1+$AC$1788)),""),"")),"not NVP, by"))))))))</f>
        <v/>
      </c>
      <c r="AC1213" s="830"/>
      <c r="AD1213" s="375" t="str">
        <f t="shared" si="2966"/>
        <v/>
      </c>
      <c r="AE1213" s="833" t="str">
        <f t="shared" si="3005"/>
        <v/>
      </c>
      <c r="AF1213" s="833"/>
      <c r="AG1213" s="833"/>
      <c r="AH1213" s="91">
        <f>IF(AD1213="free",0,IF(AD1213="me",0,IF(G1213&gt;0,(VLOOKUP(A1213,'Discount Lookup'!J:K,2)*G1213),0)))</f>
        <v>0</v>
      </c>
      <c r="AI1213" s="92" t="str">
        <f t="shared" si="2973"/>
        <v/>
      </c>
      <c r="AJ1213" s="828" t="str">
        <f t="shared" si="3049"/>
        <v/>
      </c>
      <c r="AK1213" s="828"/>
      <c r="AL1213" s="313" t="str">
        <f t="shared" si="2967"/>
        <v/>
      </c>
      <c r="AM1213" s="312"/>
      <c r="AN1213" s="101"/>
      <c r="AO1213" s="101"/>
      <c r="AP1213" s="101"/>
      <c r="AQ1213" s="101"/>
      <c r="AR1213" s="101"/>
      <c r="AS1213" s="101"/>
      <c r="AT1213" s="101"/>
    </row>
    <row r="1214" spans="1:46" ht="12.95" customHeight="1">
      <c r="A1214" s="383">
        <v>3</v>
      </c>
      <c r="B1214" s="158" t="s">
        <v>50</v>
      </c>
      <c r="C1214" s="168" t="s">
        <v>136</v>
      </c>
      <c r="D1214" s="161" t="s">
        <v>87</v>
      </c>
      <c r="E1214" s="162">
        <v>33.950000000000003</v>
      </c>
      <c r="F1214" s="713" t="s">
        <v>1306</v>
      </c>
      <c r="G1214" s="357">
        <v>0</v>
      </c>
      <c r="H1214" s="748" t="str">
        <f t="shared" ref="H1214" si="3074">IF(G1214=0,"",IF(F1214="Qty=",IF(G1214=1,"plant","plants"),IF(F1214&gt;0.0001,"warranty","Error")))</f>
        <v/>
      </c>
      <c r="I1214" s="592">
        <f t="shared" ref="I1214" si="3075">IF(F1214="Qty=",(E1214*G1214),((E1214*(1-F1214))*G1214))</f>
        <v>0</v>
      </c>
      <c r="J1214" s="592">
        <f>IF(H1214="warranty",0,(I1214*($J$1782)))</f>
        <v>0</v>
      </c>
      <c r="K1214" s="834">
        <f t="shared" ref="K1214" si="3076">I1214+J1214</f>
        <v>0</v>
      </c>
      <c r="L1214" s="834"/>
      <c r="M1214" s="832" t="str">
        <f>IF($H$1784=0,"",IF(G1214=0,"",IF(F1214="Qty=",CONCATENATE("$",ROUND(K1214*(1-$H$1784),2)," with ",($H$1784*100),"% discount"),CONCATENATE("$",ROUND(K1214*(1-$H$1784),2)," with ",(($H$1784*100+F1214*100)-($H$1784*100*F1214)),IF(F1214&gt;0,"% discounts",IF($H$1781&gt;0,"% discounts","% discount"))))))</f>
        <v/>
      </c>
      <c r="N1214" s="832"/>
      <c r="O1214" s="832"/>
      <c r="P1214" s="832"/>
      <c r="Q1214" s="832"/>
      <c r="R1214" s="832"/>
      <c r="S1214" s="303">
        <f t="shared" ref="S1214" si="3077">E1214*G1214</f>
        <v>0</v>
      </c>
      <c r="T1214" s="541">
        <f>VLOOKUP(A1214,'Discount Lookup'!D:E,2,FALSE)*G1214</f>
        <v>0</v>
      </c>
      <c r="U1214" s="83">
        <f>VLOOKUP(A1214,'Discount Lookup'!G:H,2,FALSE)*G1214</f>
        <v>0</v>
      </c>
      <c r="V1214" s="100">
        <f>E1214*($J$1782)*G1214</f>
        <v>0</v>
      </c>
      <c r="W1214" s="100">
        <f t="shared" ref="W1214" si="3078">I1214</f>
        <v>0</v>
      </c>
      <c r="X1214" s="100" t="b">
        <f>IF(G1214&gt;0,IF(AD1214="me","",G1214))</f>
        <v>0</v>
      </c>
      <c r="Y1214" s="201"/>
      <c r="Z1214" s="829" t="str">
        <f t="shared" si="3048"/>
        <v/>
      </c>
      <c r="AA1214" s="829"/>
      <c r="AB1214" s="830" t="str">
        <f>IF(G1214=0,"",IF(AD1214="free","re-planting",IF(AD1214="me","not NVP, by",IF($AD$8="yes",(VLOOKUP(A1214,'Discount Lookup'!J:K,2)*G1214*(1-$AC$1786)*(1+$AC$1788)),IF(AD1214="NVP",(VLOOKUP(A1214,'Discount Lookup'!J:K,2)*G1214*(1-$AC$1786)*(1+$AC$1788)),IF(AD1214="free","re-planting",IF(G1214=0,"",IF($AD$8="",IF(AD1214="me","not NVP, by",IF(AD1214="",IF(G1214&gt;0,(VLOOKUP(A1214,'Discount Lookup'!J:K,2)*G1214*(1-$AC$1786)*(1+$AC$1788)),""),"")),"not NVP, by"))))))))</f>
        <v/>
      </c>
      <c r="AC1214" s="830"/>
      <c r="AD1214" s="375" t="str">
        <f t="shared" si="2966"/>
        <v/>
      </c>
      <c r="AE1214" s="833" t="str">
        <f t="shared" si="3005"/>
        <v/>
      </c>
      <c r="AF1214" s="833"/>
      <c r="AG1214" s="833"/>
      <c r="AH1214" s="91">
        <f>IF(AD1214="free",0,IF(AD1214="me",0,IF(G1214&gt;0,(VLOOKUP(A1214,'Discount Lookup'!J:K,2)*G1214),0)))</f>
        <v>0</v>
      </c>
      <c r="AI1214" s="92" t="str">
        <f t="shared" si="2973"/>
        <v/>
      </c>
      <c r="AJ1214" s="828" t="str">
        <f t="shared" si="3049"/>
        <v/>
      </c>
      <c r="AK1214" s="828"/>
      <c r="AL1214" s="313" t="str">
        <f t="shared" si="2967"/>
        <v/>
      </c>
      <c r="AM1214" s="312"/>
      <c r="AN1214" s="101"/>
      <c r="AO1214" s="101"/>
      <c r="AP1214" s="101"/>
      <c r="AQ1214" s="101"/>
      <c r="AR1214" s="101"/>
      <c r="AS1214" s="101"/>
      <c r="AT1214" s="101"/>
    </row>
    <row r="1215" spans="1:46" ht="12.95" customHeight="1">
      <c r="A1215" s="477"/>
      <c r="B1215" s="149" t="s">
        <v>678</v>
      </c>
      <c r="C1215" s="117"/>
      <c r="D1215" s="118"/>
      <c r="E1215" s="119"/>
      <c r="F1215" s="711"/>
      <c r="G1215" s="356"/>
      <c r="H1215" s="745"/>
      <c r="I1215" s="119"/>
      <c r="J1215" s="119"/>
      <c r="K1215" s="609"/>
      <c r="L1215" s="609"/>
      <c r="M1215" s="121"/>
      <c r="N1215" s="122" t="s">
        <v>679</v>
      </c>
      <c r="O1215" s="123"/>
      <c r="P1215" s="124"/>
      <c r="Q1215" s="841" t="s">
        <v>125</v>
      </c>
      <c r="R1215" s="841"/>
      <c r="S1215" s="841"/>
      <c r="T1215" s="841"/>
      <c r="U1215" s="841"/>
      <c r="V1215" s="841"/>
      <c r="Y1215" s="132"/>
      <c r="Z1215" s="829" t="str">
        <f t="shared" si="3048"/>
        <v/>
      </c>
      <c r="AA1215" s="829"/>
      <c r="AB1215" s="830" t="str">
        <f>IF(G1215=0,"",IF(AD1215="free","re-planting",IF(AD1215="me","not NVP, by",IF($AD$8="yes",(VLOOKUP(A1215,'Discount Lookup'!J:K,2)*G1215*(1-$AC$1786)*(1+$AC$1788)),IF(AD1215="NVP",(VLOOKUP(A1215,'Discount Lookup'!J:K,2)*G1215*(1-$AC$1786)*(1+$AC$1788)),IF(AD1215="free","re-planting",IF(G1215=0,"",IF($AD$8="",IF(AD1215="me","not NVP, by",IF(AD1215="",IF(G1215&gt;0,(VLOOKUP(A1215,'Discount Lookup'!J:K,2)*G1215*(1-$AC$1786)*(1+$AC$1788)),""),"")),"not NVP, by"))))))))</f>
        <v/>
      </c>
      <c r="AC1215" s="830"/>
      <c r="AD1215" s="375" t="str">
        <f t="shared" si="2966"/>
        <v/>
      </c>
      <c r="AE1215" s="833" t="str">
        <f t="shared" si="3005"/>
        <v/>
      </c>
      <c r="AF1215" s="833"/>
      <c r="AG1215" s="833"/>
      <c r="AH1215" s="91">
        <f>IF(AD1215="free",0,IF(AD1215="me",0,IF(G1215&gt;0,(VLOOKUP(A1215,'Discount Lookup'!J:K,2)*G1215),0)))</f>
        <v>0</v>
      </c>
      <c r="AI1215" s="92" t="str">
        <f t="shared" si="2973"/>
        <v/>
      </c>
      <c r="AJ1215" s="828" t="str">
        <f t="shared" si="3049"/>
        <v/>
      </c>
      <c r="AK1215" s="828"/>
      <c r="AL1215" s="313" t="str">
        <f t="shared" si="2967"/>
        <v/>
      </c>
      <c r="AM1215" s="312"/>
      <c r="AN1215" s="101"/>
      <c r="AO1215" s="101"/>
      <c r="AP1215" s="101"/>
      <c r="AQ1215" s="101"/>
      <c r="AR1215" s="101"/>
      <c r="AS1215" s="101"/>
      <c r="AT1215" s="101"/>
    </row>
    <row r="1216" spans="1:46" ht="12.95" customHeight="1">
      <c r="A1216" s="836" t="s">
        <v>1368</v>
      </c>
      <c r="B1216" s="837"/>
      <c r="C1216" s="837"/>
      <c r="D1216" s="837"/>
      <c r="E1216" s="837"/>
      <c r="F1216" s="837"/>
      <c r="G1216" s="837"/>
      <c r="H1216" s="775" t="s">
        <v>547</v>
      </c>
      <c r="I1216" s="164" t="s">
        <v>79</v>
      </c>
      <c r="J1216" s="157"/>
      <c r="K1216" s="611" t="s">
        <v>45</v>
      </c>
      <c r="L1216" s="630" t="s">
        <v>46</v>
      </c>
      <c r="M1216" s="157"/>
      <c r="N1216" s="352" t="s">
        <v>75</v>
      </c>
      <c r="O1216" s="158"/>
      <c r="P1216" s="158"/>
      <c r="Q1216" s="158"/>
      <c r="R1216" s="157"/>
      <c r="S1216" s="170"/>
      <c r="T1216" s="547"/>
      <c r="U1216" s="171"/>
      <c r="V1216" s="100" t="b">
        <f>IF(G1216&gt;0,IF(AD1216="me","",G1216))</f>
        <v>0</v>
      </c>
      <c r="W1216" s="100"/>
      <c r="X1216" s="100"/>
      <c r="Y1216" s="201"/>
      <c r="Z1216" s="829" t="str">
        <f t="shared" si="3048"/>
        <v/>
      </c>
      <c r="AA1216" s="829"/>
      <c r="AB1216" s="830" t="str">
        <f>IF(G1216=0,"",IF(AD1216="free","re-planting",IF(AD1216="me","not NVP, by",IF($AD$8="yes",(VLOOKUP(A1216,'Discount Lookup'!J:K,2)*G1216*(1-$AC$1786)*(1+$AC$1788)),IF(AD1216="NVP",(VLOOKUP(A1216,'Discount Lookup'!J:K,2)*G1216*(1-$AC$1786)*(1+$AC$1788)),IF(AD1216="free","re-planting",IF(G1216=0,"",IF($AD$8="",IF(AD1216="me","not NVP, by",IF(AD1216="",IF(G1216&gt;0,(VLOOKUP(A1216,'Discount Lookup'!J:K,2)*G1216*(1-$AC$1786)*(1+$AC$1788)),""),"")),"not NVP, by"))))))))</f>
        <v/>
      </c>
      <c r="AC1216" s="830"/>
      <c r="AD1216" s="375" t="str">
        <f t="shared" si="2966"/>
        <v/>
      </c>
      <c r="AE1216" s="833" t="str">
        <f t="shared" si="3005"/>
        <v/>
      </c>
      <c r="AF1216" s="833"/>
      <c r="AG1216" s="833"/>
      <c r="AH1216" s="91">
        <f>IF(AD1216="free",0,IF(AD1216="me",0,IF(G1216&gt;0,(VLOOKUP(A1216,'Discount Lookup'!J:K,2)*G1216),0)))</f>
        <v>0</v>
      </c>
      <c r="AI1216" s="92" t="str">
        <f t="shared" si="2973"/>
        <v/>
      </c>
      <c r="AJ1216" s="828" t="str">
        <f t="shared" si="3049"/>
        <v/>
      </c>
      <c r="AK1216" s="828"/>
      <c r="AL1216" s="313" t="str">
        <f t="shared" si="2967"/>
        <v/>
      </c>
      <c r="AM1216" s="312"/>
      <c r="AN1216" s="101"/>
      <c r="AO1216" s="101"/>
      <c r="AP1216" s="101"/>
      <c r="AQ1216" s="101"/>
      <c r="AR1216" s="101"/>
      <c r="AS1216" s="101"/>
      <c r="AT1216" s="101"/>
    </row>
    <row r="1217" spans="1:46" ht="12.95" customHeight="1">
      <c r="A1217" s="383" t="s">
        <v>668</v>
      </c>
      <c r="B1217" s="158" t="s">
        <v>669</v>
      </c>
      <c r="C1217" s="168" t="s">
        <v>136</v>
      </c>
      <c r="D1217" s="161" t="s">
        <v>87</v>
      </c>
      <c r="E1217" s="162">
        <v>28.95</v>
      </c>
      <c r="F1217" s="713" t="s">
        <v>1306</v>
      </c>
      <c r="G1217" s="357">
        <v>0</v>
      </c>
      <c r="H1217" s="748" t="str">
        <f t="shared" ref="H1217:H1218" si="3079">IF(G1217=0,"",IF(F1217="Qty=",IF(G1217=1,"plant","plants"),IF(F1217&gt;0.0001,"warranty","Error")))</f>
        <v/>
      </c>
      <c r="I1217" s="592">
        <f t="shared" ref="I1217:I1218" si="3080">IF(F1217="Qty=",(E1217*G1217),((E1217*(1-F1217))*G1217))</f>
        <v>0</v>
      </c>
      <c r="J1217" s="592">
        <f>IF(H1217="warranty",0,(I1217*($J$1782)))</f>
        <v>0</v>
      </c>
      <c r="K1217" s="834">
        <f t="shared" ref="K1217:K1218" si="3081">I1217+J1217</f>
        <v>0</v>
      </c>
      <c r="L1217" s="834"/>
      <c r="M1217" s="832" t="str">
        <f>IF($H$1784=0,"",IF(G1217=0,"",IF(F1217="Qty=",CONCATENATE("$",ROUND(K1217*(1-$H$1784),2)," with ",($H$1784*100),"% discount"),CONCATENATE("$",ROUND(K1217*(1-$H$1784),2)," with ",(($H$1784*100+F1217*100)-($H$1784*100*F1217)),IF(F1217&gt;0,"% discounts",IF($H$1781&gt;0,"% discounts","% discount"))))))</f>
        <v/>
      </c>
      <c r="N1217" s="832"/>
      <c r="O1217" s="832"/>
      <c r="P1217" s="832"/>
      <c r="Q1217" s="832"/>
      <c r="R1217" s="832"/>
      <c r="S1217" s="303">
        <f t="shared" ref="S1217:S1218" si="3082">E1217*G1217</f>
        <v>0</v>
      </c>
      <c r="T1217" s="541">
        <f>VLOOKUP(A1217,'Discount Lookup'!D:E,2,FALSE)*G1217</f>
        <v>0</v>
      </c>
      <c r="U1217" s="83">
        <f>VLOOKUP(A1217,'Discount Lookup'!G:H,2,FALSE)*G1217</f>
        <v>0</v>
      </c>
      <c r="V1217" s="100">
        <f>E1217*($J$1782)*G1217</f>
        <v>0</v>
      </c>
      <c r="W1217" s="100">
        <f t="shared" ref="W1217:W1218" si="3083">I1217</f>
        <v>0</v>
      </c>
      <c r="X1217" s="100" t="b">
        <f>IF(G1217&gt;0,IF(AD1217="me","",G1217))</f>
        <v>0</v>
      </c>
      <c r="Y1217" s="201"/>
      <c r="Z1217" s="829" t="str">
        <f t="shared" si="3048"/>
        <v/>
      </c>
      <c r="AA1217" s="829"/>
      <c r="AB1217" s="830" t="str">
        <f>IF(G1217=0,"",IF(AD1217="free","re-planting",IF(AD1217="me","not NVP, by",IF($AD$8="yes",(VLOOKUP(A1217,'Discount Lookup'!J:K,2)*G1217*(1-$AC$1786)*(1+$AC$1788)),IF(AD1217="NVP",(VLOOKUP(A1217,'Discount Lookup'!J:K,2)*G1217*(1-$AC$1786)*(1+$AC$1788)),IF(AD1217="free","re-planting",IF(G1217=0,"",IF($AD$8="",IF(AD1217="me","not NVP, by",IF(AD1217="",IF(G1217&gt;0,(VLOOKUP(A1217,'Discount Lookup'!J:K,2)*G1217*(1-$AC$1786)*(1+$AC$1788)),""),"")),"not NVP, by"))))))))</f>
        <v/>
      </c>
      <c r="AC1217" s="830"/>
      <c r="AD1217" s="375" t="str">
        <f t="shared" si="2966"/>
        <v/>
      </c>
      <c r="AE1217" s="833" t="str">
        <f t="shared" si="3005"/>
        <v/>
      </c>
      <c r="AF1217" s="833"/>
      <c r="AG1217" s="833"/>
      <c r="AH1217" s="91">
        <f>IF(AD1217="free",0,IF(AD1217="me",0,IF(G1217&gt;0,(VLOOKUP(A1217,'Discount Lookup'!J:K,2)*G1217),0)))</f>
        <v>0</v>
      </c>
      <c r="AI1217" s="92" t="str">
        <f t="shared" si="2973"/>
        <v/>
      </c>
      <c r="AJ1217" s="828" t="str">
        <f t="shared" si="3049"/>
        <v/>
      </c>
      <c r="AK1217" s="828"/>
      <c r="AL1217" s="313" t="str">
        <f t="shared" si="2967"/>
        <v/>
      </c>
      <c r="AM1217" s="312"/>
      <c r="AN1217" s="101"/>
      <c r="AO1217" s="101"/>
      <c r="AP1217" s="101"/>
      <c r="AQ1217" s="101"/>
      <c r="AR1217" s="101"/>
      <c r="AS1217" s="101"/>
      <c r="AT1217" s="101"/>
    </row>
    <row r="1218" spans="1:46" ht="12.95" customHeight="1">
      <c r="A1218" s="383">
        <v>3</v>
      </c>
      <c r="B1218" s="158" t="s">
        <v>50</v>
      </c>
      <c r="C1218" s="168" t="s">
        <v>136</v>
      </c>
      <c r="D1218" s="161" t="s">
        <v>87</v>
      </c>
      <c r="E1218" s="162">
        <v>38.950000000000003</v>
      </c>
      <c r="F1218" s="713" t="s">
        <v>1306</v>
      </c>
      <c r="G1218" s="357">
        <v>0</v>
      </c>
      <c r="H1218" s="748" t="str">
        <f t="shared" si="3079"/>
        <v/>
      </c>
      <c r="I1218" s="592">
        <f t="shared" si="3080"/>
        <v>0</v>
      </c>
      <c r="J1218" s="592">
        <f>IF(H1218="warranty",0,(I1218*($J$1782)))</f>
        <v>0</v>
      </c>
      <c r="K1218" s="834">
        <f t="shared" si="3081"/>
        <v>0</v>
      </c>
      <c r="L1218" s="834"/>
      <c r="M1218" s="832" t="str">
        <f>IF($H$1784=0,"",IF(G1218=0,"",IF(F1218="Qty=",CONCATENATE("$",ROUND(K1218*(1-$H$1784),2)," with ",($H$1784*100),"% discount"),CONCATENATE("$",ROUND(K1218*(1-$H$1784),2)," with ",(($H$1784*100+F1218*100)-($H$1784*100*F1218)),IF(F1218&gt;0,"% discounts",IF($H$1781&gt;0,"% discounts","% discount"))))))</f>
        <v/>
      </c>
      <c r="N1218" s="832"/>
      <c r="O1218" s="832"/>
      <c r="P1218" s="832"/>
      <c r="Q1218" s="832"/>
      <c r="R1218" s="832"/>
      <c r="S1218" s="303">
        <f t="shared" si="3082"/>
        <v>0</v>
      </c>
      <c r="T1218" s="541">
        <f>VLOOKUP(A1218,'Discount Lookup'!D:E,2,FALSE)*G1218</f>
        <v>0</v>
      </c>
      <c r="U1218" s="83">
        <f>VLOOKUP(A1218,'Discount Lookup'!G:H,2,FALSE)*G1218</f>
        <v>0</v>
      </c>
      <c r="V1218" s="100">
        <f>E1218*($J$1782)*G1218</f>
        <v>0</v>
      </c>
      <c r="W1218" s="100">
        <f t="shared" si="3083"/>
        <v>0</v>
      </c>
      <c r="X1218" s="100" t="b">
        <f>IF(G1218&gt;0,IF(AD1218="me","",G1218))</f>
        <v>0</v>
      </c>
      <c r="Y1218" s="201"/>
      <c r="Z1218" s="829" t="str">
        <f t="shared" si="3048"/>
        <v/>
      </c>
      <c r="AA1218" s="829"/>
      <c r="AB1218" s="830" t="str">
        <f>IF(G1218=0,"",IF(AD1218="free","re-planting",IF(AD1218="me","not NVP, by",IF($AD$8="yes",(VLOOKUP(A1218,'Discount Lookup'!J:K,2)*G1218*(1-$AC$1786)*(1+$AC$1788)),IF(AD1218="NVP",(VLOOKUP(A1218,'Discount Lookup'!J:K,2)*G1218*(1-$AC$1786)*(1+$AC$1788)),IF(AD1218="free","re-planting",IF(G1218=0,"",IF($AD$8="",IF(AD1218="me","not NVP, by",IF(AD1218="",IF(G1218&gt;0,(VLOOKUP(A1218,'Discount Lookup'!J:K,2)*G1218*(1-$AC$1786)*(1+$AC$1788)),""),"")),"not NVP, by"))))))))</f>
        <v/>
      </c>
      <c r="AC1218" s="830"/>
      <c r="AD1218" s="375" t="str">
        <f t="shared" si="2966"/>
        <v/>
      </c>
      <c r="AE1218" s="833" t="str">
        <f t="shared" si="3005"/>
        <v/>
      </c>
      <c r="AF1218" s="833"/>
      <c r="AG1218" s="833"/>
      <c r="AH1218" s="91">
        <f>IF(AD1218="free",0,IF(AD1218="me",0,IF(G1218&gt;0,(VLOOKUP(A1218,'Discount Lookup'!J:K,2)*G1218),0)))</f>
        <v>0</v>
      </c>
      <c r="AI1218" s="92" t="str">
        <f t="shared" si="2973"/>
        <v/>
      </c>
      <c r="AJ1218" s="828" t="str">
        <f t="shared" si="3049"/>
        <v/>
      </c>
      <c r="AK1218" s="828"/>
      <c r="AL1218" s="313" t="str">
        <f t="shared" si="2967"/>
        <v/>
      </c>
      <c r="AM1218" s="312"/>
      <c r="AN1218" s="101"/>
      <c r="AO1218" s="101"/>
      <c r="AP1218" s="101"/>
      <c r="AQ1218" s="101"/>
      <c r="AR1218" s="101"/>
      <c r="AS1218" s="101"/>
      <c r="AT1218" s="101"/>
    </row>
    <row r="1219" spans="1:46" ht="12.95" customHeight="1">
      <c r="A1219" s="477"/>
      <c r="B1219" s="149" t="s">
        <v>680</v>
      </c>
      <c r="C1219" s="117"/>
      <c r="D1219" s="118"/>
      <c r="E1219" s="119"/>
      <c r="F1219" s="711"/>
      <c r="G1219" s="356"/>
      <c r="H1219" s="745"/>
      <c r="I1219" s="119"/>
      <c r="J1219" s="119"/>
      <c r="K1219" s="609"/>
      <c r="L1219" s="609"/>
      <c r="M1219" s="121"/>
      <c r="N1219" s="197"/>
      <c r="O1219" s="123"/>
      <c r="P1219" s="124"/>
      <c r="Q1219" s="124"/>
      <c r="R1219" s="83"/>
      <c r="S1219" s="82"/>
      <c r="T1219" s="540"/>
      <c r="U1219" s="83"/>
      <c r="V1219" s="100" t="b">
        <f>IF(G1219&gt;0,IF(AD1219="me","",G1219))</f>
        <v>0</v>
      </c>
      <c r="W1219" s="100"/>
      <c r="X1219" s="100"/>
      <c r="Y1219" s="201"/>
      <c r="Z1219" s="829" t="str">
        <f t="shared" si="3048"/>
        <v/>
      </c>
      <c r="AA1219" s="829"/>
      <c r="AB1219" s="830" t="str">
        <f>IF(G1219=0,"",IF(AD1219="free","re-planting",IF(AD1219="me","not NVP, by",IF($AD$8="yes",(VLOOKUP(A1219,'Discount Lookup'!J:K,2)*G1219*(1-$AC$1786)*(1+$AC$1788)),IF(AD1219="NVP",(VLOOKUP(A1219,'Discount Lookup'!J:K,2)*G1219*(1-$AC$1786)*(1+$AC$1788)),IF(AD1219="free","re-planting",IF(G1219=0,"",IF($AD$8="",IF(AD1219="me","not NVP, by",IF(AD1219="",IF(G1219&gt;0,(VLOOKUP(A1219,'Discount Lookup'!J:K,2)*G1219*(1-$AC$1786)*(1+$AC$1788)),""),"")),"not NVP, by"))))))))</f>
        <v/>
      </c>
      <c r="AC1219" s="830"/>
      <c r="AD1219" s="375" t="str">
        <f t="shared" si="2966"/>
        <v/>
      </c>
      <c r="AE1219" s="833" t="str">
        <f t="shared" si="3005"/>
        <v/>
      </c>
      <c r="AF1219" s="833"/>
      <c r="AG1219" s="833"/>
      <c r="AH1219" s="91">
        <f>IF(AD1219="free",0,IF(AD1219="me",0,IF(G1219&gt;0,(VLOOKUP(A1219,'Discount Lookup'!J:K,2)*G1219),0)))</f>
        <v>0</v>
      </c>
      <c r="AI1219" s="92" t="str">
        <f t="shared" si="2973"/>
        <v/>
      </c>
      <c r="AJ1219" s="828" t="str">
        <f t="shared" si="3049"/>
        <v/>
      </c>
      <c r="AK1219" s="828"/>
      <c r="AL1219" s="313" t="str">
        <f t="shared" si="2967"/>
        <v/>
      </c>
      <c r="AM1219" s="312"/>
      <c r="AN1219" s="101"/>
      <c r="AO1219" s="101"/>
      <c r="AP1219" s="101"/>
      <c r="AQ1219" s="101"/>
      <c r="AR1219" s="101"/>
      <c r="AS1219" s="101"/>
      <c r="AT1219" s="101"/>
    </row>
    <row r="1220" spans="1:46" ht="12.95" customHeight="1">
      <c r="A1220" s="894" t="s">
        <v>681</v>
      </c>
      <c r="B1220" s="895"/>
      <c r="C1220" s="895"/>
      <c r="D1220" s="895"/>
      <c r="E1220" s="895"/>
      <c r="F1220" s="895"/>
      <c r="G1220" s="895"/>
      <c r="H1220" s="775" t="s">
        <v>547</v>
      </c>
      <c r="I1220" s="164" t="s">
        <v>79</v>
      </c>
      <c r="J1220" s="157"/>
      <c r="K1220" s="611" t="s">
        <v>45</v>
      </c>
      <c r="L1220" s="630" t="s">
        <v>46</v>
      </c>
      <c r="M1220" s="157"/>
      <c r="N1220" s="158" t="s">
        <v>98</v>
      </c>
      <c r="O1220" s="158"/>
      <c r="P1220" s="158"/>
      <c r="Q1220" s="158"/>
      <c r="R1220" s="157"/>
      <c r="S1220" s="170"/>
      <c r="T1220" s="547"/>
      <c r="U1220" s="171"/>
      <c r="V1220" s="100" t="b">
        <f>IF(G1220&gt;0,IF(AD1220="me","",G1220))</f>
        <v>0</v>
      </c>
      <c r="W1220" s="100"/>
      <c r="X1220" s="100"/>
      <c r="Y1220" s="201"/>
      <c r="Z1220" s="829" t="str">
        <f t="shared" si="3048"/>
        <v/>
      </c>
      <c r="AA1220" s="829"/>
      <c r="AB1220" s="830" t="str">
        <f>IF(G1220=0,"",IF(AD1220="free","re-planting",IF(AD1220="me","not NVP, by",IF($AD$8="yes",(VLOOKUP(A1220,'Discount Lookup'!J:K,2)*G1220*(1-$AC$1786)*(1+$AC$1788)),IF(AD1220="NVP",(VLOOKUP(A1220,'Discount Lookup'!J:K,2)*G1220*(1-$AC$1786)*(1+$AC$1788)),IF(AD1220="free","re-planting",IF(G1220=0,"",IF($AD$8="",IF(AD1220="me","not NVP, by",IF(AD1220="",IF(G1220&gt;0,(VLOOKUP(A1220,'Discount Lookup'!J:K,2)*G1220*(1-$AC$1786)*(1+$AC$1788)),""),"")),"not NVP, by"))))))))</f>
        <v/>
      </c>
      <c r="AC1220" s="830"/>
      <c r="AD1220" s="375" t="str">
        <f t="shared" si="2966"/>
        <v/>
      </c>
      <c r="AE1220" s="833" t="str">
        <f t="shared" si="3005"/>
        <v/>
      </c>
      <c r="AF1220" s="833"/>
      <c r="AG1220" s="833"/>
      <c r="AH1220" s="91">
        <f>IF(AD1220="free",0,IF(AD1220="me",0,IF(G1220&gt;0,(VLOOKUP(A1220,'Discount Lookup'!J:K,2)*G1220),0)))</f>
        <v>0</v>
      </c>
      <c r="AI1220" s="92" t="str">
        <f t="shared" si="2973"/>
        <v/>
      </c>
      <c r="AJ1220" s="828" t="str">
        <f t="shared" si="3049"/>
        <v/>
      </c>
      <c r="AK1220" s="828"/>
      <c r="AL1220" s="313" t="str">
        <f t="shared" si="2967"/>
        <v/>
      </c>
      <c r="AM1220" s="312"/>
      <c r="AN1220" s="101"/>
      <c r="AO1220" s="101"/>
      <c r="AP1220" s="101"/>
      <c r="AQ1220" s="101"/>
      <c r="AR1220" s="101"/>
      <c r="AS1220" s="101"/>
      <c r="AT1220" s="101"/>
    </row>
    <row r="1221" spans="1:46" ht="12.95" customHeight="1">
      <c r="A1221" s="383">
        <v>3</v>
      </c>
      <c r="B1221" s="158" t="s">
        <v>50</v>
      </c>
      <c r="C1221" s="168" t="s">
        <v>136</v>
      </c>
      <c r="D1221" s="161" t="s">
        <v>86</v>
      </c>
      <c r="E1221" s="162">
        <v>24.95</v>
      </c>
      <c r="F1221" s="713" t="s">
        <v>1306</v>
      </c>
      <c r="G1221" s="357">
        <v>0</v>
      </c>
      <c r="H1221" s="748" t="str">
        <f t="shared" ref="H1221" si="3084">IF(G1221=0,"",IF(F1221="Qty=",IF(G1221=1,"plant","plants"),IF(F1221&gt;0.0001,"warranty","Error")))</f>
        <v/>
      </c>
      <c r="I1221" s="592">
        <f t="shared" ref="I1221" si="3085">IF(F1221="Qty=",(E1221*G1221),((E1221*(1-F1221))*G1221))</f>
        <v>0</v>
      </c>
      <c r="J1221" s="592">
        <f>IF(H1221="warranty",0,(I1221*($J$1782)))</f>
        <v>0</v>
      </c>
      <c r="K1221" s="834">
        <f t="shared" ref="K1221" si="3086">I1221+J1221</f>
        <v>0</v>
      </c>
      <c r="L1221" s="834"/>
      <c r="M1221" s="832" t="str">
        <f>IF($H$1784=0,"",IF(G1221=0,"",IF(F1221="Qty=",CONCATENATE("$",ROUND(K1221*(1-$H$1784),2)," with ",($H$1784*100),"% discount"),CONCATENATE("$",ROUND(K1221*(1-$H$1784),2)," with ",(($H$1784*100+F1221*100)-($H$1784*100*F1221)),IF(F1221&gt;0,"% discounts",IF($H$1781&gt;0,"% discounts","% discount"))))))</f>
        <v/>
      </c>
      <c r="N1221" s="832"/>
      <c r="O1221" s="832"/>
      <c r="P1221" s="832"/>
      <c r="Q1221" s="832"/>
      <c r="R1221" s="832"/>
      <c r="S1221" s="303">
        <f t="shared" ref="S1221" si="3087">E1221*G1221</f>
        <v>0</v>
      </c>
      <c r="T1221" s="541">
        <f>VLOOKUP(A1221,'Discount Lookup'!D:E,2,FALSE)*G1221</f>
        <v>0</v>
      </c>
      <c r="U1221" s="83">
        <f>VLOOKUP(A1221,'Discount Lookup'!G:H,2,FALSE)*G1221</f>
        <v>0</v>
      </c>
      <c r="V1221" s="100">
        <f>E1221*($J$1782)*G1221</f>
        <v>0</v>
      </c>
      <c r="W1221" s="100">
        <f t="shared" ref="W1221" si="3088">I1221</f>
        <v>0</v>
      </c>
      <c r="X1221" s="100" t="b">
        <f>IF(G1221&gt;0,IF(AD1221="me","",G1221))</f>
        <v>0</v>
      </c>
      <c r="Y1221" s="201"/>
      <c r="Z1221" s="829" t="str">
        <f t="shared" si="3048"/>
        <v/>
      </c>
      <c r="AA1221" s="829"/>
      <c r="AB1221" s="830" t="str">
        <f>IF(G1221=0,"",IF(AD1221="free","re-planting",IF(AD1221="me","not NVP, by",IF($AD$8="yes",(VLOOKUP(A1221,'Discount Lookup'!J:K,2)*G1221*(1-$AC$1786)*(1+$AC$1788)),IF(AD1221="NVP",(VLOOKUP(A1221,'Discount Lookup'!J:K,2)*G1221*(1-$AC$1786)*(1+$AC$1788)),IF(AD1221="free","re-planting",IF(G1221=0,"",IF($AD$8="",IF(AD1221="me","not NVP, by",IF(AD1221="",IF(G1221&gt;0,(VLOOKUP(A1221,'Discount Lookup'!J:K,2)*G1221*(1-$AC$1786)*(1+$AC$1788)),""),"")),"not NVP, by"))))))))</f>
        <v/>
      </c>
      <c r="AC1221" s="830"/>
      <c r="AD1221" s="375" t="str">
        <f t="shared" ref="AD1221:AD1276" si="3089">IF(G1221=0,"",IF($AD$8="me","me",IF(H1221="warranty","free",IF($AD$8="yes","NVP",""))))</f>
        <v/>
      </c>
      <c r="AE1221" s="833" t="str">
        <f t="shared" ref="AE1221" si="3090">IF(G1221&gt;0,(CONCATENATE((G1221)," quantity, ",(A1221)," ",B1221)),"")</f>
        <v/>
      </c>
      <c r="AF1221" s="833"/>
      <c r="AG1221" s="833"/>
      <c r="AH1221" s="91">
        <f>IF(AD1221="free",0,IF(AD1221="me",0,IF(G1221&gt;0,(VLOOKUP(A1221,'Discount Lookup'!J:K,2)*G1221),0)))</f>
        <v>0</v>
      </c>
      <c r="AI1221" s="92" t="str">
        <f t="shared" si="2973"/>
        <v/>
      </c>
      <c r="AJ1221" s="828" t="str">
        <f t="shared" si="3049"/>
        <v/>
      </c>
      <c r="AK1221" s="828"/>
      <c r="AL1221" s="313" t="str">
        <f t="shared" si="2967"/>
        <v/>
      </c>
      <c r="AM1221" s="312"/>
      <c r="AN1221" s="101"/>
      <c r="AO1221" s="101"/>
      <c r="AP1221" s="101"/>
      <c r="AQ1221" s="101"/>
      <c r="AR1221" s="101"/>
      <c r="AS1221" s="101"/>
      <c r="AT1221" s="101"/>
    </row>
    <row r="1222" spans="1:46" ht="12.95" customHeight="1">
      <c r="A1222" s="477"/>
      <c r="B1222" s="149" t="s">
        <v>682</v>
      </c>
      <c r="C1222" s="118"/>
      <c r="D1222" s="118"/>
      <c r="E1222" s="119"/>
      <c r="F1222" s="711"/>
      <c r="G1222" s="358"/>
      <c r="H1222" s="745"/>
      <c r="I1222" s="119"/>
      <c r="J1222" s="119"/>
      <c r="K1222" s="609"/>
      <c r="L1222" s="609"/>
      <c r="M1222" s="121"/>
      <c r="N1222" s="121"/>
      <c r="O1222" s="123"/>
      <c r="P1222" s="124"/>
      <c r="Q1222" s="124"/>
      <c r="R1222" s="83"/>
      <c r="S1222" s="82">
        <f>E1222*G1222</f>
        <v>0</v>
      </c>
      <c r="T1222" s="540"/>
      <c r="U1222" s="83"/>
      <c r="V1222" s="100" t="b">
        <f>IF(G1222&gt;0,IF(AD1222="me","",G1222))</f>
        <v>0</v>
      </c>
      <c r="W1222" s="100"/>
      <c r="X1222" s="100"/>
      <c r="Y1222" s="201"/>
      <c r="Z1222" s="829" t="str">
        <f t="shared" si="3048"/>
        <v/>
      </c>
      <c r="AA1222" s="829"/>
      <c r="AB1222" s="830" t="str">
        <f>IF(G1222=0,"",IF(AD1222="free","re-planting",IF(AD1222="me","not NVP, by",IF($AD$8="yes",(VLOOKUP(A1222,'Discount Lookup'!J:K,2)*G1222*(1-$AC$1786)*(1+$AC$1788)),IF(AD1222="NVP",(VLOOKUP(A1222,'Discount Lookup'!J:K,2)*G1222*(1-$AC$1786)*(1+$AC$1788)),IF(AD1222="free","re-planting",IF(G1222=0,"",IF($AD$8="",IF(AD1222="me","not NVP, by",IF(AD1222="",IF(G1222&gt;0,(VLOOKUP(A1222,'Discount Lookup'!J:K,2)*G1222*(1-$AC$1786)*(1+$AC$1788)),""),"")),"not NVP, by"))))))))</f>
        <v/>
      </c>
      <c r="AC1222" s="830"/>
      <c r="AD1222" s="375" t="str">
        <f t="shared" si="3089"/>
        <v/>
      </c>
      <c r="AE1222" s="833" t="str">
        <f t="shared" si="3005"/>
        <v/>
      </c>
      <c r="AF1222" s="833"/>
      <c r="AG1222" s="833"/>
      <c r="AH1222" s="91">
        <f>IF(AD1222="free",0,IF(AD1222="me",0,IF(G1222&gt;0,(VLOOKUP(A1222,'Discount Lookup'!J:K,2)*G1222),0)))</f>
        <v>0</v>
      </c>
      <c r="AI1222" s="92" t="str">
        <f t="shared" si="2973"/>
        <v/>
      </c>
      <c r="AJ1222" s="828" t="str">
        <f t="shared" si="3049"/>
        <v/>
      </c>
      <c r="AK1222" s="828"/>
      <c r="AL1222" s="313" t="str">
        <f t="shared" si="2967"/>
        <v/>
      </c>
      <c r="AM1222" s="312"/>
      <c r="AN1222" s="101"/>
      <c r="AO1222" s="101"/>
      <c r="AP1222" s="101"/>
      <c r="AQ1222" s="101"/>
      <c r="AR1222" s="101"/>
      <c r="AS1222" s="101"/>
      <c r="AT1222" s="101"/>
    </row>
    <row r="1223" spans="1:46" ht="13.5" customHeight="1">
      <c r="A1223" s="836" t="s">
        <v>1248</v>
      </c>
      <c r="B1223" s="837"/>
      <c r="C1223" s="837"/>
      <c r="D1223" s="837"/>
      <c r="E1223" s="837"/>
      <c r="F1223" s="837"/>
      <c r="G1223" s="837"/>
      <c r="H1223" s="775" t="s">
        <v>547</v>
      </c>
      <c r="I1223" s="164" t="s">
        <v>788</v>
      </c>
      <c r="J1223" s="157"/>
      <c r="K1223" s="611" t="s">
        <v>45</v>
      </c>
      <c r="L1223" s="630" t="s">
        <v>46</v>
      </c>
      <c r="M1223" s="157"/>
      <c r="N1223" s="158" t="s">
        <v>69</v>
      </c>
      <c r="O1223" s="158"/>
      <c r="P1223" s="164"/>
      <c r="Q1223" s="164"/>
      <c r="R1223" s="905" t="s">
        <v>49</v>
      </c>
      <c r="S1223" s="905"/>
      <c r="T1223" s="905"/>
      <c r="U1223" s="905"/>
      <c r="V1223" s="100" t="b">
        <f>IF(G1223&gt;0,IF(AD1223="me","",G1223))</f>
        <v>0</v>
      </c>
      <c r="W1223" s="100"/>
      <c r="X1223" s="100"/>
      <c r="Y1223" s="201"/>
      <c r="Z1223" s="829" t="str">
        <f t="shared" si="3048"/>
        <v/>
      </c>
      <c r="AA1223" s="829"/>
      <c r="AB1223" s="830" t="str">
        <f>IF(G1223=0,"",IF(AD1223="free","re-planting",IF(AD1223="me","not NVP, by",IF($AD$8="yes",(VLOOKUP(A1223,'Discount Lookup'!J:K,2)*G1223*(1-$AC$1786)*(1+$AC$1788)),IF(AD1223="NVP",(VLOOKUP(A1223,'Discount Lookup'!J:K,2)*G1223*(1-$AC$1786)*(1+$AC$1788)),IF(AD1223="free","re-planting",IF(G1223=0,"",IF($AD$8="",IF(AD1223="me","not NVP, by",IF(AD1223="",IF(G1223&gt;0,(VLOOKUP(A1223,'Discount Lookup'!J:K,2)*G1223*(1-$AC$1786)*(1+$AC$1788)),""),"")),"not NVP, by"))))))))</f>
        <v/>
      </c>
      <c r="AC1223" s="830"/>
      <c r="AD1223" s="375" t="str">
        <f t="shared" si="3089"/>
        <v/>
      </c>
      <c r="AE1223" s="833" t="str">
        <f t="shared" ref="AE1223:AE1231" si="3091">IF(G1223&gt;0,(CONCATENATE((G1223)," quantity, ",(A1223)," ",B1223)),"")</f>
        <v/>
      </c>
      <c r="AF1223" s="833"/>
      <c r="AG1223" s="833"/>
      <c r="AH1223" s="91">
        <f>IF(AD1223="free",0,IF(AD1223="me",0,IF(G1223&gt;0,(VLOOKUP(A1223,'Discount Lookup'!J:K,2)*G1223),0)))</f>
        <v>0</v>
      </c>
      <c r="AI1223" s="92" t="str">
        <f t="shared" si="2973"/>
        <v/>
      </c>
      <c r="AJ1223" s="828" t="str">
        <f t="shared" si="3049"/>
        <v/>
      </c>
      <c r="AK1223" s="828"/>
      <c r="AL1223" s="313" t="str">
        <f t="shared" si="2967"/>
        <v/>
      </c>
      <c r="AM1223" s="312"/>
      <c r="AN1223" s="101"/>
      <c r="AO1223" s="101"/>
      <c r="AP1223" s="101"/>
      <c r="AQ1223" s="101"/>
      <c r="AR1223" s="101"/>
      <c r="AS1223" s="101"/>
      <c r="AT1223" s="101"/>
    </row>
    <row r="1224" spans="1:46" ht="12.95" customHeight="1">
      <c r="A1224" s="383">
        <v>3</v>
      </c>
      <c r="B1224" s="158" t="s">
        <v>50</v>
      </c>
      <c r="C1224" s="168" t="s">
        <v>51</v>
      </c>
      <c r="D1224" s="161" t="s">
        <v>86</v>
      </c>
      <c r="E1224" s="162">
        <v>24.95</v>
      </c>
      <c r="F1224" s="713" t="s">
        <v>1306</v>
      </c>
      <c r="G1224" s="357">
        <v>0</v>
      </c>
      <c r="H1224" s="748" t="str">
        <f t="shared" ref="H1224" si="3092">IF(G1224=0,"",IF(F1224="Qty=",IF(G1224=1,"plant","plants"),IF(F1224&gt;0.0001,"warranty","Error")))</f>
        <v/>
      </c>
      <c r="I1224" s="592">
        <f t="shared" ref="I1224" si="3093">IF(F1224="Qty=",(E1224*G1224),((E1224*(1-F1224))*G1224))</f>
        <v>0</v>
      </c>
      <c r="J1224" s="592">
        <f>IF(H1224="warranty",0,(I1224*($J$1782)))</f>
        <v>0</v>
      </c>
      <c r="K1224" s="834">
        <f t="shared" ref="K1224:K1225" si="3094">I1224+J1224</f>
        <v>0</v>
      </c>
      <c r="L1224" s="834"/>
      <c r="M1224" s="832" t="str">
        <f>IF($H$1784=0,"",IF(G1224=0,"",IF(F1224="Qty=",CONCATENATE("$",ROUND(K1224*(1-$H$1784),2)," with ",($H$1784*100),"% discount"),CONCATENATE("$",ROUND(K1224*(1-$H$1784),2)," with ",(($H$1784*100+F1224*100)-($H$1784*100*F1224)),IF(F1224&gt;0,"% discounts",IF($H$1781&gt;0,"% discounts","% discount"))))))</f>
        <v/>
      </c>
      <c r="N1224" s="832"/>
      <c r="O1224" s="832"/>
      <c r="P1224" s="832"/>
      <c r="Q1224" s="832"/>
      <c r="R1224" s="832"/>
      <c r="S1224" s="303">
        <f t="shared" ref="S1224" si="3095">E1224*G1224</f>
        <v>0</v>
      </c>
      <c r="T1224" s="541">
        <f>VLOOKUP(A1224,'Discount Lookup'!D:E,2,FALSE)*G1224</f>
        <v>0</v>
      </c>
      <c r="U1224" s="83">
        <f>VLOOKUP(A1224,'Discount Lookup'!G:H,2,FALSE)*G1224</f>
        <v>0</v>
      </c>
      <c r="V1224" s="100">
        <f>E1224*($J$1782)*G1224</f>
        <v>0</v>
      </c>
      <c r="W1224" s="100">
        <f t="shared" ref="W1224" si="3096">I1224</f>
        <v>0</v>
      </c>
      <c r="X1224" s="100" t="b">
        <f>IF(G1224&gt;0,IF(AD1224="me","",G1224))</f>
        <v>0</v>
      </c>
      <c r="Y1224" s="201"/>
      <c r="Z1224" s="829" t="str">
        <f t="shared" ref="Z1224" si="3097">IF(G1224=0,"",IF(AD1224="me","",IF($AD$8="me","",IF(AD1224="free","warranty",IF($AD$8="yes","NVP planting:","to NVP install:")))))</f>
        <v/>
      </c>
      <c r="AA1224" s="829"/>
      <c r="AB1224" s="830" t="str">
        <f>IF(G1224=0,"",IF(AD1224="free","re-planting",IF(AD1224="me","not NVP, by",IF($AD$8="yes",(VLOOKUP(A1224,'Discount Lookup'!J:K,2)*G1224*(1-$AC$1786)*(1+$AC$1788)),IF(AD1224="NVP",(VLOOKUP(A1224,'Discount Lookup'!J:K,2)*G1224*(1-$AC$1786)*(1+$AC$1788)),IF(AD1224="free","re-planting",IF(G1224=0,"",IF($AD$8="",IF(AD1224="me","not NVP, by",IF(AD1224="",IF(G1224&gt;0,(VLOOKUP(A1224,'Discount Lookup'!J:K,2)*G1224*(1-$AC$1786)*(1+$AC$1788)),""),"")),"not NVP, by"))))))))</f>
        <v/>
      </c>
      <c r="AC1224" s="830"/>
      <c r="AD1224" s="375" t="str">
        <f t="shared" si="3089"/>
        <v/>
      </c>
      <c r="AE1224" s="833" t="str">
        <f t="shared" si="3091"/>
        <v/>
      </c>
      <c r="AF1224" s="833"/>
      <c r="AG1224" s="833"/>
      <c r="AH1224" s="91">
        <f>IF(AD1224="free",0,IF(AD1224="me",0,IF(G1224&gt;0,(VLOOKUP(A1224,'Discount Lookup'!J:K,2)*G1224),0)))</f>
        <v>0</v>
      </c>
      <c r="AI1224" s="92" t="str">
        <f t="shared" si="2973"/>
        <v/>
      </c>
      <c r="AJ1224" s="828" t="str">
        <f t="shared" ref="AJ1224" si="3098">IF(G1224=0,"",IF(AD1224="me","  delivery-only",IF($AD$8="me","  delivery-only",CONCATENATE(" $",ROUND(AI1224/G1224,2)," each"))))</f>
        <v/>
      </c>
      <c r="AK1224" s="828"/>
      <c r="AL1224" s="313" t="str">
        <f t="shared" si="2967"/>
        <v/>
      </c>
      <c r="AM1224" s="312"/>
      <c r="AN1224" s="101"/>
      <c r="AO1224" s="101"/>
      <c r="AP1224" s="101"/>
      <c r="AQ1224" s="101"/>
      <c r="AR1224" s="101"/>
      <c r="AS1224" s="101"/>
      <c r="AT1224" s="101"/>
    </row>
    <row r="1225" spans="1:46" ht="13.5" customHeight="1">
      <c r="A1225" s="383">
        <v>3</v>
      </c>
      <c r="B1225" s="158" t="s">
        <v>50</v>
      </c>
      <c r="C1225" s="168" t="s">
        <v>99</v>
      </c>
      <c r="D1225" s="161" t="s">
        <v>90</v>
      </c>
      <c r="E1225" s="162">
        <v>37.950000000000003</v>
      </c>
      <c r="F1225" s="713" t="s">
        <v>1306</v>
      </c>
      <c r="G1225" s="357">
        <v>0</v>
      </c>
      <c r="H1225" s="748" t="str">
        <f t="shared" ref="H1225" si="3099">IF(G1225=0,"",IF(F1225="Qty=",IF(G1225=1,"plant","plants"),IF(F1225&gt;0.0001,"warranty","Error")))</f>
        <v/>
      </c>
      <c r="I1225" s="592">
        <f t="shared" ref="I1225" si="3100">IF(F1225="Qty=",(E1225*G1225),((E1225*(1-F1225))*G1225))</f>
        <v>0</v>
      </c>
      <c r="J1225" s="592">
        <f>IF(H1225="warranty",0,(I1225*($J$1782)))</f>
        <v>0</v>
      </c>
      <c r="K1225" s="834">
        <f t="shared" si="3094"/>
        <v>0</v>
      </c>
      <c r="L1225" s="834"/>
      <c r="M1225" s="832" t="str">
        <f>IF($H$1784=0,"",IF(G1225=0,"",IF(F1225="Qty=",CONCATENATE("$",ROUND(K1225*(1-$H$1784),2)," with ",($H$1784*100),"% discount"),CONCATENATE("$",ROUND(K1225*(1-$H$1784),2)," with ",(($H$1784*100+F1225*100)-($H$1784*100*F1225)),IF(F1225&gt;0,"% discounts",IF($H$1781&gt;0,"% discounts","% discount"))))))</f>
        <v/>
      </c>
      <c r="N1225" s="832"/>
      <c r="O1225" s="832"/>
      <c r="P1225" s="832"/>
      <c r="Q1225" s="832"/>
      <c r="R1225" s="832"/>
      <c r="S1225" s="303">
        <f>E1225*G1225</f>
        <v>0</v>
      </c>
      <c r="T1225" s="541">
        <f>VLOOKUP(A1225,'Discount Lookup'!D:E,2,FALSE)*G1225</f>
        <v>0</v>
      </c>
      <c r="U1225" s="83">
        <f>VLOOKUP(A1225,'Discount Lookup'!G:H,2,FALSE)*G1225</f>
        <v>0</v>
      </c>
      <c r="V1225" s="100">
        <f>E1225*($J$1782)*G1225</f>
        <v>0</v>
      </c>
      <c r="W1225" s="100">
        <f>I1225</f>
        <v>0</v>
      </c>
      <c r="X1225" s="100" t="b">
        <f>IF(G1225&gt;0,IF(AD1225="me","",G1225))</f>
        <v>0</v>
      </c>
      <c r="Y1225" s="201"/>
      <c r="Z1225" s="829" t="str">
        <f t="shared" si="3048"/>
        <v/>
      </c>
      <c r="AA1225" s="829"/>
      <c r="AB1225" s="830" t="str">
        <f>IF(G1225=0,"",IF(AD1225="free","re-planting",IF(AD1225="me","not NVP, by",IF($AD$8="yes",(VLOOKUP(A1225,'Discount Lookup'!J:K,2)*G1225*(1-$AC$1786)*(1+$AC$1788)),IF(AD1225="NVP",(VLOOKUP(A1225,'Discount Lookup'!J:K,2)*G1225*(1-$AC$1786)*(1+$AC$1788)),IF(AD1225="free","re-planting",IF(G1225=0,"",IF($AD$8="",IF(AD1225="me","not NVP, by",IF(AD1225="",IF(G1225&gt;0,(VLOOKUP(A1225,'Discount Lookup'!J:K,2)*G1225*(1-$AC$1786)*(1+$AC$1788)),""),"")),"not NVP, by"))))))))</f>
        <v/>
      </c>
      <c r="AC1225" s="830"/>
      <c r="AD1225" s="375" t="str">
        <f t="shared" si="3089"/>
        <v/>
      </c>
      <c r="AE1225" s="833" t="str">
        <f t="shared" si="3091"/>
        <v/>
      </c>
      <c r="AF1225" s="833"/>
      <c r="AG1225" s="833"/>
      <c r="AH1225" s="91">
        <f>IF(AD1225="free",0,IF(AD1225="me",0,IF(G1225&gt;0,(VLOOKUP(A1225,'Discount Lookup'!J:K,2)*G1225),0)))</f>
        <v>0</v>
      </c>
      <c r="AI1225" s="92" t="str">
        <f t="shared" si="2973"/>
        <v/>
      </c>
      <c r="AJ1225" s="828" t="str">
        <f t="shared" si="3049"/>
        <v/>
      </c>
      <c r="AK1225" s="828"/>
      <c r="AL1225" s="313" t="str">
        <f t="shared" si="2967"/>
        <v/>
      </c>
      <c r="AM1225" s="312"/>
      <c r="AN1225" s="101"/>
      <c r="AO1225" s="101"/>
      <c r="AP1225" s="101"/>
      <c r="AQ1225" s="101"/>
      <c r="AR1225" s="101"/>
      <c r="AS1225" s="101"/>
      <c r="AT1225" s="101"/>
    </row>
    <row r="1226" spans="1:46" ht="13.5" customHeight="1">
      <c r="A1226" s="481"/>
      <c r="B1226" s="149" t="s">
        <v>1250</v>
      </c>
      <c r="G1226" s="359"/>
      <c r="H1226" s="746"/>
      <c r="L1226" s="609"/>
      <c r="M1226" s="121"/>
      <c r="N1226" s="122" t="s">
        <v>650</v>
      </c>
      <c r="O1226" s="123"/>
      <c r="P1226" s="124"/>
      <c r="Y1226" s="132"/>
      <c r="Z1226" s="829" t="str">
        <f t="shared" si="3048"/>
        <v/>
      </c>
      <c r="AA1226" s="829"/>
      <c r="AB1226" s="830" t="str">
        <f>IF(G1226=0,"",IF(AD1226="free","re-planting",IF(AD1226="me","not NVP, by",IF($AD$8="yes",(VLOOKUP(A1226,'Discount Lookup'!J:K,2)*G1226*(1-$AC$1786)*(1+$AC$1788)),IF(AD1226="NVP",(VLOOKUP(A1226,'Discount Lookup'!J:K,2)*G1226*(1-$AC$1786)*(1+$AC$1788)),IF(AD1226="free","re-planting",IF(G1226=0,"",IF($AD$8="",IF(AD1226="me","not NVP, by",IF(AD1226="",IF(G1226&gt;0,(VLOOKUP(A1226,'Discount Lookup'!J:K,2)*G1226*(1-$AC$1786)*(1+$AC$1788)),""),"")),"not NVP, by"))))))))</f>
        <v/>
      </c>
      <c r="AC1226" s="830"/>
      <c r="AD1226" s="375" t="str">
        <f t="shared" si="3089"/>
        <v/>
      </c>
      <c r="AE1226" s="833" t="str">
        <f t="shared" si="3091"/>
        <v/>
      </c>
      <c r="AF1226" s="833"/>
      <c r="AG1226" s="833"/>
      <c r="AH1226" s="91">
        <f>IF(AD1226="free",0,IF(AD1226="me",0,IF(G1226&gt;0,(VLOOKUP(A1226,'Discount Lookup'!J:K,2)*G1226),0)))</f>
        <v>0</v>
      </c>
      <c r="AI1226" s="92" t="str">
        <f t="shared" si="2973"/>
        <v/>
      </c>
      <c r="AJ1226" s="828" t="str">
        <f t="shared" si="3049"/>
        <v/>
      </c>
      <c r="AK1226" s="828"/>
      <c r="AL1226" s="313" t="str">
        <f t="shared" si="2967"/>
        <v/>
      </c>
      <c r="AM1226" s="312"/>
      <c r="AN1226" s="101"/>
      <c r="AO1226" s="101"/>
      <c r="AP1226" s="101"/>
      <c r="AQ1226" s="101"/>
      <c r="AR1226" s="101"/>
      <c r="AS1226" s="101"/>
      <c r="AT1226" s="101"/>
    </row>
    <row r="1227" spans="1:46" ht="12.95" customHeight="1">
      <c r="A1227" s="836" t="s">
        <v>683</v>
      </c>
      <c r="B1227" s="837"/>
      <c r="C1227" s="837"/>
      <c r="D1227" s="837"/>
      <c r="E1227" s="837"/>
      <c r="F1227" s="837"/>
      <c r="G1227" s="837"/>
      <c r="H1227" s="775" t="s">
        <v>547</v>
      </c>
      <c r="I1227" s="164" t="s">
        <v>79</v>
      </c>
      <c r="J1227" s="157"/>
      <c r="K1227" s="611" t="s">
        <v>45</v>
      </c>
      <c r="L1227" s="630" t="s">
        <v>46</v>
      </c>
      <c r="M1227" s="157"/>
      <c r="N1227" s="352" t="s">
        <v>75</v>
      </c>
      <c r="O1227" s="158"/>
      <c r="P1227" s="158"/>
      <c r="Q1227" s="158"/>
      <c r="R1227" s="157"/>
      <c r="S1227" s="170"/>
      <c r="T1227" s="547"/>
      <c r="U1227" s="171"/>
      <c r="V1227" s="100" t="b">
        <f>IF(G1227&gt;0,IF(AD1227="me","",G1227))</f>
        <v>0</v>
      </c>
      <c r="W1227" s="100"/>
      <c r="X1227" s="100"/>
      <c r="Y1227" s="201"/>
      <c r="Z1227" s="829" t="str">
        <f t="shared" si="3048"/>
        <v/>
      </c>
      <c r="AA1227" s="829"/>
      <c r="AB1227" s="830" t="str">
        <f>IF(G1227=0,"",IF(AD1227="free","re-planting",IF(AD1227="me","not NVP, by",IF($AD$8="yes",(VLOOKUP(A1227,'Discount Lookup'!J:K,2)*G1227*(1-$AC$1786)*(1+$AC$1788)),IF(AD1227="NVP",(VLOOKUP(A1227,'Discount Lookup'!J:K,2)*G1227*(1-$AC$1786)*(1+$AC$1788)),IF(AD1227="free","re-planting",IF(G1227=0,"",IF($AD$8="",IF(AD1227="me","not NVP, by",IF(AD1227="",IF(G1227&gt;0,(VLOOKUP(A1227,'Discount Lookup'!J:K,2)*G1227*(1-$AC$1786)*(1+$AC$1788)),""),"")),"not NVP, by"))))))))</f>
        <v/>
      </c>
      <c r="AC1227" s="830"/>
      <c r="AD1227" s="375" t="str">
        <f t="shared" si="3089"/>
        <v/>
      </c>
      <c r="AE1227" s="833" t="str">
        <f t="shared" si="3091"/>
        <v/>
      </c>
      <c r="AF1227" s="833"/>
      <c r="AG1227" s="833"/>
      <c r="AH1227" s="91" t="str">
        <f>IF(AD1227="free",0,IF(AD1227="me","",IF(G1227&gt;0,(VLOOKUP(A1227,'Discount Lookup'!J:K,2)*G1227),"")))</f>
        <v/>
      </c>
      <c r="AI1227" s="92" t="str">
        <f t="shared" si="2973"/>
        <v/>
      </c>
      <c r="AJ1227" s="828" t="str">
        <f t="shared" si="3049"/>
        <v/>
      </c>
      <c r="AK1227" s="828"/>
      <c r="AL1227" s="313" t="str">
        <f t="shared" ref="AL1227:AL1290" si="3101">IF(AD1227="free","      ~ discounts included, no tax or planting fee applies ~",IF(G1227=0,"",IF($AD$8="me",CONCATENATE(" $",ROUND(AI1227/G1227,2)," per plant, with tax &amp; discount"),IF(AD1227="me",CONCATENATE(" $",ROUND(AI1227/G1227,2)," per plant, with tax &amp; discount"),CONCATENATE("= $",ROUND((K1227*(1-$H$1784))/G1227,2)," per plant + $",AB1227/G1227,(" per planting      ~ includes tax &amp; discounts ~"))))))</f>
        <v/>
      </c>
      <c r="AM1227" s="312"/>
      <c r="AN1227" s="101"/>
      <c r="AO1227" s="101"/>
      <c r="AP1227" s="101"/>
      <c r="AQ1227" s="101"/>
      <c r="AR1227" s="101"/>
      <c r="AS1227" s="101"/>
      <c r="AT1227" s="101"/>
    </row>
    <row r="1228" spans="1:46" ht="12.95" customHeight="1">
      <c r="A1228" s="383">
        <v>3</v>
      </c>
      <c r="B1228" s="158" t="s">
        <v>50</v>
      </c>
      <c r="C1228" s="168" t="s">
        <v>1022</v>
      </c>
      <c r="D1228" s="161" t="s">
        <v>87</v>
      </c>
      <c r="E1228" s="162">
        <v>34.950000000000003</v>
      </c>
      <c r="F1228" s="713" t="s">
        <v>1306</v>
      </c>
      <c r="G1228" s="357">
        <v>0</v>
      </c>
      <c r="H1228" s="748" t="str">
        <f t="shared" ref="H1228" si="3102">IF(G1228=0,"",IF(F1228="Qty=",IF(G1228=1,"plant","plants"),IF(F1228&gt;0.0001,"warranty","Error")))</f>
        <v/>
      </c>
      <c r="I1228" s="592">
        <f t="shared" ref="I1228" si="3103">IF(F1228="Qty=",(E1228*G1228),((E1228*(1-F1228))*G1228))</f>
        <v>0</v>
      </c>
      <c r="J1228" s="592">
        <f>IF(H1228="warranty",0,(I1228*($J$1782)))</f>
        <v>0</v>
      </c>
      <c r="K1228" s="834">
        <f t="shared" ref="K1228:K1230" si="3104">I1228+J1228</f>
        <v>0</v>
      </c>
      <c r="L1228" s="834"/>
      <c r="M1228" s="832" t="str">
        <f>IF($H$1784=0,"",IF(G1228=0,"",IF(F1228="Qty=",CONCATENATE("$",ROUND(K1228*(1-$H$1784),2)," with ",($H$1784*100),"% discount"),CONCATENATE("$",ROUND(K1228*(1-$H$1784),2)," with ",(($H$1784*100+F1228*100)-($H$1784*100*F1228)),IF(F1228&gt;0,"% discounts",IF($H$1781&gt;0,"% discounts","% discount"))))))</f>
        <v/>
      </c>
      <c r="N1228" s="832"/>
      <c r="O1228" s="832"/>
      <c r="P1228" s="832"/>
      <c r="Q1228" s="832"/>
      <c r="R1228" s="832"/>
      <c r="S1228" s="303">
        <f t="shared" ref="S1228" si="3105">E1228*G1228</f>
        <v>0</v>
      </c>
      <c r="T1228" s="541">
        <f>VLOOKUP(A1228,'Discount Lookup'!D:E,2,FALSE)*G1228</f>
        <v>0</v>
      </c>
      <c r="U1228" s="83">
        <f>VLOOKUP(A1228,'Discount Lookup'!G:H,2,FALSE)*G1228</f>
        <v>0</v>
      </c>
      <c r="V1228" s="100">
        <f>E1228*($J$1782)*G1228</f>
        <v>0</v>
      </c>
      <c r="W1228" s="100">
        <f t="shared" ref="W1228" si="3106">I1228</f>
        <v>0</v>
      </c>
      <c r="X1228" s="100" t="b">
        <f>IF(G1228&gt;0,IF(AD1228="me","",G1228))</f>
        <v>0</v>
      </c>
      <c r="Y1228" s="201"/>
      <c r="Z1228" s="829" t="str">
        <f t="shared" ref="Z1228" si="3107">IF(G1228=0,"",IF(AD1228="me","",IF($AD$8="me","",IF(AD1228="free","warranty",IF($AD$8="yes","NVP planting:","to NVP install:")))))</f>
        <v/>
      </c>
      <c r="AA1228" s="829"/>
      <c r="AB1228" s="830" t="str">
        <f>IF(G1228=0,"",IF(AD1228="free","re-planting",IF(AD1228="me","not NVP, by",IF($AD$8="yes",(VLOOKUP(A1228,'Discount Lookup'!J:K,2)*G1228*(1-$AC$1786)*(1+$AC$1788)),IF(AD1228="NVP",(VLOOKUP(A1228,'Discount Lookup'!J:K,2)*G1228*(1-$AC$1786)*(1+$AC$1788)),IF(AD1228="free","re-planting",IF(G1228=0,"",IF($AD$8="",IF(AD1228="me","not NVP, by",IF(AD1228="",IF(G1228&gt;0,(VLOOKUP(A1228,'Discount Lookup'!J:K,2)*G1228*(1-$AC$1786)*(1+$AC$1788)),""),"")),"not NVP, by"))))))))</f>
        <v/>
      </c>
      <c r="AC1228" s="830"/>
      <c r="AD1228" s="375" t="str">
        <f t="shared" si="3089"/>
        <v/>
      </c>
      <c r="AE1228" s="833" t="str">
        <f t="shared" ref="AE1228" si="3108">IF(G1228&gt;0,(CONCATENATE((G1228)," quantity, ",(A1228)," ",B1228)),"")</f>
        <v/>
      </c>
      <c r="AF1228" s="833"/>
      <c r="AG1228" s="833"/>
      <c r="AH1228" s="91" t="str">
        <f>IF(AD1228="free",0,IF(AD1228="me","",IF(G1228&gt;0,(VLOOKUP(A1228,'Discount Lookup'!J:K,2)*G1228),"")))</f>
        <v/>
      </c>
      <c r="AI1228" s="92" t="str">
        <f t="shared" si="2973"/>
        <v/>
      </c>
      <c r="AJ1228" s="828" t="str">
        <f t="shared" ref="AJ1228" si="3109">IF(G1228=0,"",IF(AD1228="me","  delivery-only",IF($AD$8="me","  delivery-only",CONCATENATE(" $",ROUND(AI1228/G1228,2)," each"))))</f>
        <v/>
      </c>
      <c r="AK1228" s="828"/>
      <c r="AL1228" s="313" t="str">
        <f t="shared" si="3101"/>
        <v/>
      </c>
      <c r="AM1228" s="312"/>
      <c r="AN1228" s="101"/>
      <c r="AO1228" s="101"/>
      <c r="AP1228" s="101"/>
      <c r="AQ1228" s="101"/>
      <c r="AR1228" s="101"/>
      <c r="AS1228" s="101"/>
      <c r="AT1228" s="101"/>
    </row>
    <row r="1229" spans="1:46" ht="12.95" customHeight="1">
      <c r="A1229" s="383">
        <v>3</v>
      </c>
      <c r="B1229" s="158" t="s">
        <v>50</v>
      </c>
      <c r="C1229" s="168" t="s">
        <v>991</v>
      </c>
      <c r="D1229" s="161" t="s">
        <v>94</v>
      </c>
      <c r="E1229" s="162">
        <v>29.95</v>
      </c>
      <c r="F1229" s="713" t="s">
        <v>1306</v>
      </c>
      <c r="G1229" s="357">
        <v>0</v>
      </c>
      <c r="H1229" s="748" t="str">
        <f t="shared" ref="H1229:H1230" si="3110">IF(G1229=0,"",IF(F1229="Qty=",IF(G1229=1,"plant","plants"),IF(F1229&gt;0.0001,"warranty","Error")))</f>
        <v/>
      </c>
      <c r="I1229" s="592">
        <f t="shared" ref="I1229:I1230" si="3111">IF(F1229="Qty=",(E1229*G1229),((E1229*(1-F1229))*G1229))</f>
        <v>0</v>
      </c>
      <c r="J1229" s="592">
        <f>IF(H1229="warranty",0,(I1229*($J$1782)))</f>
        <v>0</v>
      </c>
      <c r="K1229" s="834">
        <f t="shared" si="3104"/>
        <v>0</v>
      </c>
      <c r="L1229" s="834"/>
      <c r="M1229" s="832" t="str">
        <f>IF($H$1784=0,"",IF(G1229=0,"",IF(F1229="Qty=",CONCATENATE("$",ROUND(K1229*(1-$H$1784),2)," with ",($H$1784*100),"% discount"),CONCATENATE("$",ROUND(K1229*(1-$H$1784),2)," with ",(($H$1784*100+F1229*100)-($H$1784*100*F1229)),IF(F1229&gt;0,"% discounts",IF($H$1781&gt;0,"% discounts","% discount"))))))</f>
        <v/>
      </c>
      <c r="N1229" s="832"/>
      <c r="O1229" s="832"/>
      <c r="P1229" s="832"/>
      <c r="Q1229" s="832"/>
      <c r="R1229" s="832"/>
      <c r="S1229" s="303">
        <f t="shared" ref="S1229" si="3112">E1229*G1229</f>
        <v>0</v>
      </c>
      <c r="T1229" s="541">
        <f>VLOOKUP(A1229,'Discount Lookup'!D:E,2,FALSE)*G1229</f>
        <v>0</v>
      </c>
      <c r="U1229" s="83">
        <f>VLOOKUP(A1229,'Discount Lookup'!G:H,2,FALSE)*G1229</f>
        <v>0</v>
      </c>
      <c r="V1229" s="100">
        <f>E1229*($J$1782)*G1229</f>
        <v>0</v>
      </c>
      <c r="W1229" s="100">
        <f t="shared" ref="W1229" si="3113">I1229</f>
        <v>0</v>
      </c>
      <c r="X1229" s="100" t="b">
        <f>IF(G1229&gt;0,IF(AD1229="me","",G1229))</f>
        <v>0</v>
      </c>
      <c r="Y1229" s="201"/>
      <c r="Z1229" s="829" t="str">
        <f t="shared" si="3048"/>
        <v/>
      </c>
      <c r="AA1229" s="829"/>
      <c r="AB1229" s="830" t="str">
        <f>IF(G1229=0,"",IF(AD1229="free","re-planting",IF(AD1229="me","not NVP, by",IF($AD$8="yes",(VLOOKUP(A1229,'Discount Lookup'!J:K,2)*G1229*(1-$AC$1786)*(1+$AC$1788)),IF(AD1229="NVP",(VLOOKUP(A1229,'Discount Lookup'!J:K,2)*G1229*(1-$AC$1786)*(1+$AC$1788)),IF(AD1229="free","re-planting",IF(G1229=0,"",IF($AD$8="",IF(AD1229="me","not NVP, by",IF(AD1229="",IF(G1229&gt;0,(VLOOKUP(A1229,'Discount Lookup'!J:K,2)*G1229*(1-$AC$1786)*(1+$AC$1788)),""),"")),"not NVP, by"))))))))</f>
        <v/>
      </c>
      <c r="AC1229" s="830"/>
      <c r="AD1229" s="375" t="str">
        <f t="shared" si="3089"/>
        <v/>
      </c>
      <c r="AE1229" s="833" t="str">
        <f t="shared" si="3091"/>
        <v/>
      </c>
      <c r="AF1229" s="833"/>
      <c r="AG1229" s="833"/>
      <c r="AH1229" s="91" t="str">
        <f>IF(AD1229="free",0,IF(AD1229="me","",IF(G1229&gt;0,(VLOOKUP(A1229,'Discount Lookup'!J:K,2)*G1229),"")))</f>
        <v/>
      </c>
      <c r="AI1229" s="92" t="str">
        <f t="shared" si="2973"/>
        <v/>
      </c>
      <c r="AJ1229" s="828" t="str">
        <f t="shared" si="3049"/>
        <v/>
      </c>
      <c r="AK1229" s="828"/>
      <c r="AL1229" s="313" t="str">
        <f t="shared" si="3101"/>
        <v/>
      </c>
      <c r="AM1229" s="312"/>
      <c r="AN1229" s="101"/>
      <c r="AO1229" s="101"/>
      <c r="AP1229" s="101"/>
      <c r="AQ1229" s="101"/>
      <c r="AR1229" s="101"/>
      <c r="AS1229" s="101"/>
      <c r="AT1229" s="101"/>
    </row>
    <row r="1230" spans="1:46" ht="12.95" customHeight="1">
      <c r="A1230" s="383">
        <v>5</v>
      </c>
      <c r="B1230" s="158" t="s">
        <v>50</v>
      </c>
      <c r="C1230" s="168" t="s">
        <v>1625</v>
      </c>
      <c r="D1230" s="161" t="s">
        <v>90</v>
      </c>
      <c r="E1230" s="162">
        <v>61.95</v>
      </c>
      <c r="F1230" s="713" t="s">
        <v>1306</v>
      </c>
      <c r="G1230" s="357">
        <v>0</v>
      </c>
      <c r="H1230" s="748" t="str">
        <f t="shared" si="3110"/>
        <v/>
      </c>
      <c r="I1230" s="592">
        <f t="shared" si="3111"/>
        <v>0</v>
      </c>
      <c r="J1230" s="592">
        <f>IF(H1230="warranty",0,(I1230*($J$1782)))</f>
        <v>0</v>
      </c>
      <c r="K1230" s="834">
        <f t="shared" si="3104"/>
        <v>0</v>
      </c>
      <c r="L1230" s="834"/>
      <c r="M1230" s="832" t="str">
        <f>IF($H$1784=0,"",IF(G1230=0,"",IF(F1230="Qty=",CONCATENATE("$",ROUND(K1230*(1-$H$1784),2)," with ",($H$1784*100),"% discount"),CONCATENATE("$",ROUND(K1230*(1-$H$1784),2)," with ",(($H$1784*100+F1230*100)-($H$1784*100*F1230)),IF(F1230&gt;0,"% discounts",IF($H$1781&gt;0,"% discounts","% discount"))))))</f>
        <v/>
      </c>
      <c r="N1230" s="832"/>
      <c r="O1230" s="832"/>
      <c r="P1230" s="832"/>
      <c r="Q1230" s="832"/>
      <c r="R1230" s="832"/>
      <c r="S1230" s="303">
        <f t="shared" ref="S1230" si="3114">E1230*G1230</f>
        <v>0</v>
      </c>
      <c r="T1230" s="541">
        <f>VLOOKUP(A1230,'Discount Lookup'!D:E,2,FALSE)*G1230</f>
        <v>0</v>
      </c>
      <c r="U1230" s="83">
        <f>VLOOKUP(A1230,'Discount Lookup'!G:H,2,FALSE)*G1230</f>
        <v>0</v>
      </c>
      <c r="V1230" s="100">
        <f>E1230*($J$1782)*G1230</f>
        <v>0</v>
      </c>
      <c r="W1230" s="100">
        <f t="shared" ref="W1230" si="3115">I1230</f>
        <v>0</v>
      </c>
      <c r="X1230" s="100" t="b">
        <f>IF(G1230&gt;0,IF(AD1230="me","",G1230))</f>
        <v>0</v>
      </c>
      <c r="Y1230" s="201"/>
      <c r="Z1230" s="829" t="str">
        <f t="shared" ref="Z1230" si="3116">IF(G1230=0,"",IF(AD1230="me","",IF($AD$8="me","",IF(AD1230="free","warranty",IF($AD$8="yes","NVP planting:","to NVP install:")))))</f>
        <v/>
      </c>
      <c r="AA1230" s="829"/>
      <c r="AB1230" s="830" t="str">
        <f>IF(G1230=0,"",IF(AD1230="free","re-planting",IF(AD1230="me","not NVP, by",IF($AD$8="yes",(VLOOKUP(A1230,'Discount Lookup'!J:K,2)*G1230*(1-$AC$1786)*(1+$AC$1788)),IF(AD1230="NVP",(VLOOKUP(A1230,'Discount Lookup'!J:K,2)*G1230*(1-$AC$1786)*(1+$AC$1788)),IF(AD1230="free","re-planting",IF(G1230=0,"",IF($AD$8="",IF(AD1230="me","not NVP, by",IF(AD1230="",IF(G1230&gt;0,(VLOOKUP(A1230,'Discount Lookup'!J:K,2)*G1230*(1-$AC$1786)*(1+$AC$1788)),""),"")),"not NVP, by"))))))))</f>
        <v/>
      </c>
      <c r="AC1230" s="830"/>
      <c r="AD1230" s="375" t="str">
        <f t="shared" si="3089"/>
        <v/>
      </c>
      <c r="AE1230" s="833" t="str">
        <f t="shared" si="3091"/>
        <v/>
      </c>
      <c r="AF1230" s="833"/>
      <c r="AG1230" s="833"/>
      <c r="AH1230" s="91">
        <f>IF(AD1230="free",0,IF(AD1230="me",0,IF(G1230&gt;0,(VLOOKUP(A1230,'Discount Lookup'!J:K,2)*G1230),0)))</f>
        <v>0</v>
      </c>
      <c r="AI1230" s="92" t="str">
        <f t="shared" si="2973"/>
        <v/>
      </c>
      <c r="AJ1230" s="828" t="str">
        <f t="shared" ref="AJ1230" si="3117">IF(G1230=0,"",IF(AD1230="me","  delivery-only",IF($AD$8="me","  delivery-only",CONCATENATE(" $",ROUND(AI1230/G1230,2)," each"))))</f>
        <v/>
      </c>
      <c r="AK1230" s="828"/>
      <c r="AL1230" s="313" t="str">
        <f t="shared" si="3101"/>
        <v/>
      </c>
      <c r="AM1230" s="312"/>
      <c r="AN1230" s="101"/>
      <c r="AO1230" s="101"/>
      <c r="AP1230" s="101"/>
      <c r="AQ1230" s="101"/>
      <c r="AR1230" s="101"/>
      <c r="AS1230" s="101"/>
      <c r="AT1230" s="101"/>
    </row>
    <row r="1231" spans="1:46" ht="12.95" customHeight="1">
      <c r="A1231" s="477"/>
      <c r="B1231" s="149" t="s">
        <v>684</v>
      </c>
      <c r="C1231" s="117"/>
      <c r="D1231" s="118"/>
      <c r="E1231" s="119"/>
      <c r="F1231" s="711"/>
      <c r="G1231" s="356"/>
      <c r="H1231" s="745"/>
      <c r="I1231" s="119"/>
      <c r="J1231" s="119"/>
      <c r="K1231" s="609"/>
      <c r="L1231" s="609"/>
      <c r="M1231" s="121"/>
      <c r="N1231" s="197"/>
      <c r="O1231" s="123"/>
      <c r="P1231" s="124"/>
      <c r="Q1231" s="124"/>
      <c r="R1231" s="83"/>
      <c r="S1231" s="82"/>
      <c r="T1231" s="540"/>
      <c r="U1231" s="83"/>
      <c r="V1231" s="100" t="b">
        <f>IF(G1231&gt;0,IF(AD1231="me","",G1231))</f>
        <v>0</v>
      </c>
      <c r="W1231" s="100"/>
      <c r="X1231" s="100"/>
      <c r="Y1231" s="201"/>
      <c r="Z1231" s="829" t="str">
        <f t="shared" si="3048"/>
        <v/>
      </c>
      <c r="AA1231" s="829"/>
      <c r="AB1231" s="830" t="str">
        <f>IF(G1231=0,"",IF(AD1231="free","re-planting",IF(AD1231="me","not NVP, by",IF($AD$8="yes",(VLOOKUP(A1231,'Discount Lookup'!J:K,2)*G1231*(1-$AC$1786)*(1+$AC$1788)),IF(AD1231="NVP",(VLOOKUP(A1231,'Discount Lookup'!J:K,2)*G1231*(1-$AC$1786)*(1+$AC$1788)),IF(AD1231="free","re-planting",IF(G1231=0,"",IF($AD$8="",IF(AD1231="me","not NVP, by",IF(AD1231="",IF(G1231&gt;0,(VLOOKUP(A1231,'Discount Lookup'!J:K,2)*G1231*(1-$AC$1786)*(1+$AC$1788)),""),"")),"not NVP, by"))))))))</f>
        <v/>
      </c>
      <c r="AC1231" s="830"/>
      <c r="AD1231" s="375" t="str">
        <f t="shared" si="3089"/>
        <v/>
      </c>
      <c r="AE1231" s="833" t="str">
        <f t="shared" si="3091"/>
        <v/>
      </c>
      <c r="AF1231" s="833"/>
      <c r="AG1231" s="833"/>
      <c r="AH1231" s="91" t="str">
        <f>IF(AD1231="free",0,IF(AD1231="me","",IF(G1231&gt;0,(VLOOKUP(A1231,'Discount Lookup'!J:K,2)*G1231),"")))</f>
        <v/>
      </c>
      <c r="AI1231" s="92" t="str">
        <f t="shared" ref="AI1231:AI1294" si="3118">IF(G1231=0,"",IF(AD1231="free",(K1231*(1-$H$1784)),IF($AD$8="me",(K1231*(1-$H$1784)),IF(AD1231="me",(K1231*(1-$H$1784)),(K1231*(1-$H$1784))+AB1231))))</f>
        <v/>
      </c>
      <c r="AJ1231" s="828" t="str">
        <f t="shared" si="3049"/>
        <v/>
      </c>
      <c r="AK1231" s="828"/>
      <c r="AL1231" s="313" t="str">
        <f t="shared" si="3101"/>
        <v/>
      </c>
      <c r="AM1231" s="312"/>
      <c r="AN1231" s="101"/>
      <c r="AO1231" s="101"/>
      <c r="AP1231" s="101"/>
      <c r="AQ1231" s="101"/>
      <c r="AR1231" s="101"/>
      <c r="AS1231" s="101"/>
      <c r="AT1231" s="101"/>
    </row>
    <row r="1232" spans="1:46" ht="12.95" customHeight="1">
      <c r="A1232" s="919" t="s">
        <v>1335</v>
      </c>
      <c r="B1232" s="890"/>
      <c r="C1232" s="890"/>
      <c r="D1232" s="890"/>
      <c r="E1232" s="890"/>
      <c r="F1232" s="890"/>
      <c r="G1232" s="890"/>
      <c r="H1232" s="775" t="s">
        <v>547</v>
      </c>
      <c r="I1232" s="164" t="s">
        <v>79</v>
      </c>
      <c r="J1232" s="157"/>
      <c r="K1232" s="611" t="s">
        <v>45</v>
      </c>
      <c r="L1232" s="630" t="s">
        <v>46</v>
      </c>
      <c r="M1232" s="157"/>
      <c r="N1232" s="352" t="s">
        <v>75</v>
      </c>
      <c r="O1232" s="158"/>
      <c r="P1232" s="164"/>
      <c r="Q1232" s="158"/>
      <c r="R1232" s="157"/>
      <c r="S1232" s="170"/>
      <c r="T1232" s="547"/>
      <c r="U1232" s="171"/>
      <c r="V1232" s="100" t="b">
        <f>IF(G1232&gt;0,IF(AD1232="me","",G1232))</f>
        <v>0</v>
      </c>
      <c r="W1232" s="100"/>
      <c r="X1232" s="100"/>
      <c r="Y1232" s="201"/>
      <c r="Z1232" s="829" t="str">
        <f t="shared" ref="Z1232" si="3119">IF(G1232=0,"",IF(AD1232="me","",IF($AD$8="me","",IF(AD1232="free","warranty",IF($AD$8="yes","NVP planting:","to NVP install:")))))</f>
        <v/>
      </c>
      <c r="AA1232" s="829"/>
      <c r="AB1232" s="830" t="str">
        <f>IF(G1232=0,"",IF(AD1232="free","re-planting",IF(AD1232="me","not NVP, by",IF($AD$8="yes",(VLOOKUP(A1232,'Discount Lookup'!J:K,2)*G1232*(1-$AC$1786)*(1+$AC$1788)),IF(AD1232="NVP",(VLOOKUP(A1232,'Discount Lookup'!J:K,2)*G1232*(1-$AC$1786)*(1+$AC$1788)),IF(AD1232="free","re-planting",IF(G1232=0,"",IF($AD$8="",IF(AD1232="me","not NVP, by",IF(AD1232="",IF(G1232&gt;0,(VLOOKUP(A1232,'Discount Lookup'!J:K,2)*G1232*(1-$AC$1786)*(1+$AC$1788)),""),"")),"not NVP, by"))))))))</f>
        <v/>
      </c>
      <c r="AC1232" s="830"/>
      <c r="AD1232" s="375" t="str">
        <f t="shared" si="3089"/>
        <v/>
      </c>
      <c r="AE1232" s="833" t="str">
        <f>IF(G1232&gt;0,(CONCATENATE((G1232)," quantity, ",(A1232)," ",B1232)),"")</f>
        <v/>
      </c>
      <c r="AF1232" s="833"/>
      <c r="AG1232" s="833"/>
      <c r="AH1232" s="91" t="str">
        <f>IF(AD1232="free",0,IF(AD1232="me","",IF(G1232&gt;0,(VLOOKUP(A1232,'Discount Lookup'!J:K,2)*G1232),"")))</f>
        <v/>
      </c>
      <c r="AI1232" s="92" t="str">
        <f t="shared" si="3118"/>
        <v/>
      </c>
      <c r="AJ1232" s="828" t="str">
        <f>IF(G1232=0,"",IF(AD1232="me","  delivery-only",IF($AD$8="me","  delivery-only",CONCATENATE(" $",ROUND(AI1232/G1232,2)," each"))))</f>
        <v/>
      </c>
      <c r="AK1232" s="828"/>
      <c r="AL1232" s="313" t="str">
        <f t="shared" si="3101"/>
        <v/>
      </c>
      <c r="AM1232" s="312"/>
      <c r="AN1232" s="101"/>
      <c r="AO1232" s="101"/>
      <c r="AP1232" s="101"/>
      <c r="AQ1232" s="101"/>
      <c r="AR1232" s="101"/>
      <c r="AS1232" s="101"/>
      <c r="AT1232" s="101"/>
    </row>
    <row r="1233" spans="1:46" ht="12.95" customHeight="1">
      <c r="A1233" s="383">
        <v>3</v>
      </c>
      <c r="B1233" s="158" t="s">
        <v>50</v>
      </c>
      <c r="C1233" s="168" t="s">
        <v>136</v>
      </c>
      <c r="D1233" s="161" t="s">
        <v>87</v>
      </c>
      <c r="E1233" s="162">
        <v>31.95</v>
      </c>
      <c r="F1233" s="713" t="s">
        <v>1306</v>
      </c>
      <c r="G1233" s="357">
        <v>0</v>
      </c>
      <c r="H1233" s="748" t="str">
        <f t="shared" ref="H1233" si="3120">IF(G1233=0,"",IF(F1233="Qty=",IF(G1233=1,"plant","plants"),IF(F1233&gt;0.0001,"warranty","Error")))</f>
        <v/>
      </c>
      <c r="I1233" s="592">
        <f t="shared" ref="I1233" si="3121">IF(F1233="Qty=",(E1233*G1233),((E1233*(1-F1233))*G1233))</f>
        <v>0</v>
      </c>
      <c r="J1233" s="592">
        <f>IF(H1233="warranty",0,(I1233*($J$1782)))</f>
        <v>0</v>
      </c>
      <c r="K1233" s="834">
        <f t="shared" ref="K1233" si="3122">I1233+J1233</f>
        <v>0</v>
      </c>
      <c r="L1233" s="834"/>
      <c r="M1233" s="832" t="str">
        <f>IF($H$1784=0,"",IF(G1233=0,"",IF(F1233="Qty=",CONCATENATE("$",ROUND(K1233*(1-$H$1784),2)," with ",($H$1784*100),"% discount"),CONCATENATE("$",ROUND(K1233*(1-$H$1784),2)," with ",(($H$1784*100+F1233*100)-($H$1784*100*F1233)),IF(F1233&gt;0,"% discounts",IF($H$1781&gt;0,"% discounts","% discount"))))))</f>
        <v/>
      </c>
      <c r="N1233" s="832"/>
      <c r="O1233" s="832"/>
      <c r="P1233" s="832"/>
      <c r="Q1233" s="832"/>
      <c r="R1233" s="832"/>
      <c r="S1233" s="303">
        <f t="shared" ref="S1233" si="3123">E1233*G1233</f>
        <v>0</v>
      </c>
      <c r="T1233" s="541">
        <f>VLOOKUP(A1233,'Discount Lookup'!D:E,2,FALSE)*G1233</f>
        <v>0</v>
      </c>
      <c r="U1233" s="83">
        <f>VLOOKUP(A1233,'Discount Lookup'!G:H,2,FALSE)*G1233</f>
        <v>0</v>
      </c>
      <c r="V1233" s="100">
        <f>E1233*($J$1782)*G1233</f>
        <v>0</v>
      </c>
      <c r="W1233" s="100">
        <f t="shared" ref="W1233" si="3124">I1233</f>
        <v>0</v>
      </c>
      <c r="X1233" s="100" t="b">
        <f t="shared" ref="X1233" si="3125">IF(G1233&gt;0,IF(AD1233="me","",G1233))</f>
        <v>0</v>
      </c>
      <c r="Y1233" s="201"/>
      <c r="Z1233" s="829" t="str">
        <f>IF(G1233=0,"",IF(AD1233="me","",IF($AD$8="me","",IF(AD1233="free","warranty",IF($AD$8="yes","NVP planting:","to NVP install:")))))</f>
        <v/>
      </c>
      <c r="AA1233" s="829"/>
      <c r="AB1233" s="830" t="str">
        <f>IF(G1233=0,"",IF(AD1233="free","re-planting",IF(AD1233="me","not NVP, by",IF($AD$8="yes",(VLOOKUP(A1233,'Discount Lookup'!J:K,2)*G1233*(1-$AC$1786)*(1+$AC$1788)),IF(AD1233="NVP",(VLOOKUP(A1233,'Discount Lookup'!J:K,2)*G1233*(1-$AC$1786)*(1+$AC$1788)),IF(AD1233="free","re-planting",IF(G1233=0,"",IF($AD$8="",IF(AD1233="me","not NVP, by",IF(AD1233="",IF(G1233&gt;0,(VLOOKUP(A1233,'Discount Lookup'!J:K,2)*G1233*(1-$AC$1786)*(1+$AC$1788)),""),"")),"not NVP, by"))))))))</f>
        <v/>
      </c>
      <c r="AC1233" s="830"/>
      <c r="AD1233" s="375" t="str">
        <f t="shared" si="3089"/>
        <v/>
      </c>
      <c r="AE1233" s="833" t="str">
        <f t="shared" ref="AE1233" si="3126">IF(G1233&gt;0,(CONCATENATE((G1233)," quantity, ",(A1233)," ",B1233)),"")</f>
        <v/>
      </c>
      <c r="AF1233" s="833"/>
      <c r="AG1233" s="833"/>
      <c r="AH1233" s="91" t="str">
        <f>IF(AD1233="free",0,IF(AD1233="me","",IF(G1233&gt;0,(VLOOKUP(A1233,'Discount Lookup'!J:K,2)*G1233),"")))</f>
        <v/>
      </c>
      <c r="AI1233" s="92" t="str">
        <f t="shared" si="3118"/>
        <v/>
      </c>
      <c r="AJ1233" s="828" t="str">
        <f>IF(G1233=0,"",IF(AD1233="me","  delivery-only",IF($AD$8="me","  delivery-only",CONCATENATE(" $",ROUND(AI1233/G1233,2)," each"))))</f>
        <v/>
      </c>
      <c r="AK1233" s="828"/>
      <c r="AL1233" s="313" t="str">
        <f t="shared" si="3101"/>
        <v/>
      </c>
      <c r="AM1233" s="312"/>
      <c r="AN1233" s="101"/>
      <c r="AO1233" s="101"/>
      <c r="AP1233" s="101"/>
      <c r="AQ1233" s="101"/>
      <c r="AR1233" s="101"/>
      <c r="AS1233" s="101"/>
      <c r="AT1233" s="101"/>
    </row>
    <row r="1234" spans="1:46" ht="12.95" customHeight="1">
      <c r="A1234" s="485"/>
      <c r="B1234" s="149" t="s">
        <v>1336</v>
      </c>
      <c r="G1234" s="361"/>
      <c r="H1234" s="746"/>
      <c r="M1234" s="121"/>
      <c r="N1234" s="197"/>
      <c r="O1234" s="123"/>
      <c r="P1234" s="124"/>
      <c r="Q1234" s="124"/>
      <c r="R1234" s="83"/>
      <c r="S1234" s="82"/>
      <c r="T1234" s="540"/>
      <c r="U1234" s="83"/>
      <c r="V1234" s="100" t="b">
        <f>IF(G1234&gt;0,IF(AD1234="me","",G1234))</f>
        <v>0</v>
      </c>
      <c r="W1234" s="100"/>
      <c r="X1234" s="100"/>
      <c r="Y1234" s="201"/>
      <c r="Z1234" s="829" t="str">
        <f t="shared" ref="Z1234" si="3127">IF(G1234=0,"",IF(AD1234="me","",IF($AD$8="me","",IF(AD1234="free","warranty",IF($AD$8="yes","NVP planting:","to NVP install:")))))</f>
        <v/>
      </c>
      <c r="AA1234" s="829"/>
      <c r="AB1234" s="830" t="str">
        <f>IF(G1234=0,"",IF(AD1234="free","re-planting",IF(AD1234="me","not NVP, by",IF($AD$8="yes",(VLOOKUP(A1234,'Discount Lookup'!J:K,2)*G1234*(1-$AC$1786)*(1+$AC$1788)),IF(AD1234="NVP",(VLOOKUP(A1234,'Discount Lookup'!J:K,2)*G1234*(1-$AC$1786)*(1+$AC$1788)),IF(AD1234="free","re-planting",IF(G1234=0,"",IF($AD$8="",IF(AD1234="me","not NVP, by",IF(AD1234="",IF(G1234&gt;0,(VLOOKUP(A1234,'Discount Lookup'!J:K,2)*G1234*(1-$AC$1786)*(1+$AC$1788)),""),"")),"not NVP, by"))))))))</f>
        <v/>
      </c>
      <c r="AC1234" s="830"/>
      <c r="AD1234" s="375" t="str">
        <f t="shared" si="3089"/>
        <v/>
      </c>
      <c r="AE1234" s="833" t="str">
        <f>IF(G1234&gt;0,(CONCATENATE((G1234)," quantity, ",(A1234)," ",B1234)),"")</f>
        <v/>
      </c>
      <c r="AF1234" s="833"/>
      <c r="AG1234" s="833"/>
      <c r="AH1234" s="91" t="str">
        <f>IF(AD1234="free",0,IF(AD1234="me","",IF(G1234&gt;0,(VLOOKUP(A1234,'Discount Lookup'!J:K,2)*G1234),"")))</f>
        <v/>
      </c>
      <c r="AI1234" s="92" t="str">
        <f t="shared" si="3118"/>
        <v/>
      </c>
      <c r="AJ1234" s="828" t="str">
        <f>IF(G1234=0,"",IF(AD1234="me","  delivery-only",IF($AD$8="me","  delivery-only",CONCATENATE(" $",ROUND(AI1234/G1234,2)," each"))))</f>
        <v/>
      </c>
      <c r="AK1234" s="828"/>
      <c r="AL1234" s="313" t="str">
        <f t="shared" si="3101"/>
        <v/>
      </c>
      <c r="AM1234" s="312"/>
      <c r="AN1234" s="101"/>
      <c r="AO1234" s="101"/>
      <c r="AP1234" s="101"/>
      <c r="AQ1234" s="101"/>
      <c r="AR1234" s="101"/>
      <c r="AS1234" s="101"/>
      <c r="AT1234" s="101"/>
    </row>
    <row r="1235" spans="1:46" ht="12.95" customHeight="1">
      <c r="A1235" s="894" t="s">
        <v>685</v>
      </c>
      <c r="B1235" s="895"/>
      <c r="C1235" s="895"/>
      <c r="D1235" s="895"/>
      <c r="E1235" s="895"/>
      <c r="F1235" s="895"/>
      <c r="G1235" s="895"/>
      <c r="H1235" s="775" t="s">
        <v>560</v>
      </c>
      <c r="I1235" s="349" t="s">
        <v>280</v>
      </c>
      <c r="J1235" s="157"/>
      <c r="K1235" s="611" t="s">
        <v>45</v>
      </c>
      <c r="L1235" s="630" t="s">
        <v>46</v>
      </c>
      <c r="M1235" s="157"/>
      <c r="N1235" s="158" t="s">
        <v>69</v>
      </c>
      <c r="O1235" s="158"/>
      <c r="P1235" s="158"/>
      <c r="Q1235" s="158"/>
      <c r="R1235" s="157"/>
      <c r="S1235" s="170"/>
      <c r="T1235" s="547"/>
      <c r="U1235" s="171"/>
      <c r="V1235" s="100" t="b">
        <f>IF(G1235&gt;0,IF(AD1235="me","",G1235))</f>
        <v>0</v>
      </c>
      <c r="W1235" s="100"/>
      <c r="X1235" s="100"/>
      <c r="Y1235" s="201"/>
      <c r="Z1235" s="829" t="str">
        <f t="shared" si="3048"/>
        <v/>
      </c>
      <c r="AA1235" s="829"/>
      <c r="AB1235" s="830" t="str">
        <f>IF(G1235=0,"",IF(AD1235="free","re-planting",IF(AD1235="me","not NVP, by",IF($AD$8="yes",(VLOOKUP(A1235,'Discount Lookup'!J:K,2)*G1235*(1-$AC$1786)*(1+$AC$1788)),IF(AD1235="NVP",(VLOOKUP(A1235,'Discount Lookup'!J:K,2)*G1235*(1-$AC$1786)*(1+$AC$1788)),IF(AD1235="free","re-planting",IF(G1235=0,"",IF($AD$8="",IF(AD1235="me","not NVP, by",IF(AD1235="",IF(G1235&gt;0,(VLOOKUP(A1235,'Discount Lookup'!J:K,2)*G1235*(1-$AC$1786)*(1+$AC$1788)),""),"")),"not NVP, by"))))))))</f>
        <v/>
      </c>
      <c r="AC1235" s="830"/>
      <c r="AD1235" s="375" t="str">
        <f t="shared" si="3089"/>
        <v/>
      </c>
      <c r="AE1235" s="833" t="str">
        <f t="shared" si="3005"/>
        <v/>
      </c>
      <c r="AF1235" s="833"/>
      <c r="AG1235" s="833"/>
      <c r="AH1235" s="91">
        <f>IF(AD1235="free",0,IF(AD1235="me",0,IF(G1235&gt;0,(VLOOKUP(A1235,'Discount Lookup'!J:K,2)*G1235),0)))</f>
        <v>0</v>
      </c>
      <c r="AI1235" s="92" t="str">
        <f t="shared" si="3118"/>
        <v/>
      </c>
      <c r="AJ1235" s="828" t="str">
        <f t="shared" si="3049"/>
        <v/>
      </c>
      <c r="AK1235" s="828"/>
      <c r="AL1235" s="313" t="str">
        <f t="shared" si="3101"/>
        <v/>
      </c>
      <c r="AM1235" s="312"/>
      <c r="AN1235" s="101"/>
      <c r="AO1235" s="101"/>
      <c r="AP1235" s="101"/>
      <c r="AQ1235" s="101"/>
      <c r="AR1235" s="101"/>
      <c r="AS1235" s="101"/>
      <c r="AT1235" s="101"/>
    </row>
    <row r="1236" spans="1:46" ht="12.95" customHeight="1">
      <c r="A1236" s="383">
        <v>2</v>
      </c>
      <c r="B1236" s="158" t="s">
        <v>50</v>
      </c>
      <c r="C1236" s="168" t="s">
        <v>136</v>
      </c>
      <c r="D1236" s="161" t="s">
        <v>87</v>
      </c>
      <c r="E1236" s="162">
        <v>32.950000000000003</v>
      </c>
      <c r="F1236" s="713" t="s">
        <v>1306</v>
      </c>
      <c r="G1236" s="357">
        <v>0</v>
      </c>
      <c r="H1236" s="748" t="str">
        <f t="shared" ref="H1236" si="3128">IF(G1236=0,"",IF(F1236="Qty=",IF(G1236=1,"plant","plants"),IF(F1236&gt;0.0001,"warranty","Error")))</f>
        <v/>
      </c>
      <c r="I1236" s="592">
        <f t="shared" ref="I1236" si="3129">IF(F1236="Qty=",(E1236*G1236),((E1236*(1-F1236))*G1236))</f>
        <v>0</v>
      </c>
      <c r="J1236" s="592">
        <f>IF(H1236="warranty",0,(I1236*($J$1782)))</f>
        <v>0</v>
      </c>
      <c r="K1236" s="834">
        <f t="shared" ref="K1236" si="3130">I1236+J1236</f>
        <v>0</v>
      </c>
      <c r="L1236" s="834"/>
      <c r="M1236" s="832" t="str">
        <f>IF($H$1784=0,"",IF(G1236=0,"",IF(F1236="Qty=",CONCATENATE("$",ROUND(K1236*(1-$H$1784),2)," with ",($H$1784*100),"% discount"),CONCATENATE("$",ROUND(K1236*(1-$H$1784),2)," with ",(($H$1784*100+F1236*100)-($H$1784*100*F1236)),IF(F1236&gt;0,"% discounts",IF($H$1781&gt;0,"% discounts","% discount"))))))</f>
        <v/>
      </c>
      <c r="N1236" s="832"/>
      <c r="O1236" s="832"/>
      <c r="P1236" s="832"/>
      <c r="Q1236" s="832"/>
      <c r="R1236" s="832"/>
      <c r="S1236" s="303">
        <f t="shared" ref="S1236" si="3131">E1236*G1236</f>
        <v>0</v>
      </c>
      <c r="T1236" s="541">
        <f>VLOOKUP(A1236,'Discount Lookup'!D:E,2,FALSE)*G1236</f>
        <v>0</v>
      </c>
      <c r="U1236" s="83">
        <f>VLOOKUP(A1236,'Discount Lookup'!G:H,2,FALSE)*G1236</f>
        <v>0</v>
      </c>
      <c r="V1236" s="100">
        <f>E1236*($J$1782)*G1236</f>
        <v>0</v>
      </c>
      <c r="W1236" s="100">
        <f t="shared" ref="W1236" si="3132">I1236</f>
        <v>0</v>
      </c>
      <c r="X1236" s="100" t="b">
        <f>IF(G1236&gt;0,IF(AD1236="me","",G1236))</f>
        <v>0</v>
      </c>
      <c r="Y1236" s="201"/>
      <c r="Z1236" s="829" t="str">
        <f t="shared" si="3048"/>
        <v/>
      </c>
      <c r="AA1236" s="829"/>
      <c r="AB1236" s="830" t="str">
        <f>IF(G1236=0,"",IF(AD1236="free","re-planting",IF(AD1236="me","not NVP, by",IF($AD$8="yes",(VLOOKUP(A1236,'Discount Lookup'!J:K,2)*G1236*(1-$AC$1786)*(1+$AC$1788)),IF(AD1236="NVP",(VLOOKUP(A1236,'Discount Lookup'!J:K,2)*G1236*(1-$AC$1786)*(1+$AC$1788)),IF(AD1236="free","re-planting",IF(G1236=0,"",IF($AD$8="",IF(AD1236="me","not NVP, by",IF(AD1236="",IF(G1236&gt;0,(VLOOKUP(A1236,'Discount Lookup'!J:K,2)*G1236*(1-$AC$1786)*(1+$AC$1788)),""),"")),"not NVP, by"))))))))</f>
        <v/>
      </c>
      <c r="AC1236" s="830"/>
      <c r="AD1236" s="375" t="str">
        <f t="shared" si="3089"/>
        <v/>
      </c>
      <c r="AE1236" s="833" t="str">
        <f t="shared" si="3005"/>
        <v/>
      </c>
      <c r="AF1236" s="833"/>
      <c r="AG1236" s="833"/>
      <c r="AH1236" s="91">
        <f>IF(AD1236="free",0,IF(AD1236="me",0,IF(G1236&gt;0,(VLOOKUP(A1236,'Discount Lookup'!J:K,2)*G1236),0)))</f>
        <v>0</v>
      </c>
      <c r="AI1236" s="92" t="str">
        <f t="shared" si="3118"/>
        <v/>
      </c>
      <c r="AJ1236" s="828" t="str">
        <f t="shared" si="3049"/>
        <v/>
      </c>
      <c r="AK1236" s="828"/>
      <c r="AL1236" s="313" t="str">
        <f t="shared" si="3101"/>
        <v/>
      </c>
      <c r="AM1236" s="312"/>
      <c r="AN1236" s="101"/>
      <c r="AO1236" s="101"/>
      <c r="AP1236" s="101"/>
      <c r="AQ1236" s="101"/>
      <c r="AR1236" s="101"/>
      <c r="AS1236" s="101"/>
      <c r="AT1236" s="101"/>
    </row>
    <row r="1237" spans="1:46" ht="12.95" customHeight="1">
      <c r="A1237" s="477"/>
      <c r="B1237" s="149" t="s">
        <v>686</v>
      </c>
      <c r="C1237" s="118"/>
      <c r="D1237" s="118"/>
      <c r="E1237" s="119"/>
      <c r="F1237" s="711"/>
      <c r="G1237" s="358"/>
      <c r="H1237" s="745"/>
      <c r="I1237" s="119"/>
      <c r="J1237" s="119"/>
      <c r="M1237" s="121"/>
      <c r="N1237" s="122" t="s">
        <v>331</v>
      </c>
      <c r="O1237" s="123"/>
      <c r="P1237" s="124"/>
      <c r="Q1237" s="124"/>
      <c r="R1237" s="83"/>
      <c r="S1237" s="82"/>
      <c r="T1237" s="540"/>
      <c r="U1237" s="83"/>
      <c r="V1237" s="100"/>
      <c r="W1237" s="100"/>
      <c r="X1237" s="100"/>
      <c r="Y1237" s="201"/>
      <c r="Z1237" s="829" t="str">
        <f t="shared" si="3048"/>
        <v/>
      </c>
      <c r="AA1237" s="829"/>
      <c r="AB1237" s="830" t="str">
        <f>IF(G1237=0,"",IF(AD1237="free","re-planting",IF(AD1237="me","not NVP, by",IF($AD$8="yes",(VLOOKUP(A1237,'Discount Lookup'!J:K,2)*G1237*(1-$AC$1786)*(1+$AC$1788)),IF(AD1237="NVP",(VLOOKUP(A1237,'Discount Lookup'!J:K,2)*G1237*(1-$AC$1786)*(1+$AC$1788)),IF(AD1237="free","re-planting",IF(G1237=0,"",IF($AD$8="",IF(AD1237="me","not NVP, by",IF(AD1237="",IF(G1237&gt;0,(VLOOKUP(A1237,'Discount Lookup'!J:K,2)*G1237*(1-$AC$1786)*(1+$AC$1788)),""),"")),"not NVP, by"))))))))</f>
        <v/>
      </c>
      <c r="AC1237" s="830"/>
      <c r="AD1237" s="375" t="str">
        <f t="shared" si="3089"/>
        <v/>
      </c>
      <c r="AE1237" s="833" t="str">
        <f t="shared" si="3005"/>
        <v/>
      </c>
      <c r="AF1237" s="833"/>
      <c r="AG1237" s="833"/>
      <c r="AH1237" s="91">
        <f>IF(AD1237="free",0,IF(AD1237="me",0,IF(G1237&gt;0,(VLOOKUP(A1237,'Discount Lookup'!J:K,2)*G1237),0)))</f>
        <v>0</v>
      </c>
      <c r="AI1237" s="92" t="str">
        <f t="shared" si="3118"/>
        <v/>
      </c>
      <c r="AJ1237" s="828" t="str">
        <f t="shared" si="3049"/>
        <v/>
      </c>
      <c r="AK1237" s="828"/>
      <c r="AL1237" s="313" t="str">
        <f t="shared" si="3101"/>
        <v/>
      </c>
      <c r="AM1237" s="312"/>
      <c r="AN1237" s="101"/>
      <c r="AO1237" s="101"/>
      <c r="AP1237" s="101"/>
      <c r="AQ1237" s="101"/>
      <c r="AR1237" s="101"/>
      <c r="AS1237" s="101"/>
      <c r="AT1237" s="101"/>
    </row>
    <row r="1238" spans="1:46" ht="12.95" customHeight="1">
      <c r="A1238" s="894" t="s">
        <v>687</v>
      </c>
      <c r="B1238" s="895"/>
      <c r="C1238" s="895"/>
      <c r="D1238" s="895"/>
      <c r="E1238" s="895"/>
      <c r="F1238" s="895"/>
      <c r="G1238" s="895"/>
      <c r="H1238" s="775" t="s">
        <v>560</v>
      </c>
      <c r="I1238" s="349" t="s">
        <v>280</v>
      </c>
      <c r="J1238" s="157"/>
      <c r="K1238" s="611" t="s">
        <v>45</v>
      </c>
      <c r="L1238" s="630" t="s">
        <v>46</v>
      </c>
      <c r="M1238" s="157"/>
      <c r="N1238" s="352" t="s">
        <v>75</v>
      </c>
      <c r="O1238" s="165"/>
      <c r="P1238" s="165"/>
      <c r="Q1238" s="165"/>
      <c r="R1238" s="157"/>
      <c r="S1238" s="170"/>
      <c r="T1238" s="547"/>
      <c r="U1238" s="171"/>
      <c r="V1238" s="100" t="b">
        <f>IF(G1238&gt;0,IF(AD1238="me","",G1238))</f>
        <v>0</v>
      </c>
      <c r="W1238" s="100"/>
      <c r="X1238" s="100"/>
      <c r="Y1238" s="201"/>
      <c r="Z1238" s="829" t="str">
        <f t="shared" si="3048"/>
        <v/>
      </c>
      <c r="AA1238" s="829"/>
      <c r="AB1238" s="830" t="str">
        <f>IF(G1238=0,"",IF(AD1238="free","re-planting",IF(AD1238="me","not NVP, by",IF($AD$8="yes",(VLOOKUP(A1238,'Discount Lookup'!J:K,2)*G1238*(1-$AC$1786)*(1+$AC$1788)),IF(AD1238="NVP",(VLOOKUP(A1238,'Discount Lookup'!J:K,2)*G1238*(1-$AC$1786)*(1+$AC$1788)),IF(AD1238="free","re-planting",IF(G1238=0,"",IF($AD$8="",IF(AD1238="me","not NVP, by",IF(AD1238="",IF(G1238&gt;0,(VLOOKUP(A1238,'Discount Lookup'!J:K,2)*G1238*(1-$AC$1786)*(1+$AC$1788)),""),"")),"not NVP, by"))))))))</f>
        <v/>
      </c>
      <c r="AC1238" s="830"/>
      <c r="AD1238" s="375" t="str">
        <f t="shared" si="3089"/>
        <v/>
      </c>
      <c r="AE1238" s="833" t="str">
        <f t="shared" si="3005"/>
        <v/>
      </c>
      <c r="AF1238" s="833"/>
      <c r="AG1238" s="833"/>
      <c r="AH1238" s="91">
        <f>IF(AD1238="free",0,IF(AD1238="me",0,IF(G1238&gt;0,(VLOOKUP(A1238,'Discount Lookup'!J:K,2)*G1238),0)))</f>
        <v>0</v>
      </c>
      <c r="AI1238" s="92" t="str">
        <f t="shared" si="3118"/>
        <v/>
      </c>
      <c r="AJ1238" s="828" t="str">
        <f t="shared" si="3049"/>
        <v/>
      </c>
      <c r="AK1238" s="828"/>
      <c r="AL1238" s="313" t="str">
        <f t="shared" si="3101"/>
        <v/>
      </c>
      <c r="AM1238" s="312"/>
      <c r="AN1238" s="101"/>
      <c r="AO1238" s="101"/>
      <c r="AP1238" s="101"/>
      <c r="AQ1238" s="101"/>
      <c r="AR1238" s="101"/>
      <c r="AS1238" s="101"/>
      <c r="AT1238" s="101"/>
    </row>
    <row r="1239" spans="1:46" ht="12.95" customHeight="1">
      <c r="A1239" s="383">
        <v>3</v>
      </c>
      <c r="B1239" s="158" t="s">
        <v>50</v>
      </c>
      <c r="C1239" s="168" t="s">
        <v>136</v>
      </c>
      <c r="D1239" s="161" t="s">
        <v>87</v>
      </c>
      <c r="E1239" s="162">
        <v>29.95</v>
      </c>
      <c r="F1239" s="713" t="s">
        <v>1306</v>
      </c>
      <c r="G1239" s="357">
        <v>0</v>
      </c>
      <c r="H1239" s="748" t="str">
        <f t="shared" ref="H1239:H1240" si="3133">IF(G1239=0,"",IF(F1239="Qty=",IF(G1239=1,"plant","plants"),IF(F1239&gt;0.0001,"warranty","Error")))</f>
        <v/>
      </c>
      <c r="I1239" s="592">
        <f t="shared" ref="I1239:I1240" si="3134">IF(F1239="Qty=",(E1239*G1239),((E1239*(1-F1239))*G1239))</f>
        <v>0</v>
      </c>
      <c r="J1239" s="592">
        <f>IF(H1239="warranty",0,(I1239*($J$1782)))</f>
        <v>0</v>
      </c>
      <c r="K1239" s="834">
        <f t="shared" ref="K1239:K1240" si="3135">I1239+J1239</f>
        <v>0</v>
      </c>
      <c r="L1239" s="834"/>
      <c r="M1239" s="832" t="str">
        <f>IF($H$1784=0,"",IF(G1239=0,"",IF(F1239="Qty=",CONCATENATE("$",ROUND(K1239*(1-$H$1784),2)," with ",($H$1784*100),"% discount"),CONCATENATE("$",ROUND(K1239*(1-$H$1784),2)," with ",(($H$1784*100+F1239*100)-($H$1784*100*F1239)),IF(F1239&gt;0,"% discounts",IF($H$1781&gt;0,"% discounts","% discount"))))))</f>
        <v/>
      </c>
      <c r="N1239" s="832"/>
      <c r="O1239" s="832"/>
      <c r="P1239" s="832"/>
      <c r="Q1239" s="832"/>
      <c r="R1239" s="832"/>
      <c r="S1239" s="303">
        <f t="shared" ref="S1239" si="3136">E1239*G1239</f>
        <v>0</v>
      </c>
      <c r="T1239" s="541">
        <f>VLOOKUP(A1239,'Discount Lookup'!D:E,2,FALSE)*G1239</f>
        <v>0</v>
      </c>
      <c r="U1239" s="83">
        <f>VLOOKUP(A1239,'Discount Lookup'!G:H,2,FALSE)*G1239</f>
        <v>0</v>
      </c>
      <c r="V1239" s="100">
        <f>E1239*($J$1782)*G1239</f>
        <v>0</v>
      </c>
      <c r="W1239" s="100">
        <f t="shared" ref="W1239" si="3137">I1239</f>
        <v>0</v>
      </c>
      <c r="X1239" s="100" t="b">
        <f>IF(G1239&gt;0,IF(AD1239="me","",G1239))</f>
        <v>0</v>
      </c>
      <c r="Y1239" s="201"/>
      <c r="Z1239" s="829" t="str">
        <f t="shared" si="3048"/>
        <v/>
      </c>
      <c r="AA1239" s="829"/>
      <c r="AB1239" s="830" t="str">
        <f>IF(G1239=0,"",IF(AD1239="free","re-planting",IF(AD1239="me","not NVP, by",IF($AD$8="yes",(VLOOKUP(A1239,'Discount Lookup'!J:K,2)*G1239*(1-$AC$1786)*(1+$AC$1788)),IF(AD1239="NVP",(VLOOKUP(A1239,'Discount Lookup'!J:K,2)*G1239*(1-$AC$1786)*(1+$AC$1788)),IF(AD1239="free","re-planting",IF(G1239=0,"",IF($AD$8="",IF(AD1239="me","not NVP, by",IF(AD1239="",IF(G1239&gt;0,(VLOOKUP(A1239,'Discount Lookup'!J:K,2)*G1239*(1-$AC$1786)*(1+$AC$1788)),""),"")),"not NVP, by"))))))))</f>
        <v/>
      </c>
      <c r="AC1239" s="830"/>
      <c r="AD1239" s="375" t="str">
        <f t="shared" si="3089"/>
        <v/>
      </c>
      <c r="AE1239" s="833" t="str">
        <f t="shared" si="3005"/>
        <v/>
      </c>
      <c r="AF1239" s="833"/>
      <c r="AG1239" s="833"/>
      <c r="AH1239" s="91">
        <f>IF(AD1239="free",0,IF(AD1239="me",0,IF(G1239&gt;0,(VLOOKUP(A1239,'Discount Lookup'!J:K,2)*G1239),0)))</f>
        <v>0</v>
      </c>
      <c r="AI1239" s="92" t="str">
        <f t="shared" si="3118"/>
        <v/>
      </c>
      <c r="AJ1239" s="828" t="str">
        <f t="shared" si="3049"/>
        <v/>
      </c>
      <c r="AK1239" s="828"/>
      <c r="AL1239" s="313" t="str">
        <f t="shared" si="3101"/>
        <v/>
      </c>
      <c r="AM1239" s="312"/>
      <c r="AN1239" s="101"/>
      <c r="AO1239" s="101"/>
      <c r="AP1239" s="101"/>
      <c r="AQ1239" s="101"/>
      <c r="AR1239" s="101"/>
      <c r="AS1239" s="101"/>
      <c r="AT1239" s="101"/>
    </row>
    <row r="1240" spans="1:46" ht="12.95" customHeight="1">
      <c r="A1240" s="383">
        <v>3</v>
      </c>
      <c r="B1240" s="158" t="s">
        <v>50</v>
      </c>
      <c r="C1240" s="168" t="s">
        <v>136</v>
      </c>
      <c r="D1240" s="161" t="s">
        <v>63</v>
      </c>
      <c r="E1240" s="162">
        <v>35.950000000000003</v>
      </c>
      <c r="F1240" s="713" t="s">
        <v>1306</v>
      </c>
      <c r="G1240" s="357">
        <v>0</v>
      </c>
      <c r="H1240" s="748" t="str">
        <f t="shared" si="3133"/>
        <v/>
      </c>
      <c r="I1240" s="592">
        <f t="shared" si="3134"/>
        <v>0</v>
      </c>
      <c r="J1240" s="592">
        <f>IF(H1240="warranty",0,(I1240*($J$1782)))</f>
        <v>0</v>
      </c>
      <c r="K1240" s="834">
        <f t="shared" si="3135"/>
        <v>0</v>
      </c>
      <c r="L1240" s="834"/>
      <c r="M1240" s="832" t="str">
        <f>IF($H$1784=0,"",IF(G1240=0,"",IF(F1240="Qty=",CONCATENATE("$",ROUND(K1240*(1-$H$1784),2)," with ",($H$1784*100),"% discount"),CONCATENATE("$",ROUND(K1240*(1-$H$1784),2)," with ",(($H$1784*100+F1240*100)-($H$1784*100*F1240)),IF(F1240&gt;0,"% discounts",IF($H$1781&gt;0,"% discounts","% discount"))))))</f>
        <v/>
      </c>
      <c r="N1240" s="832"/>
      <c r="O1240" s="832"/>
      <c r="P1240" s="832"/>
      <c r="Q1240" s="832"/>
      <c r="R1240" s="832"/>
      <c r="S1240" s="303">
        <f t="shared" ref="S1240" si="3138">E1240*G1240</f>
        <v>0</v>
      </c>
      <c r="T1240" s="541">
        <f>VLOOKUP(A1240,'Discount Lookup'!D:E,2,FALSE)*G1240</f>
        <v>0</v>
      </c>
      <c r="U1240" s="83">
        <f>VLOOKUP(A1240,'Discount Lookup'!G:H,2,FALSE)*G1240</f>
        <v>0</v>
      </c>
      <c r="V1240" s="100">
        <f>E1240*($J$1782)*G1240</f>
        <v>0</v>
      </c>
      <c r="W1240" s="100">
        <f t="shared" ref="W1240" si="3139">I1240</f>
        <v>0</v>
      </c>
      <c r="X1240" s="100" t="b">
        <f>IF(G1240&gt;0,IF(AD1240="me","",G1240))</f>
        <v>0</v>
      </c>
      <c r="Y1240" s="201"/>
      <c r="Z1240" s="829" t="str">
        <f t="shared" si="3048"/>
        <v/>
      </c>
      <c r="AA1240" s="829"/>
      <c r="AB1240" s="830" t="str">
        <f>IF(G1240=0,"",IF(AD1240="free","re-planting",IF(AD1240="me","not NVP, by",IF($AD$8="yes",(VLOOKUP(A1240,'Discount Lookup'!J:K,2)*G1240*(1-$AC$1786)*(1+$AC$1788)),IF(AD1240="NVP",(VLOOKUP(A1240,'Discount Lookup'!J:K,2)*G1240*(1-$AC$1786)*(1+$AC$1788)),IF(AD1240="free","re-planting",IF(G1240=0,"",IF($AD$8="",IF(AD1240="me","not NVP, by",IF(AD1240="",IF(G1240&gt;0,(VLOOKUP(A1240,'Discount Lookup'!J:K,2)*G1240*(1-$AC$1786)*(1+$AC$1788)),""),"")),"not NVP, by"))))))))</f>
        <v/>
      </c>
      <c r="AC1240" s="830"/>
      <c r="AD1240" s="375" t="str">
        <f t="shared" si="3089"/>
        <v/>
      </c>
      <c r="AE1240" s="833" t="str">
        <f t="shared" si="3005"/>
        <v/>
      </c>
      <c r="AF1240" s="833"/>
      <c r="AG1240" s="833"/>
      <c r="AH1240" s="91">
        <f>IF(AD1240="free",0,IF(AD1240="me",0,IF(G1240&gt;0,(VLOOKUP(A1240,'Discount Lookup'!J:K,2)*G1240),0)))</f>
        <v>0</v>
      </c>
      <c r="AI1240" s="92" t="str">
        <f t="shared" si="3118"/>
        <v/>
      </c>
      <c r="AJ1240" s="828" t="str">
        <f t="shared" si="3049"/>
        <v/>
      </c>
      <c r="AK1240" s="828"/>
      <c r="AL1240" s="313" t="str">
        <f t="shared" si="3101"/>
        <v/>
      </c>
      <c r="AM1240" s="312"/>
      <c r="AN1240" s="101"/>
      <c r="AO1240" s="101"/>
      <c r="AP1240" s="101"/>
      <c r="AQ1240" s="101"/>
      <c r="AR1240" s="101"/>
      <c r="AS1240" s="101"/>
      <c r="AT1240" s="101"/>
    </row>
    <row r="1241" spans="1:46" ht="12.95" customHeight="1">
      <c r="A1241" s="477"/>
      <c r="B1241" s="149" t="s">
        <v>688</v>
      </c>
      <c r="C1241" s="117"/>
      <c r="D1241" s="118"/>
      <c r="E1241" s="119"/>
      <c r="F1241" s="711"/>
      <c r="G1241" s="356"/>
      <c r="H1241" s="745"/>
      <c r="I1241" s="119"/>
      <c r="J1241" s="119"/>
      <c r="K1241" s="616"/>
      <c r="L1241" s="298"/>
      <c r="M1241" s="121"/>
      <c r="N1241" s="122" t="s">
        <v>331</v>
      </c>
      <c r="O1241" s="123"/>
      <c r="P1241" s="124"/>
      <c r="Q1241" s="124"/>
      <c r="R1241" s="83"/>
      <c r="S1241" s="82"/>
      <c r="T1241" s="540"/>
      <c r="U1241" s="83"/>
      <c r="V1241" s="100"/>
      <c r="W1241" s="100"/>
      <c r="X1241" s="100"/>
      <c r="Y1241" s="201"/>
      <c r="Z1241" s="829" t="str">
        <f t="shared" si="3048"/>
        <v/>
      </c>
      <c r="AA1241" s="829"/>
      <c r="AB1241" s="830" t="str">
        <f>IF(G1241=0,"",IF(AD1241="free","re-planting",IF(AD1241="me","not NVP, by",IF($AD$8="yes",(VLOOKUP(A1241,'Discount Lookup'!J:K,2)*G1241*(1-$AC$1786)*(1+$AC$1788)),IF(AD1241="NVP",(VLOOKUP(A1241,'Discount Lookup'!J:K,2)*G1241*(1-$AC$1786)*(1+$AC$1788)),IF(AD1241="free","re-planting",IF(G1241=0,"",IF($AD$8="",IF(AD1241="me","not NVP, by",IF(AD1241="",IF(G1241&gt;0,(VLOOKUP(A1241,'Discount Lookup'!J:K,2)*G1241*(1-$AC$1786)*(1+$AC$1788)),""),"")),"not NVP, by"))))))))</f>
        <v/>
      </c>
      <c r="AC1241" s="830"/>
      <c r="AD1241" s="375" t="str">
        <f t="shared" si="3089"/>
        <v/>
      </c>
      <c r="AE1241" s="833" t="str">
        <f t="shared" si="3005"/>
        <v/>
      </c>
      <c r="AF1241" s="833"/>
      <c r="AG1241" s="833"/>
      <c r="AH1241" s="91">
        <f>IF(AD1241="free",0,IF(AD1241="me",0,IF(G1241&gt;0,(VLOOKUP(A1241,'Discount Lookup'!J:K,2)*G1241),0)))</f>
        <v>0</v>
      </c>
      <c r="AI1241" s="92" t="str">
        <f t="shared" si="3118"/>
        <v/>
      </c>
      <c r="AJ1241" s="828" t="str">
        <f t="shared" si="3049"/>
        <v/>
      </c>
      <c r="AK1241" s="828"/>
      <c r="AL1241" s="313" t="str">
        <f t="shared" si="3101"/>
        <v/>
      </c>
      <c r="AM1241" s="312"/>
      <c r="AN1241" s="101"/>
      <c r="AO1241" s="101"/>
      <c r="AP1241" s="101"/>
      <c r="AQ1241" s="101"/>
      <c r="AR1241" s="101"/>
      <c r="AS1241" s="101"/>
      <c r="AT1241" s="101"/>
    </row>
    <row r="1242" spans="1:46" ht="12.95" customHeight="1">
      <c r="A1242" s="836" t="s">
        <v>1179</v>
      </c>
      <c r="B1242" s="837"/>
      <c r="C1242" s="837"/>
      <c r="D1242" s="837"/>
      <c r="E1242" s="837"/>
      <c r="F1242" s="837"/>
      <c r="G1242" s="837"/>
      <c r="H1242" s="775" t="s">
        <v>560</v>
      </c>
      <c r="I1242" s="164" t="s">
        <v>79</v>
      </c>
      <c r="J1242" s="157"/>
      <c r="K1242" s="611" t="s">
        <v>45</v>
      </c>
      <c r="L1242" s="630" t="s">
        <v>46</v>
      </c>
      <c r="M1242" s="157"/>
      <c r="N1242" s="158" t="s">
        <v>69</v>
      </c>
      <c r="O1242" s="158"/>
      <c r="P1242" s="158"/>
      <c r="Q1242" s="158"/>
      <c r="R1242" s="157"/>
      <c r="S1242" s="170"/>
      <c r="T1242" s="547"/>
      <c r="U1242" s="171"/>
      <c r="V1242" s="100" t="b">
        <f>IF(G1242&gt;0,IF(AD1242="me","",G1242))</f>
        <v>0</v>
      </c>
      <c r="W1242" s="100"/>
      <c r="X1242" s="100"/>
      <c r="Y1242" s="201"/>
      <c r="Z1242" s="829" t="str">
        <f t="shared" si="3048"/>
        <v/>
      </c>
      <c r="AA1242" s="829"/>
      <c r="AB1242" s="830" t="str">
        <f>IF(G1242=0,"",IF(AD1242="free","re-planting",IF(AD1242="me","not NVP, by",IF($AD$8="yes",(VLOOKUP(A1242,'Discount Lookup'!J:K,2)*G1242*(1-$AC$1786)*(1+$AC$1788)),IF(AD1242="NVP",(VLOOKUP(A1242,'Discount Lookup'!J:K,2)*G1242*(1-$AC$1786)*(1+$AC$1788)),IF(AD1242="free","re-planting",IF(G1242=0,"",IF($AD$8="",IF(AD1242="me","not NVP, by",IF(AD1242="",IF(G1242&gt;0,(VLOOKUP(A1242,'Discount Lookup'!J:K,2)*G1242*(1-$AC$1786)*(1+$AC$1788)),""),"")),"not NVP, by"))))))))</f>
        <v/>
      </c>
      <c r="AC1242" s="830"/>
      <c r="AD1242" s="375" t="str">
        <f t="shared" si="3089"/>
        <v/>
      </c>
      <c r="AE1242" s="833" t="str">
        <f t="shared" si="3005"/>
        <v/>
      </c>
      <c r="AF1242" s="833"/>
      <c r="AG1242" s="833"/>
      <c r="AH1242" s="91">
        <f>IF(AD1242="free",0,IF(AD1242="me",0,IF(G1242&gt;0,(VLOOKUP(A1242,'Discount Lookup'!J:K,2)*G1242),0)))</f>
        <v>0</v>
      </c>
      <c r="AI1242" s="92" t="str">
        <f t="shared" si="3118"/>
        <v/>
      </c>
      <c r="AJ1242" s="828" t="str">
        <f t="shared" si="3049"/>
        <v/>
      </c>
      <c r="AK1242" s="828"/>
      <c r="AL1242" s="313" t="str">
        <f t="shared" si="3101"/>
        <v/>
      </c>
      <c r="AM1242" s="312"/>
      <c r="AN1242" s="101"/>
      <c r="AO1242" s="101"/>
      <c r="AP1242" s="101"/>
      <c r="AQ1242" s="101"/>
      <c r="AR1242" s="101"/>
      <c r="AS1242" s="101"/>
      <c r="AT1242" s="101"/>
    </row>
    <row r="1243" spans="1:46" ht="12.95" customHeight="1">
      <c r="A1243" s="383">
        <v>3</v>
      </c>
      <c r="B1243" s="158" t="s">
        <v>50</v>
      </c>
      <c r="C1243" s="168" t="s">
        <v>136</v>
      </c>
      <c r="D1243" s="161" t="s">
        <v>94</v>
      </c>
      <c r="E1243" s="162">
        <v>23.95</v>
      </c>
      <c r="F1243" s="713" t="s">
        <v>1306</v>
      </c>
      <c r="G1243" s="357">
        <v>0</v>
      </c>
      <c r="H1243" s="748" t="str">
        <f t="shared" ref="H1243" si="3140">IF(G1243=0,"",IF(F1243="Qty=",IF(G1243=1,"plant","plants"),IF(F1243&gt;0.0001,"warranty","Error")))</f>
        <v/>
      </c>
      <c r="I1243" s="592">
        <f t="shared" ref="I1243" si="3141">IF(F1243="Qty=",(E1243*G1243),((E1243*(1-F1243))*G1243))</f>
        <v>0</v>
      </c>
      <c r="J1243" s="592">
        <f>IF(H1243="warranty",0,(I1243*($J$1782)))</f>
        <v>0</v>
      </c>
      <c r="K1243" s="834">
        <f t="shared" ref="K1243" si="3142">I1243+J1243</f>
        <v>0</v>
      </c>
      <c r="L1243" s="834"/>
      <c r="M1243" s="832" t="str">
        <f>IF($H$1784=0,"",IF(G1243=0,"",IF(F1243="Qty=",CONCATENATE("$",ROUND(K1243*(1-$H$1784),2)," with ",($H$1784*100),"% discount"),CONCATENATE("$",ROUND(K1243*(1-$H$1784),2)," with ",(($H$1784*100+F1243*100)-($H$1784*100*F1243)),IF(F1243&gt;0,"% discounts",IF($H$1781&gt;0,"% discounts","% discount"))))))</f>
        <v/>
      </c>
      <c r="N1243" s="832"/>
      <c r="O1243" s="832"/>
      <c r="P1243" s="832"/>
      <c r="Q1243" s="832"/>
      <c r="R1243" s="832"/>
      <c r="S1243" s="303">
        <f t="shared" ref="S1243" si="3143">E1243*G1243</f>
        <v>0</v>
      </c>
      <c r="T1243" s="541">
        <f>VLOOKUP(A1243,'Discount Lookup'!D:E,2,FALSE)*G1243</f>
        <v>0</v>
      </c>
      <c r="U1243" s="83">
        <f>VLOOKUP(A1243,'Discount Lookup'!G:H,2,FALSE)*G1243</f>
        <v>0</v>
      </c>
      <c r="V1243" s="100">
        <f>E1243*($J$1782)*G1243</f>
        <v>0</v>
      </c>
      <c r="W1243" s="100">
        <f t="shared" ref="W1243" si="3144">I1243</f>
        <v>0</v>
      </c>
      <c r="X1243" s="100" t="b">
        <f>IF(G1243&gt;0,IF(AD1243="me","",G1243))</f>
        <v>0</v>
      </c>
      <c r="Y1243" s="201"/>
      <c r="Z1243" s="829" t="str">
        <f t="shared" si="3048"/>
        <v/>
      </c>
      <c r="AA1243" s="829"/>
      <c r="AB1243" s="830" t="str">
        <f>IF(G1243=0,"",IF(AD1243="free","re-planting",IF(AD1243="me","not NVP, by",IF($AD$8="yes",(VLOOKUP(A1243,'Discount Lookup'!J:K,2)*G1243*(1-$AC$1786)*(1+$AC$1788)),IF(AD1243="NVP",(VLOOKUP(A1243,'Discount Lookup'!J:K,2)*G1243*(1-$AC$1786)*(1+$AC$1788)),IF(AD1243="free","re-planting",IF(G1243=0,"",IF($AD$8="",IF(AD1243="me","not NVP, by",IF(AD1243="",IF(G1243&gt;0,(VLOOKUP(A1243,'Discount Lookup'!J:K,2)*G1243*(1-$AC$1786)*(1+$AC$1788)),""),"")),"not NVP, by"))))))))</f>
        <v/>
      </c>
      <c r="AC1243" s="830"/>
      <c r="AD1243" s="375" t="str">
        <f t="shared" si="3089"/>
        <v/>
      </c>
      <c r="AE1243" s="833" t="str">
        <f t="shared" si="3005"/>
        <v/>
      </c>
      <c r="AF1243" s="833"/>
      <c r="AG1243" s="833"/>
      <c r="AH1243" s="91">
        <f>IF(AD1243="free",0,IF(AD1243="me",0,IF(G1243&gt;0,(VLOOKUP(A1243,'Discount Lookup'!J:K,2)*G1243),0)))</f>
        <v>0</v>
      </c>
      <c r="AI1243" s="92" t="str">
        <f t="shared" si="3118"/>
        <v/>
      </c>
      <c r="AJ1243" s="828" t="str">
        <f t="shared" si="3049"/>
        <v/>
      </c>
      <c r="AK1243" s="828"/>
      <c r="AL1243" s="313" t="str">
        <f t="shared" si="3101"/>
        <v/>
      </c>
      <c r="AM1243" s="312"/>
      <c r="AN1243" s="101"/>
      <c r="AO1243" s="101"/>
      <c r="AP1243" s="101"/>
      <c r="AQ1243" s="101"/>
      <c r="AR1243" s="101"/>
      <c r="AS1243" s="101"/>
      <c r="AT1243" s="101"/>
    </row>
    <row r="1244" spans="1:46" ht="12.75" customHeight="1">
      <c r="A1244" s="530"/>
      <c r="B1244" s="149" t="s">
        <v>689</v>
      </c>
      <c r="G1244" s="361"/>
      <c r="H1244" s="746"/>
      <c r="M1244" s="48"/>
      <c r="N1244" s="122"/>
      <c r="O1244" s="123"/>
      <c r="P1244" s="124">
        <f>VLOOKUP(A1244,'Discount Lookup'!G:H,2,FALSE)*G1244</f>
        <v>0</v>
      </c>
      <c r="Q1244" s="124"/>
      <c r="R1244" s="83">
        <f>IF(F1244=0,E1244*($J$1782)*G1244,0)</f>
        <v>0</v>
      </c>
      <c r="S1244" s="82">
        <f>E1244*G1244</f>
        <v>0</v>
      </c>
      <c r="T1244" s="540"/>
      <c r="U1244" s="83"/>
      <c r="V1244" s="100" t="b">
        <f>IF(G1244&gt;0,IF(AD1244="me","",G1244))</f>
        <v>0</v>
      </c>
      <c r="W1244" s="100"/>
      <c r="X1244" s="100"/>
      <c r="Y1244" s="201"/>
      <c r="Z1244" s="829" t="str">
        <f t="shared" si="3048"/>
        <v/>
      </c>
      <c r="AA1244" s="829"/>
      <c r="AB1244" s="830" t="str">
        <f>IF(G1244=0,"",IF(AD1244="free","re-planting",IF(AD1244="me","not NVP, by",IF($AD$8="yes",(VLOOKUP(A1244,'Discount Lookup'!J:K,2)*G1244*(1-$AC$1786)*(1+$AC$1788)),IF(AD1244="NVP",(VLOOKUP(A1244,'Discount Lookup'!J:K,2)*G1244*(1-$AC$1786)*(1+$AC$1788)),IF(AD1244="free","re-planting",IF(G1244=0,"",IF($AD$8="",IF(AD1244="me","not NVP, by",IF(AD1244="",IF(G1244&gt;0,(VLOOKUP(A1244,'Discount Lookup'!J:K,2)*G1244*(1-$AC$1786)*(1+$AC$1788)),""),"")),"not NVP, by"))))))))</f>
        <v/>
      </c>
      <c r="AC1244" s="830"/>
      <c r="AD1244" s="375" t="str">
        <f t="shared" si="3089"/>
        <v/>
      </c>
      <c r="AE1244" s="833" t="str">
        <f t="shared" si="3005"/>
        <v/>
      </c>
      <c r="AF1244" s="833"/>
      <c r="AG1244" s="833"/>
      <c r="AH1244" s="91">
        <f>IF(AD1244="free",0,IF(AD1244="me",0,IF(G1244&gt;0,(VLOOKUP(A1244,'Discount Lookup'!J:K,2)*G1244),0)))</f>
        <v>0</v>
      </c>
      <c r="AI1244" s="92" t="str">
        <f t="shared" si="3118"/>
        <v/>
      </c>
      <c r="AJ1244" s="828" t="str">
        <f t="shared" si="3049"/>
        <v/>
      </c>
      <c r="AK1244" s="828"/>
      <c r="AL1244" s="313" t="str">
        <f t="shared" si="3101"/>
        <v/>
      </c>
      <c r="AM1244" s="312"/>
      <c r="AN1244" s="101"/>
      <c r="AO1244" s="101"/>
      <c r="AP1244" s="101"/>
      <c r="AQ1244" s="101"/>
      <c r="AR1244" s="101"/>
      <c r="AS1244" s="101"/>
      <c r="AT1244" s="101"/>
    </row>
    <row r="1245" spans="1:46" ht="12.95" customHeight="1">
      <c r="A1245" s="889" t="s">
        <v>690</v>
      </c>
      <c r="B1245" s="890"/>
      <c r="C1245" s="890"/>
      <c r="D1245" s="890"/>
      <c r="E1245" s="890"/>
      <c r="F1245" s="890"/>
      <c r="G1245" s="890"/>
      <c r="H1245" s="775" t="s">
        <v>580</v>
      </c>
      <c r="I1245" s="349" t="s">
        <v>280</v>
      </c>
      <c r="J1245" s="157"/>
      <c r="K1245" s="611" t="s">
        <v>45</v>
      </c>
      <c r="L1245" s="630" t="s">
        <v>46</v>
      </c>
      <c r="M1245" s="157"/>
      <c r="N1245" s="158" t="s">
        <v>69</v>
      </c>
      <c r="O1245" s="158"/>
      <c r="P1245" s="158"/>
      <c r="Q1245" s="158"/>
      <c r="R1245" s="157"/>
      <c r="S1245" s="170"/>
      <c r="T1245" s="547"/>
      <c r="U1245" s="159" t="s">
        <v>48</v>
      </c>
      <c r="V1245" s="100" t="b">
        <f>IF(G1245&gt;0,IF(AD1245="me","",G1245))</f>
        <v>0</v>
      </c>
      <c r="W1245" s="100"/>
      <c r="X1245" s="100"/>
      <c r="Y1245" s="201"/>
      <c r="Z1245" s="829" t="str">
        <f t="shared" si="3048"/>
        <v/>
      </c>
      <c r="AA1245" s="829"/>
      <c r="AB1245" s="830" t="str">
        <f>IF(G1245=0,"",IF(AD1245="free","re-planting",IF(AD1245="me","not NVP, by",IF($AD$8="yes",(VLOOKUP(A1245,'Discount Lookup'!J:K,2)*G1245*(1-$AC$1786)*(1+$AC$1788)),IF(AD1245="NVP",(VLOOKUP(A1245,'Discount Lookup'!J:K,2)*G1245*(1-$AC$1786)*(1+$AC$1788)),IF(AD1245="free","re-planting",IF(G1245=0,"",IF($AD$8="",IF(AD1245="me","not NVP, by",IF(AD1245="",IF(G1245&gt;0,(VLOOKUP(A1245,'Discount Lookup'!J:K,2)*G1245*(1-$AC$1786)*(1+$AC$1788)),""),"")),"not NVP, by"))))))))</f>
        <v/>
      </c>
      <c r="AC1245" s="830"/>
      <c r="AD1245" s="375" t="str">
        <f t="shared" si="3089"/>
        <v/>
      </c>
      <c r="AE1245" s="833" t="str">
        <f t="shared" si="3005"/>
        <v/>
      </c>
      <c r="AF1245" s="833"/>
      <c r="AG1245" s="833"/>
      <c r="AH1245" s="91">
        <f>IF(AD1245="free",0,IF(AD1245="me",0,IF(G1245&gt;0,(VLOOKUP(A1245,'Discount Lookup'!J:K,2)*G1245),0)))</f>
        <v>0</v>
      </c>
      <c r="AI1245" s="92" t="str">
        <f t="shared" si="3118"/>
        <v/>
      </c>
      <c r="AJ1245" s="828" t="str">
        <f t="shared" si="3049"/>
        <v/>
      </c>
      <c r="AK1245" s="828"/>
      <c r="AL1245" s="313" t="str">
        <f t="shared" si="3101"/>
        <v/>
      </c>
      <c r="AM1245" s="312"/>
      <c r="AN1245" s="101"/>
      <c r="AO1245" s="101"/>
      <c r="AP1245" s="101"/>
      <c r="AQ1245" s="101"/>
      <c r="AR1245" s="101"/>
      <c r="AS1245" s="101"/>
      <c r="AT1245" s="101"/>
    </row>
    <row r="1246" spans="1:46" ht="12.95" customHeight="1">
      <c r="A1246" s="383">
        <v>1</v>
      </c>
      <c r="B1246" s="158" t="s">
        <v>50</v>
      </c>
      <c r="C1246" s="168" t="s">
        <v>136</v>
      </c>
      <c r="D1246" s="161" t="s">
        <v>94</v>
      </c>
      <c r="E1246" s="162">
        <v>10.95</v>
      </c>
      <c r="F1246" s="713" t="s">
        <v>1306</v>
      </c>
      <c r="G1246" s="357">
        <v>0</v>
      </c>
      <c r="H1246" s="748" t="str">
        <f t="shared" ref="H1246" si="3145">IF(G1246=0,"",IF(F1246="Qty=",IF(G1246=1,"plant","plants"),IF(F1246&gt;0.0001,"warranty","Error")))</f>
        <v/>
      </c>
      <c r="I1246" s="592">
        <f t="shared" ref="I1246" si="3146">IF(F1246="Qty=",(E1246*G1246),((E1246*(1-F1246))*G1246))</f>
        <v>0</v>
      </c>
      <c r="J1246" s="592">
        <f>IF(H1246="warranty",0,(I1246*($J$1782)))</f>
        <v>0</v>
      </c>
      <c r="K1246" s="834">
        <f t="shared" ref="K1246" si="3147">I1246+J1246</f>
        <v>0</v>
      </c>
      <c r="L1246" s="834"/>
      <c r="M1246" s="832" t="str">
        <f>IF($H$1784=0,"",IF(G1246=0,"",IF(F1246="Qty=",CONCATENATE("$",ROUND(K1246*(1-$H$1784),2)," with ",($H$1784*100),"% discount"),CONCATENATE("$",ROUND(K1246*(1-$H$1784),2)," with ",(($H$1784*100+F1246*100)-($H$1784*100*F1246)),IF(F1246&gt;0,"% discounts",IF($H$1781&gt;0,"% discounts","% discount"))))))</f>
        <v/>
      </c>
      <c r="N1246" s="832"/>
      <c r="O1246" s="832"/>
      <c r="P1246" s="832"/>
      <c r="Q1246" s="832"/>
      <c r="R1246" s="832"/>
      <c r="S1246" s="303">
        <f t="shared" ref="S1246" si="3148">E1246*G1246</f>
        <v>0</v>
      </c>
      <c r="T1246" s="541">
        <f>VLOOKUP(A1246,'Discount Lookup'!D:E,2,FALSE)*G1246</f>
        <v>0</v>
      </c>
      <c r="U1246" s="83">
        <f>VLOOKUP(A1246,'Discount Lookup'!G:H,2,FALSE)*G1246</f>
        <v>0</v>
      </c>
      <c r="V1246" s="100">
        <f>E1246*($J$1782)*G1246</f>
        <v>0</v>
      </c>
      <c r="W1246" s="100">
        <f t="shared" ref="W1246" si="3149">I1246</f>
        <v>0</v>
      </c>
      <c r="X1246" s="100" t="b">
        <f>IF(G1246&gt;0,IF(AD1246="me","",G1246))</f>
        <v>0</v>
      </c>
      <c r="Y1246" s="201"/>
      <c r="Z1246" s="829" t="str">
        <f t="shared" si="3048"/>
        <v/>
      </c>
      <c r="AA1246" s="829"/>
      <c r="AB1246" s="830" t="str">
        <f>IF(G1246=0,"",IF(AD1246="free","re-planting",IF(AD1246="me","not NVP, by",IF($AD$8="yes",(VLOOKUP(A1246,'Discount Lookup'!J:K,2)*G1246*(1-$AC$1786)*(1+$AC$1788)),IF(AD1246="NVP",(VLOOKUP(A1246,'Discount Lookup'!J:K,2)*G1246*(1-$AC$1786)*(1+$AC$1788)),IF(AD1246="free","re-planting",IF(G1246=0,"",IF($AD$8="",IF(AD1246="me","not NVP, by",IF(AD1246="",IF(G1246&gt;0,(VLOOKUP(A1246,'Discount Lookup'!J:K,2)*G1246*(1-$AC$1786)*(1+$AC$1788)),""),"")),"not NVP, by"))))))))</f>
        <v/>
      </c>
      <c r="AC1246" s="830"/>
      <c r="AD1246" s="375" t="str">
        <f t="shared" si="3089"/>
        <v/>
      </c>
      <c r="AE1246" s="833" t="str">
        <f>IF(G1246&gt;0,(CONCATENATE((G1246)," quantity, ",(A1246)," ",B1246)),"")</f>
        <v/>
      </c>
      <c r="AF1246" s="833"/>
      <c r="AG1246" s="833"/>
      <c r="AH1246" s="91">
        <f>IF(AD1246="free",0,IF(AD1246="me",0,IF(G1246&gt;0,(VLOOKUP(A1246,'Discount Lookup'!J:K,2)*G1246),0)))</f>
        <v>0</v>
      </c>
      <c r="AI1246" s="92" t="str">
        <f t="shared" si="3118"/>
        <v/>
      </c>
      <c r="AJ1246" s="828" t="str">
        <f t="shared" si="3049"/>
        <v/>
      </c>
      <c r="AK1246" s="828"/>
      <c r="AL1246" s="313" t="str">
        <f t="shared" si="3101"/>
        <v/>
      </c>
      <c r="AM1246" s="312"/>
      <c r="AN1246" s="101"/>
      <c r="AO1246" s="101"/>
      <c r="AP1246" s="101"/>
      <c r="AQ1246" s="101"/>
      <c r="AR1246" s="101"/>
      <c r="AS1246" s="101"/>
      <c r="AT1246" s="101"/>
    </row>
    <row r="1247" spans="1:46" ht="12.95" customHeight="1">
      <c r="A1247" s="477"/>
      <c r="B1247" s="149" t="s">
        <v>691</v>
      </c>
      <c r="C1247" s="118"/>
      <c r="D1247" s="118"/>
      <c r="E1247" s="119"/>
      <c r="F1247" s="711"/>
      <c r="G1247" s="358"/>
      <c r="H1247" s="745"/>
      <c r="I1247" s="119"/>
      <c r="J1247" s="119"/>
      <c r="K1247" s="609"/>
      <c r="M1247" s="121"/>
      <c r="N1247" s="122" t="s">
        <v>331</v>
      </c>
      <c r="O1247" s="123"/>
      <c r="P1247" s="124"/>
      <c r="Q1247" s="124"/>
      <c r="R1247" s="83"/>
      <c r="S1247" s="82"/>
      <c r="T1247" s="540"/>
      <c r="U1247" s="83"/>
      <c r="V1247" s="100"/>
      <c r="W1247" s="100"/>
      <c r="X1247" s="100"/>
      <c r="Y1247" s="201"/>
      <c r="Z1247" s="829" t="str">
        <f t="shared" si="3048"/>
        <v/>
      </c>
      <c r="AA1247" s="829"/>
      <c r="AB1247" s="830" t="str">
        <f>IF(G1247=0,"",IF(AD1247="free","re-planting",IF(AD1247="me","not NVP, by",IF($AD$8="yes",(VLOOKUP(A1247,'Discount Lookup'!J:K,2)*G1247*(1-$AC$1786)*(1+$AC$1788)),IF(AD1247="NVP",(VLOOKUP(A1247,'Discount Lookup'!J:K,2)*G1247*(1-$AC$1786)*(1+$AC$1788)),IF(AD1247="free","re-planting",IF(G1247=0,"",IF($AD$8="",IF(AD1247="me","not NVP, by",IF(AD1247="",IF(G1247&gt;0,(VLOOKUP(A1247,'Discount Lookup'!J:K,2)*G1247*(1-$AC$1786)*(1+$AC$1788)),""),"")),"not NVP, by"))))))))</f>
        <v/>
      </c>
      <c r="AC1247" s="830"/>
      <c r="AD1247" s="375" t="str">
        <f t="shared" si="3089"/>
        <v/>
      </c>
      <c r="AE1247" s="833" t="str">
        <f t="shared" ref="AE1247:AE1309" si="3150">IF(G1247&gt;0,(CONCATENATE((G1247)," quantity, ",(A1247)," ",B1247)),"")</f>
        <v/>
      </c>
      <c r="AF1247" s="833"/>
      <c r="AG1247" s="833"/>
      <c r="AH1247" s="91">
        <f>IF(AD1247="free",0,IF(AD1247="me",0,IF(G1247&gt;0,(VLOOKUP(A1247,'Discount Lookup'!J:K,2)*G1247),0)))</f>
        <v>0</v>
      </c>
      <c r="AI1247" s="92" t="str">
        <f t="shared" si="3118"/>
        <v/>
      </c>
      <c r="AJ1247" s="828" t="str">
        <f t="shared" si="3049"/>
        <v/>
      </c>
      <c r="AK1247" s="828"/>
      <c r="AL1247" s="313" t="str">
        <f t="shared" si="3101"/>
        <v/>
      </c>
      <c r="AM1247" s="312"/>
      <c r="AN1247" s="101"/>
      <c r="AO1247" s="101"/>
      <c r="AP1247" s="101"/>
      <c r="AQ1247" s="101"/>
      <c r="AR1247" s="101"/>
      <c r="AS1247" s="101"/>
      <c r="AT1247" s="101"/>
    </row>
    <row r="1248" spans="1:46" ht="13.5" customHeight="1">
      <c r="A1248" s="894" t="s">
        <v>692</v>
      </c>
      <c r="B1248" s="895"/>
      <c r="C1248" s="895"/>
      <c r="D1248" s="895"/>
      <c r="E1248" s="895"/>
      <c r="F1248" s="895"/>
      <c r="G1248" s="895"/>
      <c r="H1248" s="775" t="s">
        <v>580</v>
      </c>
      <c r="I1248" s="349" t="s">
        <v>280</v>
      </c>
      <c r="J1248" s="157"/>
      <c r="K1248" s="611" t="s">
        <v>45</v>
      </c>
      <c r="L1248" s="630" t="s">
        <v>46</v>
      </c>
      <c r="M1248" s="157"/>
      <c r="N1248" s="158" t="s">
        <v>98</v>
      </c>
      <c r="O1248" s="165"/>
      <c r="P1248" s="165"/>
      <c r="Q1248" s="165"/>
      <c r="R1248" s="157"/>
      <c r="S1248" s="170"/>
      <c r="T1248" s="547"/>
      <c r="U1248" s="159" t="s">
        <v>48</v>
      </c>
      <c r="V1248" s="100" t="b">
        <f>IF(G1248&gt;0,IF(AD1248="me","",G1248))</f>
        <v>0</v>
      </c>
      <c r="W1248" s="100"/>
      <c r="X1248" s="100"/>
      <c r="Y1248" s="201"/>
      <c r="Z1248" s="829" t="str">
        <f t="shared" si="3048"/>
        <v/>
      </c>
      <c r="AA1248" s="829"/>
      <c r="AB1248" s="830" t="str">
        <f>IF(G1248=0,"",IF(AD1248="free","re-planting",IF(AD1248="me","not NVP, by",IF($AD$8="yes",(VLOOKUP(A1248,'Discount Lookup'!J:K,2)*G1248*(1-$AC$1786)*(1+$AC$1788)),IF(AD1248="NVP",(VLOOKUP(A1248,'Discount Lookup'!J:K,2)*G1248*(1-$AC$1786)*(1+$AC$1788)),IF(AD1248="free","re-planting",IF(G1248=0,"",IF($AD$8="",IF(AD1248="me","not NVP, by",IF(AD1248="",IF(G1248&gt;0,(VLOOKUP(A1248,'Discount Lookup'!J:K,2)*G1248*(1-$AC$1786)*(1+$AC$1788)),""),"")),"not NVP, by"))))))))</f>
        <v/>
      </c>
      <c r="AC1248" s="830"/>
      <c r="AD1248" s="375" t="str">
        <f t="shared" si="3089"/>
        <v/>
      </c>
      <c r="AE1248" s="833" t="str">
        <f t="shared" si="3150"/>
        <v/>
      </c>
      <c r="AF1248" s="833"/>
      <c r="AG1248" s="833"/>
      <c r="AH1248" s="91">
        <f>IF(AD1248="free",0,IF(AD1248="me",0,IF(G1248&gt;0,(VLOOKUP(A1248,'Discount Lookup'!J:K,2)*G1248),0)))</f>
        <v>0</v>
      </c>
      <c r="AI1248" s="92" t="str">
        <f t="shared" si="3118"/>
        <v/>
      </c>
      <c r="AJ1248" s="828" t="str">
        <f t="shared" si="3049"/>
        <v/>
      </c>
      <c r="AK1248" s="828"/>
      <c r="AL1248" s="313" t="str">
        <f t="shared" si="3101"/>
        <v/>
      </c>
      <c r="AM1248" s="312"/>
      <c r="AN1248" s="101"/>
      <c r="AO1248" s="101"/>
      <c r="AP1248" s="101"/>
      <c r="AQ1248" s="101"/>
      <c r="AR1248" s="101"/>
      <c r="AS1248" s="101"/>
      <c r="AT1248" s="101"/>
    </row>
    <row r="1249" spans="1:46" ht="13.5" customHeight="1">
      <c r="A1249" s="383">
        <v>3</v>
      </c>
      <c r="B1249" s="158" t="s">
        <v>50</v>
      </c>
      <c r="C1249" s="168" t="s">
        <v>136</v>
      </c>
      <c r="D1249" s="161" t="s">
        <v>54</v>
      </c>
      <c r="E1249" s="162">
        <v>36.950000000000003</v>
      </c>
      <c r="F1249" s="713" t="s">
        <v>1306</v>
      </c>
      <c r="G1249" s="357">
        <v>0</v>
      </c>
      <c r="H1249" s="748" t="str">
        <f t="shared" ref="H1249" si="3151">IF(G1249=0,"",IF(F1249="Qty=",IF(G1249=1,"plant","plants"),IF(F1249&gt;0.0001,"warranty","Error")))</f>
        <v/>
      </c>
      <c r="I1249" s="592">
        <f t="shared" ref="I1249" si="3152">IF(F1249="Qty=",(E1249*G1249),((E1249*(1-F1249))*G1249))</f>
        <v>0</v>
      </c>
      <c r="J1249" s="592">
        <f>IF(H1249="warranty",0,(I1249*($J$1782)))</f>
        <v>0</v>
      </c>
      <c r="K1249" s="834">
        <f t="shared" ref="K1249" si="3153">I1249+J1249</f>
        <v>0</v>
      </c>
      <c r="L1249" s="834"/>
      <c r="M1249" s="832" t="str">
        <f>IF($H$1784=0,"",IF(G1249=0,"",IF(F1249="Qty=",CONCATENATE("$",ROUND(K1249*(1-$H$1784),2)," with ",($H$1784*100),"% discount"),CONCATENATE("$",ROUND(K1249*(1-$H$1784),2)," with ",(($H$1784*100+F1249*100)-($H$1784*100*F1249)),IF(F1249&gt;0,"% discounts",IF($H$1781&gt;0,"% discounts","% discount"))))))</f>
        <v/>
      </c>
      <c r="N1249" s="832"/>
      <c r="O1249" s="832"/>
      <c r="P1249" s="832"/>
      <c r="Q1249" s="832"/>
      <c r="R1249" s="832"/>
      <c r="S1249" s="303">
        <f t="shared" ref="S1249" si="3154">E1249*G1249</f>
        <v>0</v>
      </c>
      <c r="T1249" s="541">
        <f>VLOOKUP(A1249,'Discount Lookup'!D:E,2,FALSE)*G1249</f>
        <v>0</v>
      </c>
      <c r="U1249" s="83">
        <f>VLOOKUP(A1249,'Discount Lookup'!G:H,2,FALSE)*G1249</f>
        <v>0</v>
      </c>
      <c r="V1249" s="100">
        <f>E1249*($J$1782)*G1249</f>
        <v>0</v>
      </c>
      <c r="W1249" s="100">
        <f t="shared" ref="W1249" si="3155">I1249</f>
        <v>0</v>
      </c>
      <c r="X1249" s="100" t="b">
        <f>IF(G1249&gt;0,IF(AD1249="me","",G1249))</f>
        <v>0</v>
      </c>
      <c r="Y1249" s="201"/>
      <c r="Z1249" s="829" t="str">
        <f t="shared" si="3048"/>
        <v/>
      </c>
      <c r="AA1249" s="829"/>
      <c r="AB1249" s="830" t="str">
        <f>IF(G1249=0,"",IF(AD1249="free","re-planting",IF(AD1249="me","not NVP, by",IF($AD$8="yes",(VLOOKUP(A1249,'Discount Lookup'!J:K,2)*G1249*(1-$AC$1786)*(1+$AC$1788)),IF(AD1249="NVP",(VLOOKUP(A1249,'Discount Lookup'!J:K,2)*G1249*(1-$AC$1786)*(1+$AC$1788)),IF(AD1249="free","re-planting",IF(G1249=0,"",IF($AD$8="",IF(AD1249="me","not NVP, by",IF(AD1249="",IF(G1249&gt;0,(VLOOKUP(A1249,'Discount Lookup'!J:K,2)*G1249*(1-$AC$1786)*(1+$AC$1788)),""),"")),"not NVP, by"))))))))</f>
        <v/>
      </c>
      <c r="AC1249" s="830"/>
      <c r="AD1249" s="375" t="str">
        <f t="shared" si="3089"/>
        <v/>
      </c>
      <c r="AE1249" s="833" t="str">
        <f t="shared" si="3150"/>
        <v/>
      </c>
      <c r="AF1249" s="833"/>
      <c r="AG1249" s="833"/>
      <c r="AH1249" s="91">
        <f>IF(AD1249="free",0,IF(AD1249="me",0,IF(G1249&gt;0,(VLOOKUP(A1249,'Discount Lookup'!J:K,2)*G1249),0)))</f>
        <v>0</v>
      </c>
      <c r="AI1249" s="92" t="str">
        <f t="shared" si="3118"/>
        <v/>
      </c>
      <c r="AJ1249" s="828" t="str">
        <f t="shared" si="3049"/>
        <v/>
      </c>
      <c r="AK1249" s="828"/>
      <c r="AL1249" s="313" t="str">
        <f t="shared" si="3101"/>
        <v/>
      </c>
      <c r="AM1249" s="312"/>
      <c r="AN1249" s="101"/>
      <c r="AO1249" s="101"/>
      <c r="AP1249" s="101"/>
      <c r="AQ1249" s="101"/>
      <c r="AR1249" s="101"/>
      <c r="AS1249" s="101"/>
      <c r="AT1249" s="101"/>
    </row>
    <row r="1250" spans="1:46" ht="13.5" customHeight="1">
      <c r="A1250" s="477"/>
      <c r="B1250" s="149" t="s">
        <v>693</v>
      </c>
      <c r="C1250" s="118"/>
      <c r="D1250" s="118"/>
      <c r="E1250" s="119"/>
      <c r="F1250" s="711"/>
      <c r="G1250" s="358"/>
      <c r="H1250" s="745"/>
      <c r="I1250" s="119"/>
      <c r="J1250" s="119"/>
      <c r="K1250" s="609"/>
      <c r="L1250" s="609"/>
      <c r="M1250" s="121"/>
      <c r="N1250" s="122" t="s">
        <v>331</v>
      </c>
      <c r="O1250" s="123"/>
      <c r="P1250" s="124"/>
      <c r="Q1250" s="124"/>
      <c r="R1250" s="83"/>
      <c r="S1250" s="82"/>
      <c r="T1250" s="540"/>
      <c r="U1250" s="83"/>
      <c r="V1250" s="100" t="b">
        <f>IF(G1250&gt;0,IF(AD1250="me","",G1250))</f>
        <v>0</v>
      </c>
      <c r="W1250" s="100"/>
      <c r="X1250" s="100"/>
      <c r="Y1250" s="201"/>
      <c r="Z1250" s="829" t="str">
        <f t="shared" si="3048"/>
        <v/>
      </c>
      <c r="AA1250" s="829"/>
      <c r="AB1250" s="830" t="str">
        <f>IF(G1250=0,"",IF(AD1250="free","re-planting",IF(AD1250="me","not NVP, by",IF($AD$8="yes",(VLOOKUP(A1250,'Discount Lookup'!J:K,2)*G1250*(1-$AC$1786)*(1+$AC$1788)),IF(AD1250="NVP",(VLOOKUP(A1250,'Discount Lookup'!J:K,2)*G1250*(1-$AC$1786)*(1+$AC$1788)),IF(AD1250="free","re-planting",IF(G1250=0,"",IF($AD$8="",IF(AD1250="me","not NVP, by",IF(AD1250="",IF(G1250&gt;0,(VLOOKUP(A1250,'Discount Lookup'!J:K,2)*G1250*(1-$AC$1786)*(1+$AC$1788)),""),"")),"not NVP, by"))))))))</f>
        <v/>
      </c>
      <c r="AC1250" s="830"/>
      <c r="AD1250" s="375" t="str">
        <f t="shared" si="3089"/>
        <v/>
      </c>
      <c r="AE1250" s="833" t="str">
        <f t="shared" si="3150"/>
        <v/>
      </c>
      <c r="AF1250" s="833"/>
      <c r="AG1250" s="833"/>
      <c r="AH1250" s="91">
        <f>IF(AD1250="free",0,IF(AD1250="me",0,IF(G1250&gt;0,(VLOOKUP(A1250,'Discount Lookup'!J:K,2)*G1250),0)))</f>
        <v>0</v>
      </c>
      <c r="AI1250" s="92" t="str">
        <f t="shared" si="3118"/>
        <v/>
      </c>
      <c r="AJ1250" s="828" t="str">
        <f t="shared" si="3049"/>
        <v/>
      </c>
      <c r="AK1250" s="828"/>
      <c r="AL1250" s="313" t="str">
        <f t="shared" si="3101"/>
        <v/>
      </c>
      <c r="AM1250" s="312"/>
      <c r="AN1250" s="101"/>
      <c r="AO1250" s="101"/>
      <c r="AP1250" s="101"/>
      <c r="AQ1250" s="101"/>
      <c r="AR1250" s="101"/>
      <c r="AS1250" s="101"/>
      <c r="AT1250" s="101"/>
    </row>
    <row r="1251" spans="1:46" ht="12.95" customHeight="1">
      <c r="A1251" s="894" t="s">
        <v>694</v>
      </c>
      <c r="B1251" s="895"/>
      <c r="C1251" s="895"/>
      <c r="D1251" s="895"/>
      <c r="E1251" s="895"/>
      <c r="F1251" s="895"/>
      <c r="G1251" s="895"/>
      <c r="H1251" s="775" t="s">
        <v>582</v>
      </c>
      <c r="I1251" s="164" t="s">
        <v>79</v>
      </c>
      <c r="J1251" s="157"/>
      <c r="K1251" s="611" t="s">
        <v>45</v>
      </c>
      <c r="L1251" s="630" t="s">
        <v>46</v>
      </c>
      <c r="M1251" s="157"/>
      <c r="N1251" s="158" t="s">
        <v>98</v>
      </c>
      <c r="O1251" s="158"/>
      <c r="P1251" s="158"/>
      <c r="Q1251" s="158"/>
      <c r="R1251" s="157"/>
      <c r="S1251" s="170"/>
      <c r="T1251" s="547"/>
      <c r="U1251" s="171"/>
      <c r="V1251" s="100" t="b">
        <f>IF(G1251&gt;0,IF(AD1251="me","",G1251))</f>
        <v>0</v>
      </c>
      <c r="W1251" s="100"/>
      <c r="X1251" s="100"/>
      <c r="Y1251" s="201"/>
      <c r="Z1251" s="829" t="str">
        <f t="shared" si="3048"/>
        <v/>
      </c>
      <c r="AA1251" s="829"/>
      <c r="AB1251" s="830" t="str">
        <f>IF(G1251=0,"",IF(AD1251="free","re-planting",IF(AD1251="me","not NVP, by",IF($AD$8="yes",(VLOOKUP(A1251,'Discount Lookup'!J:K,2)*G1251*(1-$AC$1786)*(1+$AC$1788)),IF(AD1251="NVP",(VLOOKUP(A1251,'Discount Lookup'!J:K,2)*G1251*(1-$AC$1786)*(1+$AC$1788)),IF(AD1251="free","re-planting",IF(G1251=0,"",IF($AD$8="",IF(AD1251="me","not NVP, by",IF(AD1251="",IF(G1251&gt;0,(VLOOKUP(A1251,'Discount Lookup'!J:K,2)*G1251*(1-$AC$1786)*(1+$AC$1788)),""),"")),"not NVP, by"))))))))</f>
        <v/>
      </c>
      <c r="AC1251" s="830"/>
      <c r="AD1251" s="375" t="str">
        <f t="shared" si="3089"/>
        <v/>
      </c>
      <c r="AE1251" s="833" t="str">
        <f t="shared" si="3150"/>
        <v/>
      </c>
      <c r="AF1251" s="833"/>
      <c r="AG1251" s="833"/>
      <c r="AH1251" s="91">
        <f>IF(AD1251="free",0,IF(AD1251="me",0,IF(G1251&gt;0,(VLOOKUP(A1251,'Discount Lookup'!J:K,2)*G1251),0)))</f>
        <v>0</v>
      </c>
      <c r="AI1251" s="92" t="str">
        <f t="shared" si="3118"/>
        <v/>
      </c>
      <c r="AJ1251" s="828" t="str">
        <f t="shared" si="3049"/>
        <v/>
      </c>
      <c r="AK1251" s="828"/>
      <c r="AL1251" s="313" t="str">
        <f t="shared" si="3101"/>
        <v/>
      </c>
      <c r="AM1251" s="312"/>
      <c r="AN1251" s="101"/>
      <c r="AO1251" s="101"/>
      <c r="AP1251" s="101"/>
      <c r="AQ1251" s="101"/>
      <c r="AR1251" s="101"/>
      <c r="AS1251" s="101"/>
      <c r="AT1251" s="101"/>
    </row>
    <row r="1252" spans="1:46" ht="12.95" customHeight="1">
      <c r="A1252" s="383">
        <v>3</v>
      </c>
      <c r="B1252" s="158" t="s">
        <v>50</v>
      </c>
      <c r="C1252" s="168" t="s">
        <v>136</v>
      </c>
      <c r="D1252" s="161" t="s">
        <v>86</v>
      </c>
      <c r="E1252" s="162">
        <v>24.95</v>
      </c>
      <c r="F1252" s="713" t="s">
        <v>1306</v>
      </c>
      <c r="G1252" s="357">
        <v>0</v>
      </c>
      <c r="H1252" s="748" t="str">
        <f t="shared" ref="H1252:H1253" si="3156">IF(G1252=0,"",IF(F1252="Qty=",IF(G1252=1,"plant","plants"),IF(F1252&gt;0.0001,"warranty","Error")))</f>
        <v/>
      </c>
      <c r="I1252" s="592">
        <f t="shared" ref="I1252:I1253" si="3157">IF(F1252="Qty=",(E1252*G1252),((E1252*(1-F1252))*G1252))</f>
        <v>0</v>
      </c>
      <c r="J1252" s="592">
        <f>IF(H1252="warranty",0,(I1252*($J$1782)))</f>
        <v>0</v>
      </c>
      <c r="K1252" s="834">
        <f t="shared" ref="K1252:K1253" si="3158">I1252+J1252</f>
        <v>0</v>
      </c>
      <c r="L1252" s="834"/>
      <c r="M1252" s="832" t="str">
        <f>IF($H$1784=0,"",IF(G1252=0,"",IF(F1252="Qty=",CONCATENATE("$",ROUND(K1252*(1-$H$1784),2)," with ",($H$1784*100),"% discount"),CONCATENATE("$",ROUND(K1252*(1-$H$1784),2)," with ",(($H$1784*100+F1252*100)-($H$1784*100*F1252)),IF(F1252&gt;0,"% discounts",IF($H$1781&gt;0,"% discounts","% discount"))))))</f>
        <v/>
      </c>
      <c r="N1252" s="832"/>
      <c r="O1252" s="832"/>
      <c r="P1252" s="832"/>
      <c r="Q1252" s="832"/>
      <c r="R1252" s="832"/>
      <c r="S1252" s="303">
        <f t="shared" ref="S1252:S1253" si="3159">E1252*G1252</f>
        <v>0</v>
      </c>
      <c r="T1252" s="541">
        <f>VLOOKUP(A1252,'Discount Lookup'!D:E,2,FALSE)*G1252</f>
        <v>0</v>
      </c>
      <c r="U1252" s="83">
        <f>VLOOKUP(A1252,'Discount Lookup'!G:H,2,FALSE)*G1252</f>
        <v>0</v>
      </c>
      <c r="V1252" s="100">
        <f>E1252*($J$1782)*G1252</f>
        <v>0</v>
      </c>
      <c r="W1252" s="100">
        <f t="shared" ref="W1252:W1253" si="3160">I1252</f>
        <v>0</v>
      </c>
      <c r="X1252" s="100" t="b">
        <f>IF(G1252&gt;0,IF(AD1252="me","",G1252))</f>
        <v>0</v>
      </c>
      <c r="Y1252" s="201"/>
      <c r="Z1252" s="829" t="str">
        <f t="shared" si="3048"/>
        <v/>
      </c>
      <c r="AA1252" s="829"/>
      <c r="AB1252" s="830" t="str">
        <f>IF(G1252=0,"",IF(AD1252="free","re-planting",IF(AD1252="me","not NVP, by",IF($AD$8="yes",(VLOOKUP(A1252,'Discount Lookup'!J:K,2)*G1252*(1-$AC$1786)*(1+$AC$1788)),IF(AD1252="NVP",(VLOOKUP(A1252,'Discount Lookup'!J:K,2)*G1252*(1-$AC$1786)*(1+$AC$1788)),IF(AD1252="free","re-planting",IF(G1252=0,"",IF($AD$8="",IF(AD1252="me","not NVP, by",IF(AD1252="",IF(G1252&gt;0,(VLOOKUP(A1252,'Discount Lookup'!J:K,2)*G1252*(1-$AC$1786)*(1+$AC$1788)),""),"")),"not NVP, by"))))))))</f>
        <v/>
      </c>
      <c r="AC1252" s="830"/>
      <c r="AD1252" s="375" t="str">
        <f t="shared" si="3089"/>
        <v/>
      </c>
      <c r="AE1252" s="833" t="str">
        <f t="shared" si="3150"/>
        <v/>
      </c>
      <c r="AF1252" s="833"/>
      <c r="AG1252" s="833"/>
      <c r="AH1252" s="91">
        <f>IF(AD1252="free",0,IF(AD1252="me",0,IF(G1252&gt;0,(VLOOKUP(A1252,'Discount Lookup'!J:K,2)*G1252),0)))</f>
        <v>0</v>
      </c>
      <c r="AI1252" s="92" t="str">
        <f t="shared" si="3118"/>
        <v/>
      </c>
      <c r="AJ1252" s="828" t="str">
        <f t="shared" si="3049"/>
        <v/>
      </c>
      <c r="AK1252" s="828"/>
      <c r="AL1252" s="313" t="str">
        <f t="shared" si="3101"/>
        <v/>
      </c>
      <c r="AM1252" s="312"/>
      <c r="AN1252" s="101"/>
      <c r="AO1252" s="101"/>
      <c r="AP1252" s="101"/>
      <c r="AQ1252" s="101"/>
      <c r="AR1252" s="101"/>
      <c r="AS1252" s="101"/>
      <c r="AT1252" s="101"/>
    </row>
    <row r="1253" spans="1:46" ht="12.95" customHeight="1">
      <c r="A1253" s="383">
        <v>3</v>
      </c>
      <c r="B1253" s="158" t="s">
        <v>50</v>
      </c>
      <c r="C1253" s="168" t="s">
        <v>136</v>
      </c>
      <c r="D1253" s="161" t="s">
        <v>62</v>
      </c>
      <c r="E1253" s="162">
        <v>24.95</v>
      </c>
      <c r="F1253" s="713" t="s">
        <v>1306</v>
      </c>
      <c r="G1253" s="357">
        <v>0</v>
      </c>
      <c r="H1253" s="748" t="str">
        <f t="shared" si="3156"/>
        <v/>
      </c>
      <c r="I1253" s="592">
        <f t="shared" si="3157"/>
        <v>0</v>
      </c>
      <c r="J1253" s="592">
        <f>IF(H1253="warranty",0,(I1253*($J$1782)))</f>
        <v>0</v>
      </c>
      <c r="K1253" s="834">
        <f t="shared" si="3158"/>
        <v>0</v>
      </c>
      <c r="L1253" s="834"/>
      <c r="M1253" s="832" t="str">
        <f>IF($H$1784=0,"",IF(G1253=0,"",IF(F1253="Qty=",CONCATENATE("$",ROUND(K1253*(1-$H$1784),2)," with ",($H$1784*100),"% discount"),CONCATENATE("$",ROUND(K1253*(1-$H$1784),2)," with ",(($H$1784*100+F1253*100)-($H$1784*100*F1253)),IF(F1253&gt;0,"% discounts",IF($H$1781&gt;0,"% discounts","% discount"))))))</f>
        <v/>
      </c>
      <c r="N1253" s="832"/>
      <c r="O1253" s="832"/>
      <c r="P1253" s="832"/>
      <c r="Q1253" s="832"/>
      <c r="R1253" s="832"/>
      <c r="S1253" s="303">
        <f t="shared" si="3159"/>
        <v>0</v>
      </c>
      <c r="T1253" s="541">
        <f>VLOOKUP(A1253,'Discount Lookup'!D:E,2,FALSE)*G1253</f>
        <v>0</v>
      </c>
      <c r="U1253" s="83">
        <f>VLOOKUP(A1253,'Discount Lookup'!G:H,2,FALSE)*G1253</f>
        <v>0</v>
      </c>
      <c r="V1253" s="100">
        <f>E1253*($J$1782)*G1253</f>
        <v>0</v>
      </c>
      <c r="W1253" s="100">
        <f t="shared" si="3160"/>
        <v>0</v>
      </c>
      <c r="X1253" s="100" t="b">
        <f>IF(G1253&gt;0,IF(AD1253="me","",G1253))</f>
        <v>0</v>
      </c>
      <c r="Y1253" s="201"/>
      <c r="Z1253" s="829" t="str">
        <f t="shared" si="3048"/>
        <v/>
      </c>
      <c r="AA1253" s="829"/>
      <c r="AB1253" s="830" t="str">
        <f>IF(G1253=0,"",IF(AD1253="free","re-planting",IF(AD1253="me","not NVP, by",IF($AD$8="yes",(VLOOKUP(A1253,'Discount Lookup'!J:K,2)*G1253*(1-$AC$1786)*(1+$AC$1788)),IF(AD1253="NVP",(VLOOKUP(A1253,'Discount Lookup'!J:K,2)*G1253*(1-$AC$1786)*(1+$AC$1788)),IF(AD1253="free","re-planting",IF(G1253=0,"",IF($AD$8="",IF(AD1253="me","not NVP, by",IF(AD1253="",IF(G1253&gt;0,(VLOOKUP(A1253,'Discount Lookup'!J:K,2)*G1253*(1-$AC$1786)*(1+$AC$1788)),""),"")),"not NVP, by"))))))))</f>
        <v/>
      </c>
      <c r="AC1253" s="830"/>
      <c r="AD1253" s="375" t="str">
        <f t="shared" si="3089"/>
        <v/>
      </c>
      <c r="AE1253" s="833" t="str">
        <f t="shared" si="3150"/>
        <v/>
      </c>
      <c r="AF1253" s="833"/>
      <c r="AG1253" s="833"/>
      <c r="AH1253" s="91">
        <f>IF(AD1253="free",0,IF(AD1253="me",0,IF(G1253&gt;0,(VLOOKUP(A1253,'Discount Lookup'!J:K,2)*G1253),0)))</f>
        <v>0</v>
      </c>
      <c r="AI1253" s="92" t="str">
        <f t="shared" si="3118"/>
        <v/>
      </c>
      <c r="AJ1253" s="828" t="str">
        <f t="shared" si="3049"/>
        <v/>
      </c>
      <c r="AK1253" s="828"/>
      <c r="AL1253" s="313" t="str">
        <f t="shared" si="3101"/>
        <v/>
      </c>
      <c r="AM1253" s="312"/>
      <c r="AN1253" s="101"/>
      <c r="AO1253" s="101"/>
      <c r="AP1253" s="101"/>
      <c r="AQ1253" s="101"/>
      <c r="AR1253" s="101"/>
      <c r="AS1253" s="101"/>
      <c r="AT1253" s="101"/>
    </row>
    <row r="1254" spans="1:46" ht="12.95" customHeight="1">
      <c r="A1254" s="477"/>
      <c r="B1254" s="149" t="s">
        <v>695</v>
      </c>
      <c r="C1254" s="118"/>
      <c r="D1254" s="118"/>
      <c r="E1254" s="119"/>
      <c r="F1254" s="711"/>
      <c r="G1254" s="358"/>
      <c r="H1254" s="745"/>
      <c r="I1254" s="119"/>
      <c r="J1254" s="119"/>
      <c r="K1254" s="609"/>
      <c r="L1254" s="609"/>
      <c r="M1254" s="121"/>
      <c r="N1254" s="121"/>
      <c r="O1254" s="123"/>
      <c r="P1254" s="124"/>
      <c r="Q1254" s="124"/>
      <c r="R1254" s="83"/>
      <c r="S1254" s="82">
        <f>E1254*G1254</f>
        <v>0</v>
      </c>
      <c r="T1254" s="540"/>
      <c r="U1254" s="83"/>
      <c r="V1254" s="100" t="b">
        <f>IF(G1254&gt;0,IF(AD1254="me","",G1254))</f>
        <v>0</v>
      </c>
      <c r="W1254" s="100"/>
      <c r="X1254" s="100"/>
      <c r="Y1254" s="201"/>
      <c r="Z1254" s="829" t="str">
        <f t="shared" si="3048"/>
        <v/>
      </c>
      <c r="AA1254" s="829"/>
      <c r="AB1254" s="830" t="str">
        <f>IF(G1254=0,"",IF(AD1254="free","re-planting",IF(AD1254="me","not NVP, by",IF($AD$8="yes",(VLOOKUP(A1254,'Discount Lookup'!J:K,2)*G1254*(1-$AC$1786)*(1+$AC$1788)),IF(AD1254="NVP",(VLOOKUP(A1254,'Discount Lookup'!J:K,2)*G1254*(1-$AC$1786)*(1+$AC$1788)),IF(AD1254="free","re-planting",IF(G1254=0,"",IF($AD$8="",IF(AD1254="me","not NVP, by",IF(AD1254="",IF(G1254&gt;0,(VLOOKUP(A1254,'Discount Lookup'!J:K,2)*G1254*(1-$AC$1786)*(1+$AC$1788)),""),"")),"not NVP, by"))))))))</f>
        <v/>
      </c>
      <c r="AC1254" s="830"/>
      <c r="AD1254" s="375" t="str">
        <f t="shared" si="3089"/>
        <v/>
      </c>
      <c r="AE1254" s="833" t="str">
        <f t="shared" si="3150"/>
        <v/>
      </c>
      <c r="AF1254" s="833"/>
      <c r="AG1254" s="833"/>
      <c r="AH1254" s="91">
        <f>IF(AD1254="free",0,IF(AD1254="me",0,IF(G1254&gt;0,(VLOOKUP(A1254,'Discount Lookup'!J:K,2)*G1254),0)))</f>
        <v>0</v>
      </c>
      <c r="AI1254" s="92" t="str">
        <f t="shared" si="3118"/>
        <v/>
      </c>
      <c r="AJ1254" s="828" t="str">
        <f t="shared" si="3049"/>
        <v/>
      </c>
      <c r="AK1254" s="828"/>
      <c r="AL1254" s="313" t="str">
        <f t="shared" si="3101"/>
        <v/>
      </c>
      <c r="AM1254" s="312"/>
      <c r="AN1254" s="101"/>
      <c r="AO1254" s="101"/>
      <c r="AP1254" s="101"/>
      <c r="AQ1254" s="101"/>
      <c r="AR1254" s="101"/>
      <c r="AS1254" s="101"/>
      <c r="AT1254" s="101"/>
    </row>
    <row r="1255" spans="1:46" ht="12.95" customHeight="1">
      <c r="A1255" s="836" t="s">
        <v>696</v>
      </c>
      <c r="B1255" s="837"/>
      <c r="C1255" s="837"/>
      <c r="D1255" s="837"/>
      <c r="E1255" s="837"/>
      <c r="F1255" s="837"/>
      <c r="G1255" s="837"/>
      <c r="H1255" s="775" t="s">
        <v>582</v>
      </c>
      <c r="I1255" s="164" t="s">
        <v>127</v>
      </c>
      <c r="J1255" s="157"/>
      <c r="K1255" s="611" t="s">
        <v>45</v>
      </c>
      <c r="L1255" s="630" t="s">
        <v>46</v>
      </c>
      <c r="M1255" s="157"/>
      <c r="N1255" s="158" t="s">
        <v>69</v>
      </c>
      <c r="O1255" s="158"/>
      <c r="P1255" s="164"/>
      <c r="Q1255" s="164"/>
      <c r="R1255" s="835" t="s">
        <v>49</v>
      </c>
      <c r="S1255" s="835"/>
      <c r="T1255" s="835"/>
      <c r="U1255" s="835"/>
      <c r="V1255" s="100" t="b">
        <f>IF(G1255&gt;0,IF(AD1255="me","",G1255))</f>
        <v>0</v>
      </c>
      <c r="W1255" s="100"/>
      <c r="X1255" s="100"/>
      <c r="Y1255" s="201"/>
      <c r="Z1255" s="829" t="str">
        <f t="shared" si="3048"/>
        <v/>
      </c>
      <c r="AA1255" s="829"/>
      <c r="AB1255" s="830" t="str">
        <f>IF(G1255=0,"",IF(AD1255="free","re-planting",IF(AD1255="me","not NVP, by",IF($AD$8="yes",(VLOOKUP(A1255,'Discount Lookup'!J:K,2)*G1255*(1-$AC$1786)*(1+$AC$1788)),IF(AD1255="NVP",(VLOOKUP(A1255,'Discount Lookup'!J:K,2)*G1255*(1-$AC$1786)*(1+$AC$1788)),IF(AD1255="free","re-planting",IF(G1255=0,"",IF($AD$8="",IF(AD1255="me","not NVP, by",IF(AD1255="",IF(G1255&gt;0,(VLOOKUP(A1255,'Discount Lookup'!J:K,2)*G1255*(1-$AC$1786)*(1+$AC$1788)),""),"")),"not NVP, by"))))))))</f>
        <v/>
      </c>
      <c r="AC1255" s="830"/>
      <c r="AD1255" s="375" t="str">
        <f t="shared" si="3089"/>
        <v/>
      </c>
      <c r="AE1255" s="833" t="str">
        <f t="shared" si="3150"/>
        <v/>
      </c>
      <c r="AF1255" s="833"/>
      <c r="AG1255" s="833"/>
      <c r="AH1255" s="91">
        <f>IF(AD1255="free",0,IF(AD1255="me",0,IF(G1255&gt;0,(VLOOKUP(A1255,'Discount Lookup'!J:K,2)*G1255),0)))</f>
        <v>0</v>
      </c>
      <c r="AI1255" s="92" t="str">
        <f t="shared" si="3118"/>
        <v/>
      </c>
      <c r="AJ1255" s="828" t="str">
        <f t="shared" si="3049"/>
        <v/>
      </c>
      <c r="AK1255" s="828"/>
      <c r="AL1255" s="313" t="str">
        <f t="shared" si="3101"/>
        <v/>
      </c>
      <c r="AM1255" s="312"/>
      <c r="AN1255" s="101"/>
      <c r="AO1255" s="101"/>
      <c r="AP1255" s="101"/>
      <c r="AQ1255" s="101"/>
      <c r="AR1255" s="101"/>
      <c r="AS1255" s="101"/>
      <c r="AT1255" s="101"/>
    </row>
    <row r="1256" spans="1:46" ht="12.95" customHeight="1">
      <c r="A1256" s="383">
        <v>3</v>
      </c>
      <c r="B1256" s="158" t="s">
        <v>50</v>
      </c>
      <c r="C1256" s="168" t="s">
        <v>136</v>
      </c>
      <c r="D1256" s="161" t="s">
        <v>87</v>
      </c>
      <c r="E1256" s="162">
        <v>37.950000000000003</v>
      </c>
      <c r="F1256" s="713" t="s">
        <v>1306</v>
      </c>
      <c r="G1256" s="357">
        <v>0</v>
      </c>
      <c r="H1256" s="748" t="str">
        <f t="shared" ref="H1256" si="3161">IF(G1256=0,"",IF(F1256="Qty=",IF(G1256=1,"plant","plants"),IF(F1256&gt;0.0001,"warranty","Error")))</f>
        <v/>
      </c>
      <c r="I1256" s="592">
        <f t="shared" ref="I1256" si="3162">IF(F1256="Qty=",(E1256*G1256),((E1256*(1-F1256))*G1256))</f>
        <v>0</v>
      </c>
      <c r="J1256" s="592">
        <f>IF(H1256="warranty",0,(I1256*($J$1782)))</f>
        <v>0</v>
      </c>
      <c r="K1256" s="834">
        <f t="shared" ref="K1256:K1257" si="3163">I1256+J1256</f>
        <v>0</v>
      </c>
      <c r="L1256" s="834"/>
      <c r="M1256" s="832" t="str">
        <f>IF($H$1784=0,"",IF(G1256=0,"",IF(F1256="Qty=",CONCATENATE("$",ROUND(K1256*(1-$H$1784),2)," with ",($H$1784*100),"% discount"),CONCATENATE("$",ROUND(K1256*(1-$H$1784),2)," with ",(($H$1784*100+F1256*100)-($H$1784*100*F1256)),IF(F1256&gt;0,"% discounts",IF($H$1781&gt;0,"% discounts","% discount"))))))</f>
        <v/>
      </c>
      <c r="N1256" s="832"/>
      <c r="O1256" s="832"/>
      <c r="P1256" s="832"/>
      <c r="Q1256" s="832"/>
      <c r="R1256" s="832"/>
      <c r="S1256" s="303">
        <f t="shared" ref="S1256" si="3164">E1256*G1256</f>
        <v>0</v>
      </c>
      <c r="T1256" s="541">
        <f>VLOOKUP(A1256,'Discount Lookup'!D:E,2,FALSE)*G1256</f>
        <v>0</v>
      </c>
      <c r="U1256" s="83">
        <f>VLOOKUP(A1256,'Discount Lookup'!G:H,2,FALSE)*G1256</f>
        <v>0</v>
      </c>
      <c r="V1256" s="100">
        <f>E1256*($J$1782)*G1256</f>
        <v>0</v>
      </c>
      <c r="W1256" s="100">
        <f t="shared" ref="W1256" si="3165">I1256</f>
        <v>0</v>
      </c>
      <c r="X1256" s="100" t="b">
        <f>IF(G1256&gt;0,IF(AD1256="me","",G1256))</f>
        <v>0</v>
      </c>
      <c r="Y1256" s="201"/>
      <c r="Z1256" s="829" t="str">
        <f t="shared" ref="Z1256" si="3166">IF(G1256=0,"",IF(AD1256="me","",IF($AD$8="me","",IF(AD1256="free","warranty",IF($AD$8="yes","NVP planting:","to NVP install:")))))</f>
        <v/>
      </c>
      <c r="AA1256" s="829"/>
      <c r="AB1256" s="830" t="str">
        <f>IF(G1256=0,"",IF(AD1256="free","re-planting",IF(AD1256="me","not NVP, by",IF($AD$8="yes",(VLOOKUP(A1256,'Discount Lookup'!J:K,2)*G1256*(1-$AC$1786)*(1+$AC$1788)),IF(AD1256="NVP",(VLOOKUP(A1256,'Discount Lookup'!J:K,2)*G1256*(1-$AC$1786)*(1+$AC$1788)),IF(AD1256="free","re-planting",IF(G1256=0,"",IF($AD$8="",IF(AD1256="me","not NVP, by",IF(AD1256="",IF(G1256&gt;0,(VLOOKUP(A1256,'Discount Lookup'!J:K,2)*G1256*(1-$AC$1786)*(1+$AC$1788)),""),"")),"not NVP, by"))))))))</f>
        <v/>
      </c>
      <c r="AC1256" s="830"/>
      <c r="AD1256" s="375" t="str">
        <f t="shared" si="3089"/>
        <v/>
      </c>
      <c r="AE1256" s="833" t="str">
        <f t="shared" ref="AE1256" si="3167">IF(G1256&gt;0,(CONCATENATE((G1256)," quantity, ",(A1256)," ",B1256)),"")</f>
        <v/>
      </c>
      <c r="AF1256" s="833"/>
      <c r="AG1256" s="833"/>
      <c r="AH1256" s="91">
        <f>IF(AD1256="free",0,IF(AD1256="me",0,IF(G1256&gt;0,(VLOOKUP(A1256,'Discount Lookup'!J:K,2)*G1256),0)))</f>
        <v>0</v>
      </c>
      <c r="AI1256" s="92" t="str">
        <f t="shared" si="3118"/>
        <v/>
      </c>
      <c r="AJ1256" s="828" t="str">
        <f t="shared" ref="AJ1256" si="3168">IF(G1256=0,"",IF(AD1256="me","  delivery-only",IF($AD$8="me","  delivery-only",CONCATENATE(" $",ROUND(AI1256/G1256,2)," each"))))</f>
        <v/>
      </c>
      <c r="AK1256" s="828"/>
      <c r="AL1256" s="313" t="str">
        <f t="shared" si="3101"/>
        <v/>
      </c>
      <c r="AM1256" s="312"/>
      <c r="AN1256" s="101"/>
      <c r="AO1256" s="101"/>
      <c r="AP1256" s="101"/>
      <c r="AQ1256" s="101"/>
      <c r="AR1256" s="101"/>
      <c r="AS1256" s="101"/>
      <c r="AT1256" s="101"/>
    </row>
    <row r="1257" spans="1:46" ht="12.95" customHeight="1">
      <c r="A1257" s="383">
        <v>3</v>
      </c>
      <c r="B1257" s="158" t="s">
        <v>50</v>
      </c>
      <c r="C1257" s="160" t="s">
        <v>135</v>
      </c>
      <c r="D1257" s="161" t="s">
        <v>90</v>
      </c>
      <c r="E1257" s="162">
        <v>45.95</v>
      </c>
      <c r="F1257" s="713" t="s">
        <v>1306</v>
      </c>
      <c r="G1257" s="357">
        <v>0</v>
      </c>
      <c r="H1257" s="748" t="str">
        <f t="shared" ref="H1257" si="3169">IF(G1257=0,"",IF(F1257="Qty=",IF(G1257=1,"plant","plants"),IF(F1257&gt;0.0001,"warranty","Error")))</f>
        <v/>
      </c>
      <c r="I1257" s="592">
        <f t="shared" ref="I1257" si="3170">IF(F1257="Qty=",(E1257*G1257),((E1257*(1-F1257))*G1257))</f>
        <v>0</v>
      </c>
      <c r="J1257" s="592">
        <f>IF(H1257="warranty",0,(I1257*($J$1782)))</f>
        <v>0</v>
      </c>
      <c r="K1257" s="834">
        <f t="shared" si="3163"/>
        <v>0</v>
      </c>
      <c r="L1257" s="834"/>
      <c r="M1257" s="832" t="str">
        <f>IF($H$1784=0,"",IF(G1257=0,"",IF(F1257="Qty=",CONCATENATE("$",ROUND(K1257*(1-$H$1784),2)," with ",($H$1784*100),"% discount"),CONCATENATE("$",ROUND(K1257*(1-$H$1784),2)," with ",(($H$1784*100+F1257*100)-($H$1784*100*F1257)),IF(F1257&gt;0,"% discounts",IF($H$1781&gt;0,"% discounts","% discount"))))))</f>
        <v/>
      </c>
      <c r="N1257" s="832"/>
      <c r="O1257" s="832"/>
      <c r="P1257" s="832"/>
      <c r="Q1257" s="832"/>
      <c r="R1257" s="832"/>
      <c r="S1257" s="303">
        <f t="shared" ref="S1257" si="3171">E1257*G1257</f>
        <v>0</v>
      </c>
      <c r="T1257" s="541">
        <f>VLOOKUP(A1257,'Discount Lookup'!D:E,2,FALSE)*G1257</f>
        <v>0</v>
      </c>
      <c r="U1257" s="83">
        <f>VLOOKUP(A1257,'Discount Lookup'!G:H,2,FALSE)*G1257</f>
        <v>0</v>
      </c>
      <c r="V1257" s="100">
        <f>E1257*($J$1782)*G1257</f>
        <v>0</v>
      </c>
      <c r="W1257" s="100">
        <f t="shared" ref="W1257" si="3172">I1257</f>
        <v>0</v>
      </c>
      <c r="X1257" s="100" t="b">
        <f>IF(G1257&gt;0,IF(AD1257="me","",G1257))</f>
        <v>0</v>
      </c>
      <c r="Y1257" s="201"/>
      <c r="Z1257" s="829" t="str">
        <f t="shared" si="3048"/>
        <v/>
      </c>
      <c r="AA1257" s="829"/>
      <c r="AB1257" s="830" t="str">
        <f>IF(G1257=0,"",IF(AD1257="free","re-planting",IF(AD1257="me","not NVP, by",IF($AD$8="yes",(VLOOKUP(A1257,'Discount Lookup'!J:K,2)*G1257*(1-$AC$1786)*(1+$AC$1788)),IF(AD1257="NVP",(VLOOKUP(A1257,'Discount Lookup'!J:K,2)*G1257*(1-$AC$1786)*(1+$AC$1788)),IF(AD1257="free","re-planting",IF(G1257=0,"",IF($AD$8="",IF(AD1257="me","not NVP, by",IF(AD1257="",IF(G1257&gt;0,(VLOOKUP(A1257,'Discount Lookup'!J:K,2)*G1257*(1-$AC$1786)*(1+$AC$1788)),""),"")),"not NVP, by"))))))))</f>
        <v/>
      </c>
      <c r="AC1257" s="830"/>
      <c r="AD1257" s="375" t="str">
        <f t="shared" si="3089"/>
        <v/>
      </c>
      <c r="AE1257" s="833" t="str">
        <f t="shared" si="3150"/>
        <v/>
      </c>
      <c r="AF1257" s="833"/>
      <c r="AG1257" s="833"/>
      <c r="AH1257" s="91">
        <f>IF(AD1257="free",0,IF(AD1257="me",0,IF(G1257&gt;0,(VLOOKUP(A1257,'Discount Lookup'!J:K,2)*G1257),0)))</f>
        <v>0</v>
      </c>
      <c r="AI1257" s="92" t="str">
        <f t="shared" si="3118"/>
        <v/>
      </c>
      <c r="AJ1257" s="828" t="str">
        <f t="shared" si="3049"/>
        <v/>
      </c>
      <c r="AK1257" s="828"/>
      <c r="AL1257" s="313" t="str">
        <f t="shared" si="3101"/>
        <v/>
      </c>
      <c r="AM1257" s="312"/>
      <c r="AN1257" s="101"/>
      <c r="AO1257" s="101"/>
      <c r="AP1257" s="101"/>
      <c r="AQ1257" s="101"/>
      <c r="AR1257" s="101"/>
      <c r="AS1257" s="101"/>
      <c r="AT1257" s="101"/>
    </row>
    <row r="1258" spans="1:46" ht="12.95" customHeight="1">
      <c r="A1258" s="477"/>
      <c r="B1258" s="149" t="s">
        <v>697</v>
      </c>
      <c r="C1258" s="118"/>
      <c r="D1258" s="118"/>
      <c r="E1258" s="119"/>
      <c r="F1258" s="711"/>
      <c r="G1258" s="358"/>
      <c r="H1258" s="745"/>
      <c r="I1258" s="119"/>
      <c r="J1258" s="119"/>
      <c r="K1258" s="609"/>
      <c r="L1258" s="609"/>
      <c r="M1258" s="121"/>
      <c r="N1258" s="122" t="s">
        <v>176</v>
      </c>
      <c r="O1258" s="123"/>
      <c r="P1258" s="124"/>
      <c r="Q1258" s="124"/>
      <c r="R1258" s="83"/>
      <c r="S1258" s="82">
        <f>E1258*G1258</f>
        <v>0</v>
      </c>
      <c r="T1258" s="540"/>
      <c r="U1258" s="83"/>
      <c r="V1258" s="100" t="b">
        <f>IF(G1258&gt;0,IF(AD1258="me","",G1258))</f>
        <v>0</v>
      </c>
      <c r="W1258" s="100"/>
      <c r="X1258" s="100"/>
      <c r="Y1258" s="201"/>
      <c r="Z1258" s="829" t="str">
        <f t="shared" si="3048"/>
        <v/>
      </c>
      <c r="AA1258" s="829"/>
      <c r="AB1258" s="830" t="str">
        <f>IF(G1258=0,"",IF(AD1258="free","re-planting",IF(AD1258="me","not NVP, by",IF($AD$8="yes",(VLOOKUP(A1258,'Discount Lookup'!J:K,2)*G1258*(1-$AC$1786)*(1+$AC$1788)),IF(AD1258="NVP",(VLOOKUP(A1258,'Discount Lookup'!J:K,2)*G1258*(1-$AC$1786)*(1+$AC$1788)),IF(AD1258="free","re-planting",IF(G1258=0,"",IF($AD$8="",IF(AD1258="me","not NVP, by",IF(AD1258="",IF(G1258&gt;0,(VLOOKUP(A1258,'Discount Lookup'!J:K,2)*G1258*(1-$AC$1786)*(1+$AC$1788)),""),"")),"not NVP, by"))))))))</f>
        <v/>
      </c>
      <c r="AC1258" s="830"/>
      <c r="AD1258" s="375" t="str">
        <f t="shared" si="3089"/>
        <v/>
      </c>
      <c r="AE1258" s="833" t="str">
        <f t="shared" si="3150"/>
        <v/>
      </c>
      <c r="AF1258" s="833"/>
      <c r="AG1258" s="833"/>
      <c r="AH1258" s="91">
        <f>IF(AD1258="free",0,IF(AD1258="me",0,IF(G1258&gt;0,(VLOOKUP(A1258,'Discount Lookup'!J:K,2)*G1258),0)))</f>
        <v>0</v>
      </c>
      <c r="AI1258" s="92" t="str">
        <f t="shared" si="3118"/>
        <v/>
      </c>
      <c r="AJ1258" s="828" t="str">
        <f t="shared" si="3049"/>
        <v/>
      </c>
      <c r="AK1258" s="828"/>
      <c r="AL1258" s="313" t="str">
        <f t="shared" si="3101"/>
        <v/>
      </c>
      <c r="AM1258" s="312"/>
      <c r="AN1258" s="101"/>
      <c r="AO1258" s="101"/>
      <c r="AP1258" s="101"/>
      <c r="AQ1258" s="101"/>
      <c r="AR1258" s="101"/>
      <c r="AS1258" s="101"/>
      <c r="AT1258" s="101"/>
    </row>
    <row r="1259" spans="1:46" ht="12.95" customHeight="1">
      <c r="A1259" s="894" t="s">
        <v>698</v>
      </c>
      <c r="B1259" s="895"/>
      <c r="C1259" s="895"/>
      <c r="D1259" s="895"/>
      <c r="E1259" s="895"/>
      <c r="F1259" s="895"/>
      <c r="G1259" s="895"/>
      <c r="H1259" s="775" t="s">
        <v>582</v>
      </c>
      <c r="I1259" s="349" t="s">
        <v>280</v>
      </c>
      <c r="J1259" s="157"/>
      <c r="K1259" s="611" t="s">
        <v>45</v>
      </c>
      <c r="L1259" s="630" t="s">
        <v>46</v>
      </c>
      <c r="M1259" s="157"/>
      <c r="N1259" s="352" t="s">
        <v>75</v>
      </c>
      <c r="O1259" s="165"/>
      <c r="P1259" s="165"/>
      <c r="Q1259" s="165"/>
      <c r="R1259" s="157"/>
      <c r="S1259" s="170"/>
      <c r="T1259" s="547"/>
      <c r="U1259" s="171"/>
      <c r="V1259" s="100" t="b">
        <f>IF(G1259&gt;0,IF(AD1259="me","",G1259))</f>
        <v>0</v>
      </c>
      <c r="W1259" s="100"/>
      <c r="X1259" s="100"/>
      <c r="Y1259" s="201"/>
      <c r="Z1259" s="829" t="str">
        <f t="shared" si="3048"/>
        <v/>
      </c>
      <c r="AA1259" s="829"/>
      <c r="AB1259" s="830" t="str">
        <f>IF(G1259=0,"",IF(AD1259="free","re-planting",IF(AD1259="me","not NVP, by",IF($AD$8="yes",(VLOOKUP(A1259,'Discount Lookup'!J:K,2)*G1259*(1-$AC$1786)*(1+$AC$1788)),IF(AD1259="NVP",(VLOOKUP(A1259,'Discount Lookup'!J:K,2)*G1259*(1-$AC$1786)*(1+$AC$1788)),IF(AD1259="free","re-planting",IF(G1259=0,"",IF($AD$8="",IF(AD1259="me","not NVP, by",IF(AD1259="",IF(G1259&gt;0,(VLOOKUP(A1259,'Discount Lookup'!J:K,2)*G1259*(1-$AC$1786)*(1+$AC$1788)),""),"")),"not NVP, by"))))))))</f>
        <v/>
      </c>
      <c r="AC1259" s="830"/>
      <c r="AD1259" s="375" t="str">
        <f t="shared" si="3089"/>
        <v/>
      </c>
      <c r="AE1259" s="833" t="str">
        <f t="shared" si="3150"/>
        <v/>
      </c>
      <c r="AF1259" s="833"/>
      <c r="AG1259" s="833"/>
      <c r="AH1259" s="91">
        <f>IF(AD1259="free",0,IF(AD1259="me",0,IF(G1259&gt;0,(VLOOKUP(A1259,'Discount Lookup'!J:K,2)*G1259),0)))</f>
        <v>0</v>
      </c>
      <c r="AI1259" s="92" t="str">
        <f t="shared" si="3118"/>
        <v/>
      </c>
      <c r="AJ1259" s="828" t="str">
        <f t="shared" si="3049"/>
        <v/>
      </c>
      <c r="AK1259" s="828"/>
      <c r="AL1259" s="313" t="str">
        <f t="shared" si="3101"/>
        <v/>
      </c>
      <c r="AM1259" s="312"/>
      <c r="AN1259" s="101"/>
      <c r="AO1259" s="101"/>
      <c r="AP1259" s="101"/>
      <c r="AQ1259" s="101"/>
      <c r="AR1259" s="101"/>
      <c r="AS1259" s="101"/>
      <c r="AT1259" s="101"/>
    </row>
    <row r="1260" spans="1:46" ht="12.95" customHeight="1">
      <c r="A1260" s="383">
        <v>3</v>
      </c>
      <c r="B1260" s="158" t="s">
        <v>50</v>
      </c>
      <c r="C1260" s="168" t="s">
        <v>136</v>
      </c>
      <c r="D1260" s="161" t="s">
        <v>63</v>
      </c>
      <c r="E1260" s="162">
        <v>35.950000000000003</v>
      </c>
      <c r="F1260" s="713" t="s">
        <v>1306</v>
      </c>
      <c r="G1260" s="357">
        <v>0</v>
      </c>
      <c r="H1260" s="748" t="str">
        <f t="shared" ref="H1260" si="3173">IF(G1260=0,"",IF(F1260="Qty=",IF(G1260=1,"plant","plants"),IF(F1260&gt;0.0001,"warranty","Error")))</f>
        <v/>
      </c>
      <c r="I1260" s="592">
        <f t="shared" ref="I1260" si="3174">IF(F1260="Qty=",(E1260*G1260),((E1260*(1-F1260))*G1260))</f>
        <v>0</v>
      </c>
      <c r="J1260" s="592">
        <f>IF(H1260="warranty",0,(I1260*($J$1782)))</f>
        <v>0</v>
      </c>
      <c r="K1260" s="834">
        <f t="shared" ref="K1260" si="3175">I1260+J1260</f>
        <v>0</v>
      </c>
      <c r="L1260" s="834"/>
      <c r="M1260" s="832" t="str">
        <f>IF($H$1784=0,"",IF(G1260=0,"",IF(F1260="Qty=",CONCATENATE("$",ROUND(K1260*(1-$H$1784),2)," with ",($H$1784*100),"% discount"),CONCATENATE("$",ROUND(K1260*(1-$H$1784),2)," with ",(($H$1784*100+F1260*100)-($H$1784*100*F1260)),IF(F1260&gt;0,"% discounts",IF($H$1781&gt;0,"% discounts","% discount"))))))</f>
        <v/>
      </c>
      <c r="N1260" s="832"/>
      <c r="O1260" s="832"/>
      <c r="P1260" s="832"/>
      <c r="Q1260" s="832"/>
      <c r="R1260" s="832"/>
      <c r="S1260" s="303">
        <f t="shared" ref="S1260" si="3176">E1260*G1260</f>
        <v>0</v>
      </c>
      <c r="T1260" s="541">
        <f>VLOOKUP(A1260,'Discount Lookup'!D:E,2,FALSE)*G1260</f>
        <v>0</v>
      </c>
      <c r="U1260" s="83">
        <f>VLOOKUP(A1260,'Discount Lookup'!G:H,2,FALSE)*G1260</f>
        <v>0</v>
      </c>
      <c r="V1260" s="100">
        <f>E1260*($J$1782)*G1260</f>
        <v>0</v>
      </c>
      <c r="W1260" s="100">
        <f t="shared" ref="W1260" si="3177">I1260</f>
        <v>0</v>
      </c>
      <c r="X1260" s="100" t="b">
        <f>IF(G1260&gt;0,IF(AD1260="me","",G1260))</f>
        <v>0</v>
      </c>
      <c r="Y1260" s="201"/>
      <c r="Z1260" s="829" t="str">
        <f t="shared" si="3048"/>
        <v/>
      </c>
      <c r="AA1260" s="829"/>
      <c r="AB1260" s="830" t="str">
        <f>IF(G1260=0,"",IF(AD1260="free","re-planting",IF(AD1260="me","not NVP, by",IF($AD$8="yes",(VLOOKUP(A1260,'Discount Lookup'!J:K,2)*G1260*(1-$AC$1786)*(1+$AC$1788)),IF(AD1260="NVP",(VLOOKUP(A1260,'Discount Lookup'!J:K,2)*G1260*(1-$AC$1786)*(1+$AC$1788)),IF(AD1260="free","re-planting",IF(G1260=0,"",IF($AD$8="",IF(AD1260="me","not NVP, by",IF(AD1260="",IF(G1260&gt;0,(VLOOKUP(A1260,'Discount Lookup'!J:K,2)*G1260*(1-$AC$1786)*(1+$AC$1788)),""),"")),"not NVP, by"))))))))</f>
        <v/>
      </c>
      <c r="AC1260" s="830"/>
      <c r="AD1260" s="375" t="str">
        <f t="shared" si="3089"/>
        <v/>
      </c>
      <c r="AE1260" s="833" t="str">
        <f t="shared" si="3150"/>
        <v/>
      </c>
      <c r="AF1260" s="833"/>
      <c r="AG1260" s="833"/>
      <c r="AH1260" s="91">
        <f>IF(AD1260="free",0,IF(AD1260="me",0,IF(G1260&gt;0,(VLOOKUP(A1260,'Discount Lookup'!J:K,2)*G1260),0)))</f>
        <v>0</v>
      </c>
      <c r="AI1260" s="92" t="str">
        <f t="shared" si="3118"/>
        <v/>
      </c>
      <c r="AJ1260" s="828" t="str">
        <f t="shared" si="3049"/>
        <v/>
      </c>
      <c r="AK1260" s="828"/>
      <c r="AL1260" s="313" t="str">
        <f t="shared" si="3101"/>
        <v/>
      </c>
      <c r="AM1260" s="312"/>
      <c r="AN1260" s="101"/>
      <c r="AO1260" s="101"/>
      <c r="AP1260" s="101"/>
      <c r="AQ1260" s="101"/>
      <c r="AR1260" s="101"/>
      <c r="AS1260" s="101"/>
      <c r="AT1260" s="101"/>
    </row>
    <row r="1261" spans="1:46" ht="12.95" customHeight="1">
      <c r="A1261" s="477"/>
      <c r="B1261" s="149" t="s">
        <v>699</v>
      </c>
      <c r="C1261" s="117"/>
      <c r="D1261" s="118"/>
      <c r="E1261" s="119"/>
      <c r="F1261" s="711"/>
      <c r="G1261" s="356"/>
      <c r="H1261" s="745"/>
      <c r="I1261" s="119"/>
      <c r="J1261" s="119"/>
      <c r="K1261" s="616"/>
      <c r="L1261" s="298"/>
      <c r="M1261" s="121"/>
      <c r="N1261" s="122" t="s">
        <v>331</v>
      </c>
      <c r="O1261" s="123"/>
      <c r="P1261" s="124"/>
      <c r="Q1261" s="124"/>
      <c r="R1261" s="83"/>
      <c r="S1261" s="82"/>
      <c r="T1261" s="540"/>
      <c r="U1261" s="83"/>
      <c r="V1261" s="100"/>
      <c r="W1261" s="100"/>
      <c r="X1261" s="100"/>
      <c r="Y1261" s="201"/>
      <c r="Z1261" s="829" t="str">
        <f t="shared" si="3048"/>
        <v/>
      </c>
      <c r="AA1261" s="829"/>
      <c r="AB1261" s="830" t="str">
        <f>IF(G1261=0,"",IF(AD1261="free","re-planting",IF(AD1261="me","not NVP, by",IF($AD$8="yes",(VLOOKUP(A1261,'Discount Lookup'!J:K,2)*G1261*(1-$AC$1786)*(1+$AC$1788)),IF(AD1261="NVP",(VLOOKUP(A1261,'Discount Lookup'!J:K,2)*G1261*(1-$AC$1786)*(1+$AC$1788)),IF(AD1261="free","re-planting",IF(G1261=0,"",IF($AD$8="",IF(AD1261="me","not NVP, by",IF(AD1261="",IF(G1261&gt;0,(VLOOKUP(A1261,'Discount Lookup'!J:K,2)*G1261*(1-$AC$1786)*(1+$AC$1788)),""),"")),"not NVP, by"))))))))</f>
        <v/>
      </c>
      <c r="AC1261" s="830"/>
      <c r="AD1261" s="375" t="str">
        <f t="shared" si="3089"/>
        <v/>
      </c>
      <c r="AE1261" s="833" t="str">
        <f t="shared" si="3150"/>
        <v/>
      </c>
      <c r="AF1261" s="833"/>
      <c r="AG1261" s="833"/>
      <c r="AH1261" s="91">
        <f>IF(AD1261="free",0,IF(AD1261="me",0,IF(G1261&gt;0,(VLOOKUP(A1261,'Discount Lookup'!J:K,2)*G1261),0)))</f>
        <v>0</v>
      </c>
      <c r="AI1261" s="92" t="str">
        <f t="shared" si="3118"/>
        <v/>
      </c>
      <c r="AJ1261" s="828" t="str">
        <f t="shared" si="3049"/>
        <v/>
      </c>
      <c r="AK1261" s="828"/>
      <c r="AL1261" s="313" t="str">
        <f t="shared" si="3101"/>
        <v/>
      </c>
      <c r="AM1261" s="312"/>
      <c r="AN1261" s="101"/>
      <c r="AO1261" s="101"/>
      <c r="AP1261" s="101"/>
      <c r="AQ1261" s="101"/>
      <c r="AR1261" s="101"/>
      <c r="AS1261" s="101"/>
      <c r="AT1261" s="101"/>
    </row>
    <row r="1262" spans="1:46" ht="13.5" customHeight="1">
      <c r="A1262" s="899" t="s">
        <v>986</v>
      </c>
      <c r="B1262" s="895"/>
      <c r="C1262" s="895"/>
      <c r="D1262" s="895"/>
      <c r="E1262" s="895"/>
      <c r="F1262" s="895"/>
      <c r="G1262" s="895"/>
      <c r="H1262" s="775" t="s">
        <v>602</v>
      </c>
      <c r="I1262" s="349" t="s">
        <v>280</v>
      </c>
      <c r="J1262" s="157"/>
      <c r="K1262" s="611" t="s">
        <v>45</v>
      </c>
      <c r="L1262" s="630" t="s">
        <v>46</v>
      </c>
      <c r="M1262" s="157"/>
      <c r="N1262" s="352" t="s">
        <v>75</v>
      </c>
      <c r="O1262" s="158"/>
      <c r="P1262" s="158"/>
      <c r="Q1262" s="158"/>
      <c r="R1262" s="157"/>
      <c r="S1262" s="170"/>
      <c r="T1262" s="547"/>
      <c r="U1262" s="171"/>
      <c r="V1262" s="100" t="b">
        <f>IF(G1262&gt;0,IF(AD1262="me","",G1262))</f>
        <v>0</v>
      </c>
      <c r="W1262" s="100"/>
      <c r="X1262" s="100"/>
      <c r="Y1262" s="201"/>
      <c r="Z1262" s="838" t="str">
        <f>IF(G1262=0,"",IF(AD1262="me","",IF($AD$8="me","",IF(AD1262="free","warranty",IF($AD$8="yes","NVP planting:","to NVP install:")))))</f>
        <v/>
      </c>
      <c r="AA1262" s="838"/>
      <c r="AB1262" s="830" t="str">
        <f>IF(G1262=0,"",IF(AD1262="free","re-planting",IF(AD1262="me","not NVP, by",IF($AD$8="yes",(VLOOKUP(A1262,'Discount Lookup'!J:K,2)*G1262*(1-$AC$1786)*(1+$AC$1788)),IF(AD1262="NVP",(VLOOKUP(A1262,'Discount Lookup'!J:K,2)*G1262*(1-$AC$1786)*(1+$AC$1788)),IF(AD1262="free","re-planting",IF(G1262=0,"",IF($AD$8="",IF(AD1262="me","not NVP, by",IF(AD1262="",IF(G1262&gt;0,(VLOOKUP(A1262,'Discount Lookup'!J:K,2)*G1262*(1-$AC$1786)*(1+$AC$1788)),""),"")),"not NVP, by"))))))))</f>
        <v/>
      </c>
      <c r="AC1262" s="830"/>
      <c r="AD1262" s="375" t="str">
        <f t="shared" si="3089"/>
        <v/>
      </c>
      <c r="AE1262" s="833" t="str">
        <f>IF(G1262&gt;0,(CONCATENATE((G1262)," quantity, ",(A1262)," ",B1262)),"")</f>
        <v/>
      </c>
      <c r="AF1262" s="833"/>
      <c r="AG1262" s="833"/>
      <c r="AH1262" s="91" t="s">
        <v>109</v>
      </c>
      <c r="AI1262" s="92" t="str">
        <f t="shared" si="3118"/>
        <v/>
      </c>
      <c r="AJ1262" s="828" t="str">
        <f>IF(G1262=0,"",IF(AD1262="me","  delivery-only",CONCATENATE(" $",ROUND(AI1262/G1262,2)," each")))</f>
        <v/>
      </c>
      <c r="AK1262" s="828"/>
      <c r="AL1262" s="313" t="str">
        <f t="shared" si="3101"/>
        <v/>
      </c>
      <c r="AM1262" s="312"/>
      <c r="AN1262" s="101"/>
      <c r="AO1262" s="101"/>
      <c r="AP1262" s="101"/>
      <c r="AQ1262" s="101"/>
      <c r="AR1262" s="101"/>
      <c r="AS1262" s="101"/>
      <c r="AT1262" s="101"/>
    </row>
    <row r="1263" spans="1:46" ht="13.5" customHeight="1">
      <c r="A1263" s="448">
        <v>3</v>
      </c>
      <c r="B1263" s="158" t="s">
        <v>50</v>
      </c>
      <c r="C1263" s="168" t="s">
        <v>136</v>
      </c>
      <c r="D1263" s="161" t="s">
        <v>54</v>
      </c>
      <c r="E1263" s="162">
        <v>45.95</v>
      </c>
      <c r="F1263" s="713" t="s">
        <v>1306</v>
      </c>
      <c r="G1263" s="357">
        <v>0</v>
      </c>
      <c r="H1263" s="748" t="str">
        <f t="shared" ref="H1263" si="3178">IF(G1263=0,"",IF(F1263="Qty=",IF(G1263=1,"plant","plants"),IF(F1263&gt;0.0001,"warranty","Error")))</f>
        <v/>
      </c>
      <c r="I1263" s="592">
        <f t="shared" ref="I1263" si="3179">IF(F1263="Qty=",(E1263*G1263),((E1263*(1-F1263))*G1263))</f>
        <v>0</v>
      </c>
      <c r="J1263" s="592">
        <f>IF(H1263="warranty",0,(I1263*($J$1782)))</f>
        <v>0</v>
      </c>
      <c r="K1263" s="834">
        <f t="shared" ref="K1263" si="3180">I1263+J1263</f>
        <v>0</v>
      </c>
      <c r="L1263" s="834"/>
      <c r="M1263" s="832" t="str">
        <f>IF($H$1784=0,"",IF(G1263=0,"",IF(F1263="Qty=",CONCATENATE("$",ROUND(K1263*(1-$H$1784),2)," with ",($H$1784*100),"% discount"),CONCATENATE("$",ROUND(K1263*(1-$H$1784),2)," with ",(($H$1784*100+F1263*100)-($H$1784*100*F1263)),IF(F1263&gt;0,"% discounts",IF($H$1781&gt;0,"% discounts","% discount"))))))</f>
        <v/>
      </c>
      <c r="N1263" s="832"/>
      <c r="O1263" s="832"/>
      <c r="P1263" s="832"/>
      <c r="Q1263" s="832"/>
      <c r="R1263" s="832"/>
      <c r="S1263" s="303">
        <f t="shared" ref="S1263" si="3181">E1263*G1263</f>
        <v>0</v>
      </c>
      <c r="T1263" s="541">
        <f>VLOOKUP(A1263,'Discount Lookup'!D:E,2,FALSE)*G1263</f>
        <v>0</v>
      </c>
      <c r="U1263" s="83">
        <f>VLOOKUP(A1263,'Discount Lookup'!G:H,2,FALSE)*G1263</f>
        <v>0</v>
      </c>
      <c r="V1263" s="100">
        <f>E1263*($J$1782)*G1263</f>
        <v>0</v>
      </c>
      <c r="W1263" s="100">
        <f t="shared" ref="W1263" si="3182">I1263</f>
        <v>0</v>
      </c>
      <c r="X1263" s="100" t="b">
        <f>IF(G1263&gt;0,IF(AD1263="me","",G1263))</f>
        <v>0</v>
      </c>
      <c r="Y1263" s="201"/>
      <c r="Z1263" s="838" t="str">
        <f>IF(G1263=0,"",IF(AD1263="me","",IF($AD$8="me","",IF(AD1263="free","warranty",IF($AD$8="yes","NVP planting:","to NVP install:")))))</f>
        <v/>
      </c>
      <c r="AA1263" s="838"/>
      <c r="AB1263" s="830" t="str">
        <f>IF(G1263=0,"",IF(AD1263="free","re-planting",IF(AD1263="me","not NVP, by",IF($AD$8="yes",(VLOOKUP(A1263,'Discount Lookup'!J:K,2)*G1263*(1-$AC$1786)*(1+$AC$1788)),IF(AD1263="NVP",(VLOOKUP(A1263,'Discount Lookup'!J:K,2)*G1263*(1-$AC$1786)*(1+$AC$1788)),IF(AD1263="free","re-planting",IF(G1263=0,"",IF($AD$8="",IF(AD1263="me","not NVP, by",IF(AD1263="",IF(G1263&gt;0,(VLOOKUP(A1263,'Discount Lookup'!J:K,2)*G1263*(1-$AC$1786)*(1+$AC$1788)),""),"")),"not NVP, by"))))))))</f>
        <v/>
      </c>
      <c r="AC1263" s="830"/>
      <c r="AD1263" s="375" t="str">
        <f t="shared" si="3089"/>
        <v/>
      </c>
      <c r="AE1263" s="833" t="str">
        <f>IF(G1263&gt;0,(CONCATENATE((G1263)," quantity, ",(A1263)," ",B1263)),"")</f>
        <v/>
      </c>
      <c r="AF1263" s="833"/>
      <c r="AG1263" s="833"/>
      <c r="AH1263" s="91" t="str">
        <f>IF(AD1263="free",0,IF(AD1263="me","",IF(G1263&gt;0,(VLOOKUP(A1263,'Discount Lookup'!J:K,2)*G1263),"")))</f>
        <v/>
      </c>
      <c r="AI1263" s="92" t="str">
        <f t="shared" si="3118"/>
        <v/>
      </c>
      <c r="AJ1263" s="828" t="str">
        <f>IF(G1263=0,"",IF(AD1263="me","  delivery-only",CONCATENATE(" $",ROUND(AI1263/G1263,2)," each")))</f>
        <v/>
      </c>
      <c r="AK1263" s="828"/>
      <c r="AL1263" s="313" t="str">
        <f t="shared" si="3101"/>
        <v/>
      </c>
      <c r="AM1263" s="312"/>
      <c r="AN1263" s="101"/>
      <c r="AO1263" s="101"/>
      <c r="AP1263" s="101"/>
      <c r="AQ1263" s="101"/>
      <c r="AR1263" s="101"/>
      <c r="AS1263" s="101"/>
      <c r="AT1263" s="101"/>
    </row>
    <row r="1264" spans="1:46" ht="13.5" customHeight="1">
      <c r="A1264" s="503"/>
      <c r="B1264" s="149" t="s">
        <v>987</v>
      </c>
      <c r="C1264" s="104"/>
      <c r="D1264" s="104"/>
      <c r="E1264" s="105"/>
      <c r="F1264" s="709"/>
      <c r="G1264" s="358"/>
      <c r="H1264" s="743"/>
      <c r="I1264" s="102"/>
      <c r="J1264" s="102"/>
      <c r="K1264" s="607"/>
      <c r="L1264" s="607"/>
      <c r="M1264" s="121"/>
      <c r="N1264" s="121"/>
      <c r="O1264" s="190"/>
      <c r="P1264" s="152"/>
      <c r="Q1264" s="841" t="s">
        <v>125</v>
      </c>
      <c r="R1264" s="841"/>
      <c r="S1264" s="841"/>
      <c r="T1264" s="841"/>
      <c r="U1264" s="841"/>
      <c r="V1264" s="841"/>
      <c r="W1264" s="286"/>
      <c r="X1264" s="286"/>
      <c r="Y1264" s="794"/>
      <c r="Z1264" s="838" t="str">
        <f>IF(G1264=0,"",IF(AD1264="me","",IF($AD$8="me","",IF(AD1264="free","warranty",IF($AD$8="yes","NVP planting:","to NVP install:")))))</f>
        <v/>
      </c>
      <c r="AA1264" s="838"/>
      <c r="AB1264" s="830" t="str">
        <f>IF(G1264=0,"",IF(AD1264="free","re-planting",IF(AD1264="me","not NVP, by",IF($AD$8="yes",(VLOOKUP(A1264,'Discount Lookup'!J:K,2)*G1264*(1-$AC$1786)*(1+$AC$1788)),IF(AD1264="NVP",(VLOOKUP(A1264,'Discount Lookup'!J:K,2)*G1264*(1-$AC$1786)*(1+$AC$1788)),IF(AD1264="free","re-planting",IF(G1264=0,"",IF($AD$8="",IF(AD1264="me","not NVP, by",IF(AD1264="",IF(G1264&gt;0,(VLOOKUP(A1264,'Discount Lookup'!J:K,2)*G1264*(1-$AC$1786)*(1+$AC$1788)),""),"")),"not NVP, by"))))))))</f>
        <v/>
      </c>
      <c r="AC1264" s="830"/>
      <c r="AD1264" s="375" t="str">
        <f t="shared" si="3089"/>
        <v/>
      </c>
      <c r="AE1264" s="833" t="str">
        <f>IF(G1264&gt;0,(CONCATENATE((G1264)," quantity, ",(A1264)," ",B1264)),"")</f>
        <v/>
      </c>
      <c r="AF1264" s="833"/>
      <c r="AG1264" s="833"/>
      <c r="AH1264" s="91" t="s">
        <v>109</v>
      </c>
      <c r="AI1264" s="92" t="str">
        <f t="shared" si="3118"/>
        <v/>
      </c>
      <c r="AJ1264" s="828" t="str">
        <f>IF(G1264=0,"",IF(AD1264="me","  delivery-only",CONCATENATE(" $",ROUND(AI1264/G1264,2)," each")))</f>
        <v/>
      </c>
      <c r="AK1264" s="828"/>
      <c r="AL1264" s="313" t="str">
        <f t="shared" si="3101"/>
        <v/>
      </c>
      <c r="AM1264" s="312"/>
      <c r="AN1264" s="101"/>
      <c r="AO1264" s="101"/>
      <c r="AP1264" s="101"/>
      <c r="AQ1264" s="101"/>
      <c r="AR1264" s="101"/>
      <c r="AS1264" s="101"/>
      <c r="AT1264" s="101"/>
    </row>
    <row r="1265" spans="1:46" ht="12.95" customHeight="1">
      <c r="A1265" s="894" t="s">
        <v>700</v>
      </c>
      <c r="B1265" s="895"/>
      <c r="C1265" s="895"/>
      <c r="D1265" s="895"/>
      <c r="E1265" s="895"/>
      <c r="F1265" s="895"/>
      <c r="G1265" s="895"/>
      <c r="H1265" s="775" t="s">
        <v>602</v>
      </c>
      <c r="I1265" s="164" t="s">
        <v>79</v>
      </c>
      <c r="J1265" s="157"/>
      <c r="K1265" s="611" t="s">
        <v>45</v>
      </c>
      <c r="L1265" s="630" t="s">
        <v>46</v>
      </c>
      <c r="M1265" s="157"/>
      <c r="N1265" s="352" t="s">
        <v>75</v>
      </c>
      <c r="O1265" s="158"/>
      <c r="P1265" s="158"/>
      <c r="Q1265" s="158"/>
      <c r="R1265" s="157"/>
      <c r="S1265" s="170"/>
      <c r="T1265" s="547"/>
      <c r="U1265" s="171"/>
      <c r="V1265" s="100" t="b">
        <f>IF(G1265&gt;0,IF(AD1265="me","",G1265))</f>
        <v>0</v>
      </c>
      <c r="W1265" s="100"/>
      <c r="X1265" s="100"/>
      <c r="Y1265" s="201"/>
      <c r="Z1265" s="829" t="str">
        <f t="shared" si="3048"/>
        <v/>
      </c>
      <c r="AA1265" s="829"/>
      <c r="AB1265" s="830" t="str">
        <f>IF(G1265=0,"",IF(AD1265="free","re-planting",IF(AD1265="me","not NVP, by",IF($AD$8="yes",(VLOOKUP(A1265,'Discount Lookup'!J:K,2)*G1265*(1-$AC$1786)*(1+$AC$1788)),IF(AD1265="NVP",(VLOOKUP(A1265,'Discount Lookup'!J:K,2)*G1265*(1-$AC$1786)*(1+$AC$1788)),IF(AD1265="free","re-planting",IF(G1265=0,"",IF($AD$8="",IF(AD1265="me","not NVP, by",IF(AD1265="",IF(G1265&gt;0,(VLOOKUP(A1265,'Discount Lookup'!J:K,2)*G1265*(1-$AC$1786)*(1+$AC$1788)),""),"")),"not NVP, by"))))))))</f>
        <v/>
      </c>
      <c r="AC1265" s="830"/>
      <c r="AD1265" s="375" t="str">
        <f t="shared" si="3089"/>
        <v/>
      </c>
      <c r="AE1265" s="833" t="str">
        <f t="shared" si="3150"/>
        <v/>
      </c>
      <c r="AF1265" s="833"/>
      <c r="AG1265" s="833"/>
      <c r="AH1265" s="91">
        <f>IF(AD1265="free",0,IF(AD1265="me",0,IF(G1265&gt;0,(VLOOKUP(A1265,'Discount Lookup'!J:K,2)*G1265),0)))</f>
        <v>0</v>
      </c>
      <c r="AI1265" s="92" t="str">
        <f t="shared" si="3118"/>
        <v/>
      </c>
      <c r="AJ1265" s="828" t="str">
        <f t="shared" si="3049"/>
        <v/>
      </c>
      <c r="AK1265" s="828"/>
      <c r="AL1265" s="313" t="str">
        <f t="shared" si="3101"/>
        <v/>
      </c>
      <c r="AM1265" s="312"/>
      <c r="AN1265" s="101"/>
      <c r="AO1265" s="101"/>
      <c r="AP1265" s="101"/>
      <c r="AQ1265" s="101"/>
      <c r="AR1265" s="101"/>
      <c r="AS1265" s="101"/>
      <c r="AT1265" s="101"/>
    </row>
    <row r="1266" spans="1:46" ht="12.95" customHeight="1">
      <c r="A1266" s="383">
        <v>3</v>
      </c>
      <c r="B1266" s="158" t="s">
        <v>50</v>
      </c>
      <c r="C1266" s="168" t="s">
        <v>136</v>
      </c>
      <c r="D1266" s="161" t="s">
        <v>87</v>
      </c>
      <c r="E1266" s="162">
        <v>38.950000000000003</v>
      </c>
      <c r="F1266" s="713" t="s">
        <v>1306</v>
      </c>
      <c r="G1266" s="357">
        <v>0</v>
      </c>
      <c r="H1266" s="748" t="str">
        <f t="shared" ref="H1266" si="3183">IF(G1266=0,"",IF(F1266="Qty=",IF(G1266=1,"plant","plants"),IF(F1266&gt;0.0001,"warranty","Error")))</f>
        <v/>
      </c>
      <c r="I1266" s="592">
        <f t="shared" ref="I1266" si="3184">IF(F1266="Qty=",(E1266*G1266),((E1266*(1-F1266))*G1266))</f>
        <v>0</v>
      </c>
      <c r="J1266" s="592">
        <f>IF(H1266="warranty",0,(I1266*($J$1782)))</f>
        <v>0</v>
      </c>
      <c r="K1266" s="834">
        <f t="shared" ref="K1266" si="3185">I1266+J1266</f>
        <v>0</v>
      </c>
      <c r="L1266" s="834"/>
      <c r="M1266" s="832" t="str">
        <f>IF($H$1784=0,"",IF(G1266=0,"",IF(F1266="Qty=",CONCATENATE("$",ROUND(K1266*(1-$H$1784),2)," with ",($H$1784*100),"% discount"),CONCATENATE("$",ROUND(K1266*(1-$H$1784),2)," with ",(($H$1784*100+F1266*100)-($H$1784*100*F1266)),IF(F1266&gt;0,"% discounts",IF($H$1781&gt;0,"% discounts","% discount"))))))</f>
        <v/>
      </c>
      <c r="N1266" s="832"/>
      <c r="O1266" s="832"/>
      <c r="P1266" s="832"/>
      <c r="Q1266" s="832"/>
      <c r="R1266" s="832"/>
      <c r="S1266" s="303">
        <f>E1266*G1266</f>
        <v>0</v>
      </c>
      <c r="T1266" s="541">
        <f>VLOOKUP(A1266,'Discount Lookup'!D:E,2,FALSE)*G1266</f>
        <v>0</v>
      </c>
      <c r="U1266" s="83">
        <f>VLOOKUP(A1266,'Discount Lookup'!G:H,2,FALSE)*G1266</f>
        <v>0</v>
      </c>
      <c r="V1266" s="100">
        <f>E1266*($J$1782)*G1266</f>
        <v>0</v>
      </c>
      <c r="W1266" s="100">
        <f t="shared" ref="W1266" si="3186">I1266</f>
        <v>0</v>
      </c>
      <c r="X1266" s="100" t="b">
        <f>IF(G1266&gt;0,IF(AD1266="me","",G1266))</f>
        <v>0</v>
      </c>
      <c r="Y1266" s="201"/>
      <c r="Z1266" s="829" t="str">
        <f t="shared" si="3048"/>
        <v/>
      </c>
      <c r="AA1266" s="829"/>
      <c r="AB1266" s="830" t="str">
        <f>IF(G1266=0,"",IF(AD1266="free","re-planting",IF(AD1266="me","not NVP, by",IF($AD$8="yes",(VLOOKUP(A1266,'Discount Lookup'!J:K,2)*G1266*(1-$AC$1786)*(1+$AC$1788)),IF(AD1266="NVP",(VLOOKUP(A1266,'Discount Lookup'!J:K,2)*G1266*(1-$AC$1786)*(1+$AC$1788)),IF(AD1266="free","re-planting",IF(G1266=0,"",IF($AD$8="",IF(AD1266="me","not NVP, by",IF(AD1266="",IF(G1266&gt;0,(VLOOKUP(A1266,'Discount Lookup'!J:K,2)*G1266*(1-$AC$1786)*(1+$AC$1788)),""),"")),"not NVP, by"))))))))</f>
        <v/>
      </c>
      <c r="AC1266" s="830"/>
      <c r="AD1266" s="375" t="str">
        <f t="shared" si="3089"/>
        <v/>
      </c>
      <c r="AE1266" s="833" t="str">
        <f t="shared" si="3150"/>
        <v/>
      </c>
      <c r="AF1266" s="833"/>
      <c r="AG1266" s="833"/>
      <c r="AH1266" s="91">
        <f>IF(AD1266="free",0,IF(AD1266="me",0,IF(G1266&gt;0,(VLOOKUP(A1266,'Discount Lookup'!J:K,2)*G1266),0)))</f>
        <v>0</v>
      </c>
      <c r="AI1266" s="92" t="str">
        <f t="shared" si="3118"/>
        <v/>
      </c>
      <c r="AJ1266" s="828" t="str">
        <f t="shared" si="3049"/>
        <v/>
      </c>
      <c r="AK1266" s="828"/>
      <c r="AL1266" s="313" t="str">
        <f t="shared" si="3101"/>
        <v/>
      </c>
      <c r="AM1266" s="312"/>
      <c r="AN1266" s="101"/>
      <c r="AO1266" s="101"/>
      <c r="AP1266" s="101"/>
      <c r="AQ1266" s="101"/>
      <c r="AR1266" s="101"/>
      <c r="AS1266" s="101"/>
      <c r="AT1266" s="101"/>
    </row>
    <row r="1267" spans="1:46" ht="12.95" customHeight="1">
      <c r="A1267" s="530"/>
      <c r="B1267" s="149" t="s">
        <v>701</v>
      </c>
      <c r="G1267" s="361"/>
      <c r="H1267" s="746"/>
      <c r="M1267" s="48"/>
      <c r="N1267" s="121"/>
      <c r="O1267" s="123"/>
      <c r="P1267" s="124"/>
      <c r="Q1267" s="841"/>
      <c r="R1267" s="841"/>
      <c r="S1267" s="841"/>
      <c r="T1267" s="841"/>
      <c r="U1267" s="841"/>
      <c r="V1267" s="841"/>
      <c r="W1267" s="201"/>
      <c r="X1267" s="201"/>
      <c r="Y1267" s="201"/>
      <c r="Z1267" s="829" t="str">
        <f t="shared" si="3048"/>
        <v/>
      </c>
      <c r="AA1267" s="829"/>
      <c r="AB1267" s="830" t="str">
        <f>IF(G1267=0,"",IF(AD1267="free","re-planting",IF(AD1267="me","not NVP, by",IF($AD$8="yes",(VLOOKUP(A1267,'Discount Lookup'!J:K,2)*G1267*(1-$AC$1786)*(1+$AC$1788)),IF(AD1267="NVP",(VLOOKUP(A1267,'Discount Lookup'!J:K,2)*G1267*(1-$AC$1786)*(1+$AC$1788)),IF(AD1267="free","re-planting",IF(G1267=0,"",IF($AD$8="",IF(AD1267="me","not NVP, by",IF(AD1267="",IF(G1267&gt;0,(VLOOKUP(A1267,'Discount Lookup'!J:K,2)*G1267*(1-$AC$1786)*(1+$AC$1788)),""),"")),"not NVP, by"))))))))</f>
        <v/>
      </c>
      <c r="AC1267" s="830"/>
      <c r="AD1267" s="375" t="str">
        <f t="shared" si="3089"/>
        <v/>
      </c>
      <c r="AE1267" s="833" t="str">
        <f t="shared" si="3150"/>
        <v/>
      </c>
      <c r="AF1267" s="833"/>
      <c r="AG1267" s="833"/>
      <c r="AH1267" s="91">
        <f>IF(AD1267="free",0,IF(AD1267="me",0,IF(G1267&gt;0,(VLOOKUP(A1267,'Discount Lookup'!J:K,2)*G1267),0)))</f>
        <v>0</v>
      </c>
      <c r="AI1267" s="92" t="str">
        <f t="shared" si="3118"/>
        <v/>
      </c>
      <c r="AJ1267" s="828" t="str">
        <f t="shared" si="3049"/>
        <v/>
      </c>
      <c r="AK1267" s="828"/>
      <c r="AL1267" s="313" t="str">
        <f t="shared" si="3101"/>
        <v/>
      </c>
      <c r="AM1267" s="312"/>
      <c r="AN1267" s="101"/>
      <c r="AO1267" s="101"/>
      <c r="AP1267" s="101"/>
      <c r="AQ1267" s="101"/>
      <c r="AR1267" s="101"/>
      <c r="AS1267" s="101"/>
      <c r="AT1267" s="101"/>
    </row>
    <row r="1268" spans="1:46" ht="12.95" customHeight="1">
      <c r="A1268" s="889" t="s">
        <v>702</v>
      </c>
      <c r="B1268" s="890"/>
      <c r="C1268" s="890"/>
      <c r="D1268" s="890"/>
      <c r="E1268" s="890"/>
      <c r="F1268" s="890"/>
      <c r="G1268" s="890"/>
      <c r="H1268" s="775" t="s">
        <v>703</v>
      </c>
      <c r="I1268" s="349" t="s">
        <v>280</v>
      </c>
      <c r="J1268" s="157"/>
      <c r="K1268" s="611" t="s">
        <v>45</v>
      </c>
      <c r="L1268" s="630" t="s">
        <v>46</v>
      </c>
      <c r="M1268" s="157"/>
      <c r="N1268" s="158" t="s">
        <v>69</v>
      </c>
      <c r="O1268" s="158"/>
      <c r="P1268" s="158"/>
      <c r="Q1268" s="158"/>
      <c r="R1268" s="157"/>
      <c r="S1268" s="170"/>
      <c r="T1268" s="547"/>
      <c r="U1268" s="159" t="s">
        <v>48</v>
      </c>
      <c r="V1268" s="100" t="b">
        <f>IF(G1268&gt;0,IF(AD1268="me","",G1268))</f>
        <v>0</v>
      </c>
      <c r="W1268" s="100"/>
      <c r="X1268" s="100"/>
      <c r="Y1268" s="201"/>
      <c r="Z1268" s="829" t="str">
        <f t="shared" si="3048"/>
        <v/>
      </c>
      <c r="AA1268" s="829"/>
      <c r="AB1268" s="830" t="str">
        <f>IF(G1268=0,"",IF(AD1268="free","re-planting",IF(AD1268="me","not NVP, by",IF($AD$8="yes",(VLOOKUP(A1268,'Discount Lookup'!J:K,2)*G1268*(1-$AC$1786)*(1+$AC$1788)),IF(AD1268="NVP",(VLOOKUP(A1268,'Discount Lookup'!J:K,2)*G1268*(1-$AC$1786)*(1+$AC$1788)),IF(AD1268="free","re-planting",IF(G1268=0,"",IF($AD$8="",IF(AD1268="me","not NVP, by",IF(AD1268="",IF(G1268&gt;0,(VLOOKUP(A1268,'Discount Lookup'!J:K,2)*G1268*(1-$AC$1786)*(1+$AC$1788)),""),"")),"not NVP, by"))))))))</f>
        <v/>
      </c>
      <c r="AC1268" s="830"/>
      <c r="AD1268" s="375" t="str">
        <f t="shared" si="3089"/>
        <v/>
      </c>
      <c r="AE1268" s="833" t="str">
        <f t="shared" ref="AE1268:AE1270" si="3187">IF(G1268&gt;0,(CONCATENATE((G1268)," quantity, ",(A1268)," ",B1268)),"")</f>
        <v/>
      </c>
      <c r="AF1268" s="833"/>
      <c r="AG1268" s="833"/>
      <c r="AH1268" s="91" t="str">
        <f>IF(AD1268="free",0,IF(AD1268="me","",IF(G1268&gt;0,(VLOOKUP(A1268,'Discount Lookup'!J:K,2)*G1268),"")))</f>
        <v/>
      </c>
      <c r="AI1268" s="92" t="str">
        <f t="shared" si="3118"/>
        <v/>
      </c>
      <c r="AJ1268" s="828" t="str">
        <f t="shared" si="3049"/>
        <v/>
      </c>
      <c r="AK1268" s="828"/>
      <c r="AL1268" s="313" t="str">
        <f t="shared" si="3101"/>
        <v/>
      </c>
      <c r="AM1268" s="312"/>
      <c r="AN1268" s="101"/>
      <c r="AO1268" s="101"/>
      <c r="AP1268" s="101"/>
      <c r="AQ1268" s="101"/>
      <c r="AR1268" s="101"/>
      <c r="AS1268" s="101"/>
      <c r="AT1268" s="101"/>
    </row>
    <row r="1269" spans="1:46" ht="12.95" customHeight="1">
      <c r="A1269" s="383">
        <v>1</v>
      </c>
      <c r="B1269" s="158" t="s">
        <v>50</v>
      </c>
      <c r="C1269" s="168" t="s">
        <v>136</v>
      </c>
      <c r="D1269" s="161" t="s">
        <v>87</v>
      </c>
      <c r="E1269" s="162">
        <v>10.95</v>
      </c>
      <c r="F1269" s="713" t="s">
        <v>1306</v>
      </c>
      <c r="G1269" s="357">
        <v>0</v>
      </c>
      <c r="H1269" s="748" t="str">
        <f t="shared" ref="H1269" si="3188">IF(G1269=0,"",IF(F1269="Qty=",IF(G1269=1,"plant","plants"),IF(F1269&gt;0.0001,"warranty","Error")))</f>
        <v/>
      </c>
      <c r="I1269" s="592">
        <f t="shared" ref="I1269" si="3189">IF(F1269="Qty=",(E1269*G1269),((E1269*(1-F1269))*G1269))</f>
        <v>0</v>
      </c>
      <c r="J1269" s="592">
        <f>IF(H1269="warranty",0,(I1269*($J$1782)))</f>
        <v>0</v>
      </c>
      <c r="K1269" s="834">
        <f t="shared" ref="K1269" si="3190">I1269+J1269</f>
        <v>0</v>
      </c>
      <c r="L1269" s="834"/>
      <c r="M1269" s="832" t="str">
        <f>IF($H$1784=0,"",IF(G1269=0,"",IF(F1269="Qty=",CONCATENATE("$",ROUND(K1269*(1-$H$1784),2)," with ",($H$1784*100),"% discount"),CONCATENATE("$",ROUND(K1269*(1-$H$1784),2)," with ",(($H$1784*100+F1269*100)-($H$1784*100*F1269)),IF(F1269&gt;0,"% discounts",IF($H$1781&gt;0,"% discounts","% discount"))))))</f>
        <v/>
      </c>
      <c r="N1269" s="832"/>
      <c r="O1269" s="832"/>
      <c r="P1269" s="832"/>
      <c r="Q1269" s="832"/>
      <c r="R1269" s="832"/>
      <c r="S1269" s="303">
        <f t="shared" ref="S1269" si="3191">E1269*G1269</f>
        <v>0</v>
      </c>
      <c r="T1269" s="541">
        <f>VLOOKUP(A1269,'Discount Lookup'!D:E,2,FALSE)*G1269</f>
        <v>0</v>
      </c>
      <c r="U1269" s="83">
        <f>VLOOKUP(A1269,'Discount Lookup'!G:H,2,FALSE)*G1269</f>
        <v>0</v>
      </c>
      <c r="V1269" s="100">
        <f>E1269*($J$1782)*G1269</f>
        <v>0</v>
      </c>
      <c r="W1269" s="100">
        <f t="shared" ref="W1269" si="3192">I1269</f>
        <v>0</v>
      </c>
      <c r="X1269" s="100" t="b">
        <f>IF(G1269&gt;0,IF(AD1269="me","",G1269))</f>
        <v>0</v>
      </c>
      <c r="Y1269" s="201"/>
      <c r="Z1269" s="829" t="str">
        <f t="shared" si="3048"/>
        <v/>
      </c>
      <c r="AA1269" s="829"/>
      <c r="AB1269" s="830" t="str">
        <f>IF(G1269=0,"",IF(AD1269="free","re-planting",IF(AD1269="me","not NVP, by",IF($AD$8="yes",(VLOOKUP(A1269,'Discount Lookup'!J:K,2)*G1269*(1-$AC$1786)*(1+$AC$1788)),IF(AD1269="NVP",(VLOOKUP(A1269,'Discount Lookup'!J:K,2)*G1269*(1-$AC$1786)*(1+$AC$1788)),IF(AD1269="free","re-planting",IF(G1269=0,"",IF($AD$8="",IF(AD1269="me","not NVP, by",IF(AD1269="",IF(G1269&gt;0,(VLOOKUP(A1269,'Discount Lookup'!J:K,2)*G1269*(1-$AC$1786)*(1+$AC$1788)),""),"")),"not NVP, by"))))))))</f>
        <v/>
      </c>
      <c r="AC1269" s="830"/>
      <c r="AD1269" s="375" t="str">
        <f t="shared" si="3089"/>
        <v/>
      </c>
      <c r="AE1269" s="833" t="str">
        <f t="shared" si="3187"/>
        <v/>
      </c>
      <c r="AF1269" s="833"/>
      <c r="AG1269" s="833"/>
      <c r="AH1269" s="91" t="str">
        <f>IF(AD1269="free",0,IF(AD1269="me","",IF(G1269&gt;0,(VLOOKUP(A1269,'Discount Lookup'!J:K,2)*G1269),"")))</f>
        <v/>
      </c>
      <c r="AI1269" s="92" t="str">
        <f t="shared" si="3118"/>
        <v/>
      </c>
      <c r="AJ1269" s="828" t="str">
        <f t="shared" si="3049"/>
        <v/>
      </c>
      <c r="AK1269" s="828"/>
      <c r="AL1269" s="313" t="str">
        <f t="shared" si="3101"/>
        <v/>
      </c>
      <c r="AM1269" s="312"/>
      <c r="AN1269" s="101"/>
      <c r="AO1269" s="101"/>
      <c r="AP1269" s="101"/>
      <c r="AQ1269" s="101"/>
      <c r="AR1269" s="101"/>
      <c r="AS1269" s="101"/>
      <c r="AT1269" s="101"/>
    </row>
    <row r="1270" spans="1:46" ht="12.95" customHeight="1">
      <c r="A1270" s="477"/>
      <c r="B1270" s="149" t="s">
        <v>704</v>
      </c>
      <c r="C1270" s="117"/>
      <c r="D1270" s="118"/>
      <c r="E1270" s="119"/>
      <c r="F1270" s="711"/>
      <c r="G1270" s="356"/>
      <c r="H1270" s="745"/>
      <c r="I1270" s="119"/>
      <c r="J1270" s="119"/>
      <c r="K1270" s="609"/>
      <c r="M1270" s="121"/>
      <c r="N1270" s="122" t="s">
        <v>331</v>
      </c>
      <c r="O1270" s="123"/>
      <c r="P1270" s="124"/>
      <c r="Q1270" s="124"/>
      <c r="R1270" s="83"/>
      <c r="S1270" s="82"/>
      <c r="T1270" s="540"/>
      <c r="U1270" s="83"/>
      <c r="V1270" s="100"/>
      <c r="W1270" s="100"/>
      <c r="X1270" s="100"/>
      <c r="Y1270" s="201"/>
      <c r="Z1270" s="829" t="str">
        <f t="shared" si="3048"/>
        <v/>
      </c>
      <c r="AA1270" s="829"/>
      <c r="AB1270" s="830" t="str">
        <f>IF(G1270=0,"",IF(AD1270="free","re-planting",IF(AD1270="me","not NVP, by",IF($AD$8="yes",(VLOOKUP(A1270,'Discount Lookup'!J:K,2)*G1270*(1-$AC$1786)*(1+$AC$1788)),IF(AD1270="NVP",(VLOOKUP(A1270,'Discount Lookup'!J:K,2)*G1270*(1-$AC$1786)*(1+$AC$1788)),IF(AD1270="free","re-planting",IF(G1270=0,"",IF($AD$8="",IF(AD1270="me","not NVP, by",IF(AD1270="",IF(G1270&gt;0,(VLOOKUP(A1270,'Discount Lookup'!J:K,2)*G1270*(1-$AC$1786)*(1+$AC$1788)),""),"")),"not NVP, by"))))))))</f>
        <v/>
      </c>
      <c r="AC1270" s="830"/>
      <c r="AD1270" s="375" t="str">
        <f t="shared" si="3089"/>
        <v/>
      </c>
      <c r="AE1270" s="833" t="str">
        <f t="shared" si="3187"/>
        <v/>
      </c>
      <c r="AF1270" s="833"/>
      <c r="AG1270" s="833"/>
      <c r="AH1270" s="91" t="str">
        <f>IF(AD1270="free",0,IF(AD1270="me","",IF(G1270&gt;0,(VLOOKUP(A1270,'Discount Lookup'!J:K,2)*G1270),"")))</f>
        <v/>
      </c>
      <c r="AI1270" s="92" t="str">
        <f t="shared" si="3118"/>
        <v/>
      </c>
      <c r="AJ1270" s="828" t="str">
        <f t="shared" si="3049"/>
        <v/>
      </c>
      <c r="AK1270" s="828"/>
      <c r="AL1270" s="313" t="str">
        <f t="shared" si="3101"/>
        <v/>
      </c>
      <c r="AM1270" s="312"/>
      <c r="AN1270" s="101"/>
      <c r="AO1270" s="101"/>
      <c r="AP1270" s="101"/>
      <c r="AQ1270" s="101"/>
      <c r="AR1270" s="101"/>
      <c r="AS1270" s="101"/>
      <c r="AT1270" s="101"/>
    </row>
    <row r="1271" spans="1:46" ht="12.95" customHeight="1">
      <c r="A1271" s="894" t="s">
        <v>705</v>
      </c>
      <c r="B1271" s="895"/>
      <c r="C1271" s="895"/>
      <c r="D1271" s="895"/>
      <c r="E1271" s="895"/>
      <c r="F1271" s="895"/>
      <c r="G1271" s="895"/>
      <c r="H1271" s="775" t="s">
        <v>619</v>
      </c>
      <c r="I1271" s="349" t="s">
        <v>280</v>
      </c>
      <c r="J1271" s="157"/>
      <c r="K1271" s="611" t="s">
        <v>45</v>
      </c>
      <c r="L1271" s="630" t="s">
        <v>46</v>
      </c>
      <c r="M1271" s="157"/>
      <c r="N1271" s="158" t="s">
        <v>69</v>
      </c>
      <c r="O1271" s="165"/>
      <c r="P1271" s="165"/>
      <c r="Q1271" s="165"/>
      <c r="R1271" s="157"/>
      <c r="S1271" s="170"/>
      <c r="T1271" s="547"/>
      <c r="U1271" s="171"/>
      <c r="V1271" s="100" t="b">
        <f>IF(G1271&gt;0,IF(AD1271="me","",G1271))</f>
        <v>0</v>
      </c>
      <c r="W1271" s="100"/>
      <c r="X1271" s="100"/>
      <c r="Y1271" s="201"/>
      <c r="Z1271" s="829" t="str">
        <f t="shared" ref="Z1271:Z1324" si="3193">IF(G1271=0,"",IF(AD1271="me","",IF($AD$8="me","",IF(AD1271="free","warranty",IF($AD$8="yes","NVP planting:","to NVP install:")))))</f>
        <v/>
      </c>
      <c r="AA1271" s="829"/>
      <c r="AB1271" s="830" t="str">
        <f>IF(G1271=0,"",IF(AD1271="free","re-planting",IF(AD1271="me","not NVP, by",IF($AD$8="yes",(VLOOKUP(A1271,'Discount Lookup'!J:K,2)*G1271*(1-$AC$1786)*(1+$AC$1788)),IF(AD1271="NVP",(VLOOKUP(A1271,'Discount Lookup'!J:K,2)*G1271*(1-$AC$1786)*(1+$AC$1788)),IF(AD1271="free","re-planting",IF(G1271=0,"",IF($AD$8="",IF(AD1271="me","not NVP, by",IF(AD1271="",IF(G1271&gt;0,(VLOOKUP(A1271,'Discount Lookup'!J:K,2)*G1271*(1-$AC$1786)*(1+$AC$1788)),""),"")),"not NVP, by"))))))))</f>
        <v/>
      </c>
      <c r="AC1271" s="830"/>
      <c r="AD1271" s="375" t="str">
        <f t="shared" si="3089"/>
        <v/>
      </c>
      <c r="AE1271" s="833" t="str">
        <f t="shared" si="3150"/>
        <v/>
      </c>
      <c r="AF1271" s="833"/>
      <c r="AG1271" s="833"/>
      <c r="AH1271" s="91">
        <f>IF(AD1271="free",0,IF(AD1271="me",0,IF(G1271&gt;0,(VLOOKUP(A1271,'Discount Lookup'!J:K,2)*G1271),0)))</f>
        <v>0</v>
      </c>
      <c r="AI1271" s="92" t="str">
        <f t="shared" si="3118"/>
        <v/>
      </c>
      <c r="AJ1271" s="828" t="str">
        <f t="shared" ref="AJ1271:AJ1324" si="3194">IF(G1271=0,"",IF(AD1271="me","  delivery-only",IF($AD$8="me","  delivery-only",CONCATENATE(" $",ROUND(AI1271/G1271,2)," each"))))</f>
        <v/>
      </c>
      <c r="AK1271" s="828"/>
      <c r="AL1271" s="313" t="str">
        <f t="shared" si="3101"/>
        <v/>
      </c>
      <c r="AM1271" s="312"/>
      <c r="AN1271" s="101"/>
      <c r="AO1271" s="101"/>
      <c r="AP1271" s="101"/>
      <c r="AQ1271" s="101"/>
      <c r="AR1271" s="101"/>
      <c r="AS1271" s="101"/>
      <c r="AT1271" s="101"/>
    </row>
    <row r="1272" spans="1:46" ht="12.95" customHeight="1">
      <c r="A1272" s="383">
        <v>2</v>
      </c>
      <c r="B1272" s="158" t="s">
        <v>50</v>
      </c>
      <c r="C1272" s="168" t="s">
        <v>136</v>
      </c>
      <c r="D1272" s="161" t="s">
        <v>87</v>
      </c>
      <c r="E1272" s="162">
        <v>32.950000000000003</v>
      </c>
      <c r="F1272" s="713" t="s">
        <v>1306</v>
      </c>
      <c r="G1272" s="357">
        <v>0</v>
      </c>
      <c r="H1272" s="748" t="str">
        <f t="shared" ref="H1272:H1273" si="3195">IF(G1272=0,"",IF(F1272="Qty=",IF(G1272=1,"plant","plants"),IF(F1272&gt;0.0001,"warranty","Error")))</f>
        <v/>
      </c>
      <c r="I1272" s="592">
        <f t="shared" ref="I1272:I1273" si="3196">IF(F1272="Qty=",(E1272*G1272),((E1272*(1-F1272))*G1272))</f>
        <v>0</v>
      </c>
      <c r="J1272" s="592">
        <f>IF(H1272="warranty",0,(I1272*($J$1782)))</f>
        <v>0</v>
      </c>
      <c r="K1272" s="834">
        <f t="shared" ref="K1272:K1273" si="3197">I1272+J1272</f>
        <v>0</v>
      </c>
      <c r="L1272" s="834"/>
      <c r="M1272" s="832" t="str">
        <f>IF($H$1784=0,"",IF(G1272=0,"",IF(F1272="Qty=",CONCATENATE("$",ROUND(K1272*(1-$H$1784),2)," with ",($H$1784*100),"% discount"),CONCATENATE("$",ROUND(K1272*(1-$H$1784),2)," with ",(($H$1784*100+F1272*100)-($H$1784*100*F1272)),IF(F1272&gt;0,"% discounts",IF($H$1781&gt;0,"% discounts","% discount"))))))</f>
        <v/>
      </c>
      <c r="N1272" s="832"/>
      <c r="O1272" s="832"/>
      <c r="P1272" s="832"/>
      <c r="Q1272" s="832"/>
      <c r="R1272" s="832"/>
      <c r="S1272" s="303">
        <f t="shared" ref="S1272:S1273" si="3198">E1272*G1272</f>
        <v>0</v>
      </c>
      <c r="T1272" s="541">
        <f>VLOOKUP(A1272,'Discount Lookup'!D:E,2,FALSE)*G1272</f>
        <v>0</v>
      </c>
      <c r="U1272" s="83">
        <f>VLOOKUP(A1272,'Discount Lookup'!G:H,2,FALSE)*G1272</f>
        <v>0</v>
      </c>
      <c r="V1272" s="100">
        <f>E1272*($J$1782)*G1272</f>
        <v>0</v>
      </c>
      <c r="W1272" s="100">
        <f t="shared" ref="W1272:W1273" si="3199">I1272</f>
        <v>0</v>
      </c>
      <c r="X1272" s="100" t="b">
        <f>IF(G1272&gt;0,IF(AD1272="me","",G1272))</f>
        <v>0</v>
      </c>
      <c r="Y1272" s="201"/>
      <c r="Z1272" s="829" t="str">
        <f t="shared" si="3193"/>
        <v/>
      </c>
      <c r="AA1272" s="829"/>
      <c r="AB1272" s="830" t="str">
        <f>IF(G1272=0,"",IF(AD1272="free","re-planting",IF(AD1272="me","not NVP, by",IF($AD$8="yes",(VLOOKUP(A1272,'Discount Lookup'!J:K,2)*G1272*(1-$AC$1786)*(1+$AC$1788)),IF(AD1272="NVP",(VLOOKUP(A1272,'Discount Lookup'!J:K,2)*G1272*(1-$AC$1786)*(1+$AC$1788)),IF(AD1272="free","re-planting",IF(G1272=0,"",IF($AD$8="",IF(AD1272="me","not NVP, by",IF(AD1272="",IF(G1272&gt;0,(VLOOKUP(A1272,'Discount Lookup'!J:K,2)*G1272*(1-$AC$1786)*(1+$AC$1788)),""),"")),"not NVP, by"))))))))</f>
        <v/>
      </c>
      <c r="AC1272" s="830"/>
      <c r="AD1272" s="375" t="str">
        <f t="shared" si="3089"/>
        <v/>
      </c>
      <c r="AE1272" s="833" t="str">
        <f t="shared" si="3150"/>
        <v/>
      </c>
      <c r="AF1272" s="833"/>
      <c r="AG1272" s="833"/>
      <c r="AH1272" s="91">
        <f>IF(AD1272="free",0,IF(AD1272="me",0,IF(G1272&gt;0,(VLOOKUP(A1272,'Discount Lookup'!J:K,2)*G1272),0)))</f>
        <v>0</v>
      </c>
      <c r="AI1272" s="92" t="str">
        <f t="shared" si="3118"/>
        <v/>
      </c>
      <c r="AJ1272" s="828" t="str">
        <f t="shared" si="3194"/>
        <v/>
      </c>
      <c r="AK1272" s="828"/>
      <c r="AL1272" s="313" t="str">
        <f t="shared" si="3101"/>
        <v/>
      </c>
      <c r="AM1272" s="312"/>
      <c r="AN1272" s="101"/>
      <c r="AO1272" s="101"/>
      <c r="AP1272" s="101"/>
      <c r="AQ1272" s="101"/>
      <c r="AR1272" s="101"/>
      <c r="AS1272" s="101"/>
      <c r="AT1272" s="101"/>
    </row>
    <row r="1273" spans="1:46" ht="12.95" customHeight="1">
      <c r="A1273" s="383">
        <v>3</v>
      </c>
      <c r="B1273" s="158" t="s">
        <v>50</v>
      </c>
      <c r="C1273" s="168" t="s">
        <v>136</v>
      </c>
      <c r="D1273" s="161" t="s">
        <v>63</v>
      </c>
      <c r="E1273" s="162">
        <v>36.950000000000003</v>
      </c>
      <c r="F1273" s="713" t="s">
        <v>1306</v>
      </c>
      <c r="G1273" s="357">
        <v>0</v>
      </c>
      <c r="H1273" s="748" t="str">
        <f t="shared" si="3195"/>
        <v/>
      </c>
      <c r="I1273" s="592">
        <f t="shared" si="3196"/>
        <v>0</v>
      </c>
      <c r="J1273" s="592">
        <f>IF(H1273="warranty",0,(I1273*($J$1782)))</f>
        <v>0</v>
      </c>
      <c r="K1273" s="834">
        <f t="shared" si="3197"/>
        <v>0</v>
      </c>
      <c r="L1273" s="834"/>
      <c r="M1273" s="832" t="str">
        <f>IF($H$1784=0,"",IF(G1273=0,"",IF(F1273="Qty=",CONCATENATE("$",ROUND(K1273*(1-$H$1784),2)," with ",($H$1784*100),"% discount"),CONCATENATE("$",ROUND(K1273*(1-$H$1784),2)," with ",(($H$1784*100+F1273*100)-($H$1784*100*F1273)),IF(F1273&gt;0,"% discounts",IF($H$1781&gt;0,"% discounts","% discount"))))))</f>
        <v/>
      </c>
      <c r="N1273" s="832"/>
      <c r="O1273" s="832"/>
      <c r="P1273" s="832"/>
      <c r="Q1273" s="832"/>
      <c r="R1273" s="832"/>
      <c r="S1273" s="303">
        <f t="shared" si="3198"/>
        <v>0</v>
      </c>
      <c r="T1273" s="541">
        <f>VLOOKUP(A1273,'Discount Lookup'!D:E,2,FALSE)*G1273</f>
        <v>0</v>
      </c>
      <c r="U1273" s="83">
        <f>VLOOKUP(A1273,'Discount Lookup'!G:H,2,FALSE)*G1273</f>
        <v>0</v>
      </c>
      <c r="V1273" s="100">
        <f>E1273*($J$1782)*G1273</f>
        <v>0</v>
      </c>
      <c r="W1273" s="100">
        <f t="shared" si="3199"/>
        <v>0</v>
      </c>
      <c r="X1273" s="100" t="b">
        <f>IF(G1273&gt;0,IF(AD1273="me","",G1273))</f>
        <v>0</v>
      </c>
      <c r="Y1273" s="201"/>
      <c r="Z1273" s="829" t="str">
        <f t="shared" si="3193"/>
        <v/>
      </c>
      <c r="AA1273" s="829"/>
      <c r="AB1273" s="830" t="str">
        <f>IF(G1273=0,"",IF(AD1273="free","re-planting",IF(AD1273="me","not NVP, by",IF($AD$8="yes",(VLOOKUP(A1273,'Discount Lookup'!J:K,2)*G1273*(1-$AC$1786)*(1+$AC$1788)),IF(AD1273="NVP",(VLOOKUP(A1273,'Discount Lookup'!J:K,2)*G1273*(1-$AC$1786)*(1+$AC$1788)),IF(AD1273="free","re-planting",IF(G1273=0,"",IF($AD$8="",IF(AD1273="me","not NVP, by",IF(AD1273="",IF(G1273&gt;0,(VLOOKUP(A1273,'Discount Lookup'!J:K,2)*G1273*(1-$AC$1786)*(1+$AC$1788)),""),"")),"not NVP, by"))))))))</f>
        <v/>
      </c>
      <c r="AC1273" s="830"/>
      <c r="AD1273" s="375" t="str">
        <f t="shared" si="3089"/>
        <v/>
      </c>
      <c r="AE1273" s="833" t="str">
        <f t="shared" si="3150"/>
        <v/>
      </c>
      <c r="AF1273" s="833"/>
      <c r="AG1273" s="833"/>
      <c r="AH1273" s="91">
        <f>IF(AD1273="free",0,IF(AD1273="me",0,IF(G1273&gt;0,(VLOOKUP(A1273,'Discount Lookup'!J:K,2)*G1273),0)))</f>
        <v>0</v>
      </c>
      <c r="AI1273" s="92" t="str">
        <f t="shared" si="3118"/>
        <v/>
      </c>
      <c r="AJ1273" s="828" t="str">
        <f t="shared" si="3194"/>
        <v/>
      </c>
      <c r="AK1273" s="828"/>
      <c r="AL1273" s="313" t="str">
        <f t="shared" si="3101"/>
        <v/>
      </c>
      <c r="AM1273" s="312"/>
      <c r="AN1273" s="101"/>
      <c r="AO1273" s="101"/>
      <c r="AP1273" s="101"/>
      <c r="AQ1273" s="101"/>
      <c r="AR1273" s="101"/>
      <c r="AS1273" s="101"/>
      <c r="AT1273" s="101"/>
    </row>
    <row r="1274" spans="1:46" ht="12.95" customHeight="1">
      <c r="A1274" s="477"/>
      <c r="B1274" s="149" t="s">
        <v>706</v>
      </c>
      <c r="C1274" s="117"/>
      <c r="D1274" s="118"/>
      <c r="E1274" s="119"/>
      <c r="F1274" s="711"/>
      <c r="G1274" s="356"/>
      <c r="H1274" s="745"/>
      <c r="I1274" s="119"/>
      <c r="J1274" s="119"/>
      <c r="K1274" s="609"/>
      <c r="L1274" s="609"/>
      <c r="M1274" s="121"/>
      <c r="N1274" s="122" t="s">
        <v>331</v>
      </c>
      <c r="O1274" s="123"/>
      <c r="P1274" s="124"/>
      <c r="Q1274" s="124"/>
      <c r="R1274" s="83"/>
      <c r="S1274" s="82"/>
      <c r="T1274" s="540"/>
      <c r="U1274" s="83"/>
      <c r="V1274" s="100"/>
      <c r="W1274" s="100"/>
      <c r="X1274" s="100"/>
      <c r="Y1274" s="201"/>
      <c r="Z1274" s="829" t="str">
        <f t="shared" si="3193"/>
        <v/>
      </c>
      <c r="AA1274" s="829"/>
      <c r="AB1274" s="830" t="str">
        <f>IF(G1274=0,"",IF(AD1274="free","re-planting",IF(AD1274="me","not NVP, by",IF($AD$8="yes",(VLOOKUP(A1274,'Discount Lookup'!J:K,2)*G1274*(1-$AC$1786)*(1+$AC$1788)),IF(AD1274="NVP",(VLOOKUP(A1274,'Discount Lookup'!J:K,2)*G1274*(1-$AC$1786)*(1+$AC$1788)),IF(AD1274="free","re-planting",IF(G1274=0,"",IF($AD$8="",IF(AD1274="me","not NVP, by",IF(AD1274="",IF(G1274&gt;0,(VLOOKUP(A1274,'Discount Lookup'!J:K,2)*G1274*(1-$AC$1786)*(1+$AC$1788)),""),"")),"not NVP, by"))))))))</f>
        <v/>
      </c>
      <c r="AC1274" s="830"/>
      <c r="AD1274" s="375" t="str">
        <f t="shared" si="3089"/>
        <v/>
      </c>
      <c r="AE1274" s="833" t="str">
        <f t="shared" si="3150"/>
        <v/>
      </c>
      <c r="AF1274" s="833"/>
      <c r="AG1274" s="833"/>
      <c r="AH1274" s="91">
        <f>IF(AD1274="free",0,IF(AD1274="me",0,IF(G1274&gt;0,(VLOOKUP(A1274,'Discount Lookup'!J:K,2)*G1274),0)))</f>
        <v>0</v>
      </c>
      <c r="AI1274" s="92" t="str">
        <f t="shared" si="3118"/>
        <v/>
      </c>
      <c r="AJ1274" s="828" t="str">
        <f t="shared" si="3194"/>
        <v/>
      </c>
      <c r="AK1274" s="828"/>
      <c r="AL1274" s="313" t="str">
        <f t="shared" si="3101"/>
        <v/>
      </c>
      <c r="AM1274" s="312"/>
      <c r="AN1274" s="101"/>
      <c r="AO1274" s="101"/>
      <c r="AP1274" s="101"/>
      <c r="AQ1274" s="101"/>
      <c r="AR1274" s="101"/>
      <c r="AS1274" s="101"/>
      <c r="AT1274" s="101"/>
    </row>
    <row r="1275" spans="1:46" ht="12.95" customHeight="1">
      <c r="A1275" s="919" t="s">
        <v>1025</v>
      </c>
      <c r="B1275" s="890"/>
      <c r="C1275" s="890"/>
      <c r="D1275" s="890"/>
      <c r="E1275" s="890"/>
      <c r="F1275" s="890"/>
      <c r="G1275" s="890"/>
      <c r="H1275" s="775" t="s">
        <v>621</v>
      </c>
      <c r="I1275" s="349" t="s">
        <v>280</v>
      </c>
      <c r="J1275" s="157"/>
      <c r="K1275" s="611" t="s">
        <v>45</v>
      </c>
      <c r="L1275" s="630" t="s">
        <v>46</v>
      </c>
      <c r="M1275" s="157"/>
      <c r="N1275" s="352" t="s">
        <v>75</v>
      </c>
      <c r="O1275" s="158"/>
      <c r="P1275" s="158"/>
      <c r="Q1275" s="158"/>
      <c r="R1275" s="157"/>
      <c r="S1275" s="170"/>
      <c r="T1275" s="547"/>
      <c r="U1275" s="171"/>
      <c r="V1275" s="100" t="b">
        <f>IF(G1275&gt;0,IF(AD1275="me","",G1275))</f>
        <v>0</v>
      </c>
      <c r="W1275" s="100"/>
      <c r="X1275" s="100"/>
      <c r="Y1275" s="201"/>
      <c r="Z1275" s="829" t="str">
        <f t="shared" si="3193"/>
        <v/>
      </c>
      <c r="AA1275" s="829"/>
      <c r="AB1275" s="830" t="str">
        <f>IF(G1275=0,"",IF(AD1275="free","re-planting",IF(AD1275="me","not NVP, by",IF($AD$8="yes",(VLOOKUP(A1275,'Discount Lookup'!J:K,2)*G1275*(1-$AC$1786)*(1+$AC$1788)),IF(AD1275="NVP",(VLOOKUP(A1275,'Discount Lookup'!J:K,2)*G1275*(1-$AC$1786)*(1+$AC$1788)),IF(AD1275="free","re-planting",IF(G1275=0,"",IF($AD$8="",IF(AD1275="me","not NVP, by",IF(AD1275="",IF(G1275&gt;0,(VLOOKUP(A1275,'Discount Lookup'!J:K,2)*G1275*(1-$AC$1786)*(1+$AC$1788)),""),"")),"not NVP, by"))))))))</f>
        <v/>
      </c>
      <c r="AC1275" s="830"/>
      <c r="AD1275" s="375" t="str">
        <f t="shared" si="3089"/>
        <v/>
      </c>
      <c r="AE1275" s="833" t="str">
        <f t="shared" si="3150"/>
        <v/>
      </c>
      <c r="AF1275" s="833"/>
      <c r="AG1275" s="833"/>
      <c r="AH1275" s="91">
        <f>IF(AD1275="free",0,IF(AD1275="me",0,IF(G1275&gt;0,(VLOOKUP(A1275,'Discount Lookup'!J:K,2)*G1275),0)))</f>
        <v>0</v>
      </c>
      <c r="AI1275" s="92" t="str">
        <f t="shared" si="3118"/>
        <v/>
      </c>
      <c r="AJ1275" s="828" t="str">
        <f t="shared" si="3194"/>
        <v/>
      </c>
      <c r="AK1275" s="828"/>
      <c r="AL1275" s="313" t="str">
        <f t="shared" si="3101"/>
        <v/>
      </c>
      <c r="AM1275" s="537"/>
      <c r="AN1275" s="537"/>
      <c r="AO1275" s="537"/>
      <c r="AP1275" s="537"/>
      <c r="AQ1275" s="537"/>
      <c r="AR1275" s="537"/>
      <c r="AS1275" s="537"/>
      <c r="AT1275" s="537"/>
    </row>
    <row r="1276" spans="1:46" ht="12.95" customHeight="1">
      <c r="A1276" s="383">
        <v>3</v>
      </c>
      <c r="B1276" s="158" t="s">
        <v>50</v>
      </c>
      <c r="C1276" s="168" t="s">
        <v>136</v>
      </c>
      <c r="D1276" s="161" t="s">
        <v>52</v>
      </c>
      <c r="E1276" s="162">
        <v>30.95</v>
      </c>
      <c r="F1276" s="713" t="s">
        <v>1306</v>
      </c>
      <c r="G1276" s="357">
        <v>0</v>
      </c>
      <c r="H1276" s="748" t="str">
        <f t="shared" ref="H1276" si="3200">IF(G1276=0,"",IF(F1276="Qty=",IF(G1276=1,"plant","plants"),IF(F1276&gt;0.0001,"warranty","Error")))</f>
        <v/>
      </c>
      <c r="I1276" s="592">
        <f t="shared" ref="I1276" si="3201">IF(F1276="Qty=",(E1276*G1276),((E1276*(1-F1276))*G1276))</f>
        <v>0</v>
      </c>
      <c r="J1276" s="592">
        <f>IF(H1276="warranty",0,(I1276*($J$1782)))</f>
        <v>0</v>
      </c>
      <c r="K1276" s="834">
        <f t="shared" ref="K1276" si="3202">I1276+J1276</f>
        <v>0</v>
      </c>
      <c r="L1276" s="834"/>
      <c r="M1276" s="832" t="str">
        <f>IF($H$1784=0,"",IF(G1276=0,"",IF(F1276="Qty=",CONCATENATE("$",ROUND(K1276*(1-$H$1784),2)," with ",($H$1784*100),"% discount"),CONCATENATE("$",ROUND(K1276*(1-$H$1784),2)," with ",(($H$1784*100+F1276*100)-($H$1784*100*F1276)),IF(F1276&gt;0,"% discounts",IF($H$1781&gt;0,"% discounts","% discount"))))))</f>
        <v/>
      </c>
      <c r="N1276" s="832"/>
      <c r="O1276" s="832"/>
      <c r="P1276" s="832"/>
      <c r="Q1276" s="832"/>
      <c r="R1276" s="832"/>
      <c r="S1276" s="303">
        <f t="shared" ref="S1276" si="3203">E1276*G1276</f>
        <v>0</v>
      </c>
      <c r="T1276" s="541">
        <f>VLOOKUP(A1276,'Discount Lookup'!D:E,2,FALSE)*G1276</f>
        <v>0</v>
      </c>
      <c r="U1276" s="83">
        <f>VLOOKUP(A1276,'Discount Lookup'!G:H,2,FALSE)*G1276</f>
        <v>0</v>
      </c>
      <c r="V1276" s="100">
        <f>E1276*($J$1782)*G1276</f>
        <v>0</v>
      </c>
      <c r="W1276" s="100">
        <f t="shared" ref="W1276" si="3204">I1276</f>
        <v>0</v>
      </c>
      <c r="X1276" s="100" t="b">
        <f>IF(G1276&gt;0,IF(AD1276="me","",G1276))</f>
        <v>0</v>
      </c>
      <c r="Y1276" s="201"/>
      <c r="Z1276" s="829" t="str">
        <f t="shared" si="3193"/>
        <v/>
      </c>
      <c r="AA1276" s="829"/>
      <c r="AB1276" s="830" t="str">
        <f>IF(G1276=0,"",IF(AD1276="free","re-planting",IF(AD1276="me","not NVP, by",IF($AD$8="yes",(VLOOKUP(A1276,'Discount Lookup'!J:K,2)*G1276*(1-$AC$1786)*(1+$AC$1788)),IF(AD1276="NVP",(VLOOKUP(A1276,'Discount Lookup'!J:K,2)*G1276*(1-$AC$1786)*(1+$AC$1788)),IF(AD1276="free","re-planting",IF(G1276=0,"",IF($AD$8="",IF(AD1276="me","not NVP, by",IF(AD1276="",IF(G1276&gt;0,(VLOOKUP(A1276,'Discount Lookup'!J:K,2)*G1276*(1-$AC$1786)*(1+$AC$1788)),""),"")),"not NVP, by"))))))))</f>
        <v/>
      </c>
      <c r="AC1276" s="830"/>
      <c r="AD1276" s="375" t="str">
        <f t="shared" si="3089"/>
        <v/>
      </c>
      <c r="AE1276" s="833" t="str">
        <f t="shared" si="3150"/>
        <v/>
      </c>
      <c r="AF1276" s="833"/>
      <c r="AG1276" s="833"/>
      <c r="AH1276" s="91">
        <f>IF(AD1276="free",0,IF(AD1276="me",0,IF(G1276&gt;0,(VLOOKUP(A1276,'Discount Lookup'!J:K,2)*G1276),0)))</f>
        <v>0</v>
      </c>
      <c r="AI1276" s="92" t="str">
        <f t="shared" si="3118"/>
        <v/>
      </c>
      <c r="AJ1276" s="828" t="str">
        <f t="shared" si="3194"/>
        <v/>
      </c>
      <c r="AK1276" s="828"/>
      <c r="AL1276" s="313" t="str">
        <f t="shared" si="3101"/>
        <v/>
      </c>
      <c r="AM1276" s="312"/>
      <c r="AN1276" s="101"/>
      <c r="AO1276" s="101"/>
      <c r="AP1276" s="101"/>
      <c r="AQ1276" s="101"/>
      <c r="AR1276" s="101"/>
      <c r="AS1276" s="101"/>
      <c r="AT1276" s="101"/>
    </row>
    <row r="1277" spans="1:46" ht="12.95" customHeight="1">
      <c r="A1277" s="485"/>
      <c r="B1277" s="149" t="s">
        <v>1026</v>
      </c>
      <c r="G1277" s="361"/>
      <c r="H1277" s="746"/>
      <c r="M1277" s="48"/>
      <c r="N1277" s="122" t="s">
        <v>336</v>
      </c>
      <c r="O1277" s="123"/>
      <c r="P1277" s="124"/>
      <c r="Q1277" s="48"/>
      <c r="R1277" s="48"/>
      <c r="S1277" s="48"/>
      <c r="T1277" s="546"/>
      <c r="W1277" s="286"/>
      <c r="X1277" s="286"/>
      <c r="Y1277" s="794"/>
      <c r="Z1277" s="829" t="str">
        <f t="shared" si="3193"/>
        <v/>
      </c>
      <c r="AA1277" s="829"/>
      <c r="AB1277" s="830" t="str">
        <f>IF(G1277=0,"",IF(AD1277="free","re-planting",IF(AD1277="me","not NVP, by",IF($AD$8="yes",(VLOOKUP(A1277,'Discount Lookup'!J:K,2)*G1277*(1-$AC$1786)*(1+$AC$1788)),IF(AD1277="NVP",(VLOOKUP(A1277,'Discount Lookup'!J:K,2)*G1277*(1-$AC$1786)*(1+$AC$1788)),IF(AD1277="free","re-planting",IF(G1277=0,"",IF($AD$8="",IF(AD1277="me","not NVP, by",IF(AD1277="",IF(G1277&gt;0,(VLOOKUP(A1277,'Discount Lookup'!J:K,2)*G1277*(1-$AC$1786)*(1+$AC$1788)),""),"")),"not NVP, by"))))))))</f>
        <v/>
      </c>
      <c r="AC1277" s="830"/>
      <c r="AD1277" s="375" t="str">
        <f t="shared" ref="AD1277:AD1334" si="3205">IF(G1277=0,"",IF($AD$8="me","me",IF(H1277="warranty","free",IF($AD$8="yes","NVP",""))))</f>
        <v/>
      </c>
      <c r="AE1277" s="833" t="str">
        <f t="shared" si="3150"/>
        <v/>
      </c>
      <c r="AF1277" s="833"/>
      <c r="AG1277" s="833"/>
      <c r="AH1277" s="91">
        <f>IF(AD1277="free",0,IF(AD1277="me",0,IF(G1277&gt;0,(VLOOKUP(A1277,'Discount Lookup'!J:K,2)*G1277),0)))</f>
        <v>0</v>
      </c>
      <c r="AI1277" s="92" t="str">
        <f t="shared" si="3118"/>
        <v/>
      </c>
      <c r="AJ1277" s="828" t="str">
        <f t="shared" si="3194"/>
        <v/>
      </c>
      <c r="AK1277" s="828"/>
      <c r="AL1277" s="313" t="str">
        <f t="shared" si="3101"/>
        <v/>
      </c>
      <c r="AM1277" s="537"/>
      <c r="AN1277" s="537"/>
      <c r="AO1277" s="537"/>
      <c r="AP1277" s="537"/>
      <c r="AQ1277" s="537"/>
      <c r="AR1277" s="537"/>
      <c r="AS1277" s="537"/>
      <c r="AT1277" s="537"/>
    </row>
    <row r="1278" spans="1:46" ht="12.95" customHeight="1">
      <c r="A1278" s="889" t="s">
        <v>707</v>
      </c>
      <c r="B1278" s="890"/>
      <c r="C1278" s="890"/>
      <c r="D1278" s="890"/>
      <c r="E1278" s="890"/>
      <c r="F1278" s="890"/>
      <c r="G1278" s="890"/>
      <c r="H1278" s="775" t="s">
        <v>621</v>
      </c>
      <c r="I1278" s="349" t="s">
        <v>280</v>
      </c>
      <c r="J1278" s="157"/>
      <c r="K1278" s="611" t="s">
        <v>45</v>
      </c>
      <c r="L1278" s="630" t="s">
        <v>46</v>
      </c>
      <c r="M1278" s="157"/>
      <c r="N1278" s="352" t="s">
        <v>75</v>
      </c>
      <c r="O1278" s="158"/>
      <c r="P1278" s="158"/>
      <c r="Q1278" s="158"/>
      <c r="R1278" s="157"/>
      <c r="S1278" s="170"/>
      <c r="T1278" s="547"/>
      <c r="U1278" s="171"/>
      <c r="V1278" s="100" t="b">
        <f>IF(G1278&gt;0,IF(AD1278="me","",G1278))</f>
        <v>0</v>
      </c>
      <c r="W1278" s="100"/>
      <c r="X1278" s="100"/>
      <c r="Y1278" s="201"/>
      <c r="Z1278" s="829" t="str">
        <f t="shared" si="3193"/>
        <v/>
      </c>
      <c r="AA1278" s="829"/>
      <c r="AB1278" s="830" t="str">
        <f>IF(G1278=0,"",IF(AD1278="free","re-planting",IF(AD1278="me","not NVP, by",IF($AD$8="yes",(VLOOKUP(A1278,'Discount Lookup'!J:K,2)*G1278*(1-$AC$1786)*(1+$AC$1788)),IF(AD1278="NVP",(VLOOKUP(A1278,'Discount Lookup'!J:K,2)*G1278*(1-$AC$1786)*(1+$AC$1788)),IF(AD1278="free","re-planting",IF(G1278=0,"",IF($AD$8="",IF(AD1278="me","not NVP, by",IF(AD1278="",IF(G1278&gt;0,(VLOOKUP(A1278,'Discount Lookup'!J:K,2)*G1278*(1-$AC$1786)*(1+$AC$1788)),""),"")),"not NVP, by"))))))))</f>
        <v/>
      </c>
      <c r="AC1278" s="830"/>
      <c r="AD1278" s="375" t="str">
        <f t="shared" si="3205"/>
        <v/>
      </c>
      <c r="AE1278" s="833" t="str">
        <f t="shared" si="3150"/>
        <v/>
      </c>
      <c r="AF1278" s="833"/>
      <c r="AG1278" s="833"/>
      <c r="AH1278" s="91">
        <f>IF(AD1278="free",0,IF(AD1278="me",0,IF(G1278&gt;0,(VLOOKUP(A1278,'Discount Lookup'!J:K,2)*G1278),0)))</f>
        <v>0</v>
      </c>
      <c r="AI1278" s="92" t="str">
        <f t="shared" si="3118"/>
        <v/>
      </c>
      <c r="AJ1278" s="828" t="str">
        <f t="shared" si="3194"/>
        <v/>
      </c>
      <c r="AK1278" s="828"/>
      <c r="AL1278" s="313" t="str">
        <f t="shared" si="3101"/>
        <v/>
      </c>
      <c r="AM1278" s="312"/>
      <c r="AN1278" s="101"/>
      <c r="AO1278" s="101"/>
      <c r="AP1278" s="101"/>
      <c r="AQ1278" s="101"/>
      <c r="AR1278" s="101"/>
      <c r="AS1278" s="101"/>
      <c r="AT1278" s="101"/>
    </row>
    <row r="1279" spans="1:46" ht="12.95" customHeight="1">
      <c r="A1279" s="383">
        <v>3</v>
      </c>
      <c r="B1279" s="158" t="s">
        <v>50</v>
      </c>
      <c r="C1279" s="168" t="s">
        <v>136</v>
      </c>
      <c r="D1279" s="161" t="s">
        <v>87</v>
      </c>
      <c r="E1279" s="162">
        <v>31.95</v>
      </c>
      <c r="F1279" s="713" t="s">
        <v>1306</v>
      </c>
      <c r="G1279" s="357">
        <v>0</v>
      </c>
      <c r="H1279" s="748" t="str">
        <f t="shared" ref="H1279" si="3206">IF(G1279=0,"",IF(F1279="Qty=",IF(G1279=1,"plant","plants"),IF(F1279&gt;0.0001,"warranty","Error")))</f>
        <v/>
      </c>
      <c r="I1279" s="592">
        <f t="shared" ref="I1279" si="3207">IF(F1279="Qty=",(E1279*G1279),((E1279*(1-F1279))*G1279))</f>
        <v>0</v>
      </c>
      <c r="J1279" s="592">
        <f>IF(H1279="warranty",0,(I1279*($J$1782)))</f>
        <v>0</v>
      </c>
      <c r="K1279" s="834">
        <f t="shared" ref="K1279:K1280" si="3208">I1279+J1279</f>
        <v>0</v>
      </c>
      <c r="L1279" s="834"/>
      <c r="M1279" s="832" t="str">
        <f>IF($H$1784=0,"",IF(G1279=0,"",IF(F1279="Qty=",CONCATENATE("$",ROUND(K1279*(1-$H$1784),2)," with ",($H$1784*100),"% discount"),CONCATENATE("$",ROUND(K1279*(1-$H$1784),2)," with ",(($H$1784*100+F1279*100)-($H$1784*100*F1279)),IF(F1279&gt;0,"% discounts",IF($H$1781&gt;0,"% discounts","% discount"))))))</f>
        <v/>
      </c>
      <c r="N1279" s="832"/>
      <c r="O1279" s="832"/>
      <c r="P1279" s="832"/>
      <c r="Q1279" s="832"/>
      <c r="R1279" s="832"/>
      <c r="S1279" s="303">
        <f t="shared" ref="S1279" si="3209">E1279*G1279</f>
        <v>0</v>
      </c>
      <c r="T1279" s="541">
        <f>VLOOKUP(A1279,'Discount Lookup'!D:E,2,FALSE)*G1279</f>
        <v>0</v>
      </c>
      <c r="U1279" s="83">
        <f>VLOOKUP(A1279,'Discount Lookup'!G:H,2,FALSE)*G1279</f>
        <v>0</v>
      </c>
      <c r="V1279" s="100">
        <f>E1279*($J$1782)*G1279</f>
        <v>0</v>
      </c>
      <c r="W1279" s="100">
        <f t="shared" ref="W1279" si="3210">I1279</f>
        <v>0</v>
      </c>
      <c r="X1279" s="100" t="b">
        <f>IF(G1279&gt;0,IF(AD1279="me","",G1279))</f>
        <v>0</v>
      </c>
      <c r="Y1279" s="201"/>
      <c r="Z1279" s="829" t="str">
        <f t="shared" ref="Z1279" si="3211">IF(G1279=0,"",IF(AD1279="me","",IF($AD$8="me","",IF(AD1279="free","warranty",IF($AD$8="yes","NVP planting:","to NVP install:")))))</f>
        <v/>
      </c>
      <c r="AA1279" s="829"/>
      <c r="AB1279" s="830" t="str">
        <f>IF(G1279=0,"",IF(AD1279="free","re-planting",IF(AD1279="me","not NVP, by",IF($AD$8="yes",(VLOOKUP(A1279,'Discount Lookup'!J:K,2)*G1279*(1-$AC$1786)*(1+$AC$1788)),IF(AD1279="NVP",(VLOOKUP(A1279,'Discount Lookup'!J:K,2)*G1279*(1-$AC$1786)*(1+$AC$1788)),IF(AD1279="free","re-planting",IF(G1279=0,"",IF($AD$8="",IF(AD1279="me","not NVP, by",IF(AD1279="",IF(G1279&gt;0,(VLOOKUP(A1279,'Discount Lookup'!J:K,2)*G1279*(1-$AC$1786)*(1+$AC$1788)),""),"")),"not NVP, by"))))))))</f>
        <v/>
      </c>
      <c r="AC1279" s="830"/>
      <c r="AD1279" s="375" t="str">
        <f t="shared" si="3205"/>
        <v/>
      </c>
      <c r="AE1279" s="833" t="str">
        <f t="shared" ref="AE1279" si="3212">IF(G1279&gt;0,(CONCATENATE((G1279)," quantity, ",(A1279)," ",B1279)),"")</f>
        <v/>
      </c>
      <c r="AF1279" s="833"/>
      <c r="AG1279" s="833"/>
      <c r="AH1279" s="91">
        <f>IF(AD1279="free",0,IF(AD1279="me",0,IF(G1279&gt;0,(VLOOKUP(A1279,'Discount Lookup'!J:K,2)*G1279),0)))</f>
        <v>0</v>
      </c>
      <c r="AI1279" s="92" t="str">
        <f t="shared" si="3118"/>
        <v/>
      </c>
      <c r="AJ1279" s="828" t="str">
        <f t="shared" ref="AJ1279" si="3213">IF(G1279=0,"",IF(AD1279="me","  delivery-only",IF($AD$8="me","  delivery-only",CONCATENATE(" $",ROUND(AI1279/G1279,2)," each"))))</f>
        <v/>
      </c>
      <c r="AK1279" s="828"/>
      <c r="AL1279" s="313" t="str">
        <f t="shared" si="3101"/>
        <v/>
      </c>
      <c r="AM1279" s="312"/>
      <c r="AN1279" s="101"/>
      <c r="AO1279" s="101"/>
      <c r="AP1279" s="101"/>
      <c r="AQ1279" s="101"/>
      <c r="AR1279" s="101"/>
      <c r="AS1279" s="101"/>
      <c r="AT1279" s="101"/>
    </row>
    <row r="1280" spans="1:46" ht="12.95" customHeight="1">
      <c r="A1280" s="383">
        <v>3</v>
      </c>
      <c r="B1280" s="158" t="s">
        <v>50</v>
      </c>
      <c r="C1280" s="168" t="s">
        <v>136</v>
      </c>
      <c r="D1280" s="161" t="s">
        <v>63</v>
      </c>
      <c r="E1280" s="162">
        <v>35.950000000000003</v>
      </c>
      <c r="F1280" s="713" t="s">
        <v>1306</v>
      </c>
      <c r="G1280" s="357">
        <v>0</v>
      </c>
      <c r="H1280" s="748" t="str">
        <f t="shared" ref="H1280" si="3214">IF(G1280=0,"",IF(F1280="Qty=",IF(G1280=1,"plant","plants"),IF(F1280&gt;0.0001,"warranty","Error")))</f>
        <v/>
      </c>
      <c r="I1280" s="592">
        <f t="shared" ref="I1280" si="3215">IF(F1280="Qty=",(E1280*G1280),((E1280*(1-F1280))*G1280))</f>
        <v>0</v>
      </c>
      <c r="J1280" s="592">
        <f>IF(H1280="warranty",0,(I1280*($J$1782)))</f>
        <v>0</v>
      </c>
      <c r="K1280" s="834">
        <f t="shared" si="3208"/>
        <v>0</v>
      </c>
      <c r="L1280" s="834"/>
      <c r="M1280" s="832" t="str">
        <f>IF($H$1784=0,"",IF(G1280=0,"",IF(F1280="Qty=",CONCATENATE("$",ROUND(K1280*(1-$H$1784),2)," with ",($H$1784*100),"% discount"),CONCATENATE("$",ROUND(K1280*(1-$H$1784),2)," with ",(($H$1784*100+F1280*100)-($H$1784*100*F1280)),IF(F1280&gt;0,"% discounts",IF($H$1781&gt;0,"% discounts","% discount"))))))</f>
        <v/>
      </c>
      <c r="N1280" s="832"/>
      <c r="O1280" s="832"/>
      <c r="P1280" s="832"/>
      <c r="Q1280" s="832"/>
      <c r="R1280" s="832"/>
      <c r="S1280" s="303">
        <f t="shared" ref="S1280" si="3216">E1280*G1280</f>
        <v>0</v>
      </c>
      <c r="T1280" s="541">
        <f>VLOOKUP(A1280,'Discount Lookup'!D:E,2,FALSE)*G1280</f>
        <v>0</v>
      </c>
      <c r="U1280" s="83">
        <f>VLOOKUP(A1280,'Discount Lookup'!G:H,2,FALSE)*G1280</f>
        <v>0</v>
      </c>
      <c r="V1280" s="100">
        <f>E1280*($J$1782)*G1280</f>
        <v>0</v>
      </c>
      <c r="W1280" s="100">
        <f t="shared" ref="W1280" si="3217">I1280</f>
        <v>0</v>
      </c>
      <c r="X1280" s="100" t="b">
        <f>IF(G1280&gt;0,IF(AD1280="me","",G1280))</f>
        <v>0</v>
      </c>
      <c r="Y1280" s="201"/>
      <c r="Z1280" s="829" t="str">
        <f t="shared" si="3193"/>
        <v/>
      </c>
      <c r="AA1280" s="829"/>
      <c r="AB1280" s="830" t="str">
        <f>IF(G1280=0,"",IF(AD1280="free","re-planting",IF(AD1280="me","not NVP, by",IF($AD$8="yes",(VLOOKUP(A1280,'Discount Lookup'!J:K,2)*G1280*(1-$AC$1786)*(1+$AC$1788)),IF(AD1280="NVP",(VLOOKUP(A1280,'Discount Lookup'!J:K,2)*G1280*(1-$AC$1786)*(1+$AC$1788)),IF(AD1280="free","re-planting",IF(G1280=0,"",IF($AD$8="",IF(AD1280="me","not NVP, by",IF(AD1280="",IF(G1280&gt;0,(VLOOKUP(A1280,'Discount Lookup'!J:K,2)*G1280*(1-$AC$1786)*(1+$AC$1788)),""),"")),"not NVP, by"))))))))</f>
        <v/>
      </c>
      <c r="AC1280" s="830"/>
      <c r="AD1280" s="375" t="str">
        <f t="shared" si="3205"/>
        <v/>
      </c>
      <c r="AE1280" s="833" t="str">
        <f t="shared" si="3150"/>
        <v/>
      </c>
      <c r="AF1280" s="833"/>
      <c r="AG1280" s="833"/>
      <c r="AH1280" s="91">
        <f>IF(AD1280="free",0,IF(AD1280="me",0,IF(G1280&gt;0,(VLOOKUP(A1280,'Discount Lookup'!J:K,2)*G1280),0)))</f>
        <v>0</v>
      </c>
      <c r="AI1280" s="92" t="str">
        <f t="shared" si="3118"/>
        <v/>
      </c>
      <c r="AJ1280" s="828" t="str">
        <f t="shared" si="3194"/>
        <v/>
      </c>
      <c r="AK1280" s="828"/>
      <c r="AL1280" s="313" t="str">
        <f t="shared" si="3101"/>
        <v/>
      </c>
      <c r="AM1280" s="312"/>
      <c r="AN1280" s="101"/>
      <c r="AO1280" s="101"/>
      <c r="AP1280" s="101"/>
      <c r="AQ1280" s="101"/>
      <c r="AR1280" s="101"/>
      <c r="AS1280" s="101"/>
      <c r="AT1280" s="101"/>
    </row>
    <row r="1281" spans="1:48" ht="12.95" customHeight="1">
      <c r="A1281" s="475"/>
      <c r="B1281" s="149" t="s">
        <v>708</v>
      </c>
      <c r="G1281" s="361"/>
      <c r="H1281" s="746"/>
      <c r="J1281" s="840"/>
      <c r="K1281" s="840"/>
      <c r="L1281" s="840"/>
      <c r="M1281" s="121"/>
      <c r="N1281" s="122" t="s">
        <v>336</v>
      </c>
      <c r="O1281" s="123"/>
      <c r="P1281" s="124"/>
      <c r="Q1281" s="124"/>
      <c r="R1281" s="83"/>
      <c r="S1281" s="82">
        <f>E1281*G1281</f>
        <v>0</v>
      </c>
      <c r="T1281" s="540"/>
      <c r="U1281" s="83"/>
      <c r="V1281" s="100" t="b">
        <f>IF(G1281&gt;0,IF(AD1281="me","",G1281))</f>
        <v>0</v>
      </c>
      <c r="W1281" s="100"/>
      <c r="X1281" s="100"/>
      <c r="Y1281" s="201"/>
      <c r="Z1281" s="829" t="str">
        <f t="shared" si="3193"/>
        <v/>
      </c>
      <c r="AA1281" s="829"/>
      <c r="AB1281" s="830" t="str">
        <f>IF(G1281=0,"",IF(AD1281="free","re-planting",IF(AD1281="me","not NVP, by",IF($AD$8="yes",(VLOOKUP(A1281,'Discount Lookup'!J:K,2)*G1281*(1-$AC$1786)*(1+$AC$1788)),IF(AD1281="NVP",(VLOOKUP(A1281,'Discount Lookup'!J:K,2)*G1281*(1-$AC$1786)*(1+$AC$1788)),IF(AD1281="free","re-planting",IF(G1281=0,"",IF($AD$8="",IF(AD1281="me","not NVP, by",IF(AD1281="",IF(G1281&gt;0,(VLOOKUP(A1281,'Discount Lookup'!J:K,2)*G1281*(1-$AC$1786)*(1+$AC$1788)),""),"")),"not NVP, by"))))))))</f>
        <v/>
      </c>
      <c r="AC1281" s="830"/>
      <c r="AD1281" s="375" t="str">
        <f t="shared" si="3205"/>
        <v/>
      </c>
      <c r="AE1281" s="833" t="str">
        <f t="shared" si="3150"/>
        <v/>
      </c>
      <c r="AF1281" s="833"/>
      <c r="AG1281" s="833"/>
      <c r="AH1281" s="91">
        <f>IF(AD1281="free",0,IF(AD1281="me",0,IF(G1281&gt;0,(VLOOKUP(A1281,'Discount Lookup'!J:K,2)*G1281),0)))</f>
        <v>0</v>
      </c>
      <c r="AI1281" s="92" t="str">
        <f t="shared" si="3118"/>
        <v/>
      </c>
      <c r="AJ1281" s="828" t="str">
        <f t="shared" si="3194"/>
        <v/>
      </c>
      <c r="AK1281" s="828"/>
      <c r="AL1281" s="313" t="str">
        <f t="shared" si="3101"/>
        <v/>
      </c>
      <c r="AM1281" s="312"/>
      <c r="AN1281" s="101"/>
      <c r="AO1281" s="101"/>
      <c r="AP1281" s="101"/>
      <c r="AQ1281" s="101"/>
      <c r="AR1281" s="101"/>
      <c r="AS1281" s="101"/>
      <c r="AT1281" s="101"/>
    </row>
    <row r="1282" spans="1:48" ht="12.95" customHeight="1">
      <c r="A1282" s="889" t="s">
        <v>709</v>
      </c>
      <c r="B1282" s="890"/>
      <c r="C1282" s="890"/>
      <c r="D1282" s="890"/>
      <c r="E1282" s="890"/>
      <c r="F1282" s="890"/>
      <c r="G1282" s="890"/>
      <c r="H1282" s="775" t="s">
        <v>621</v>
      </c>
      <c r="I1282" s="349" t="s">
        <v>280</v>
      </c>
      <c r="J1282" s="157"/>
      <c r="K1282" s="611" t="s">
        <v>45</v>
      </c>
      <c r="L1282" s="630" t="s">
        <v>46</v>
      </c>
      <c r="M1282" s="157"/>
      <c r="N1282" s="352" t="s">
        <v>75</v>
      </c>
      <c r="O1282" s="158"/>
      <c r="P1282" s="158"/>
      <c r="Q1282" s="158"/>
      <c r="R1282" s="157"/>
      <c r="S1282" s="170"/>
      <c r="T1282" s="547"/>
      <c r="U1282" s="171"/>
      <c r="V1282" s="100" t="b">
        <f>IF(G1282&gt;0,IF(AD1282="me","",G1282))</f>
        <v>0</v>
      </c>
      <c r="W1282" s="100"/>
      <c r="X1282" s="100"/>
      <c r="Y1282" s="201"/>
      <c r="Z1282" s="829" t="str">
        <f t="shared" si="3193"/>
        <v/>
      </c>
      <c r="AA1282" s="829"/>
      <c r="AB1282" s="830" t="str">
        <f>IF(G1282=0,"",IF(AD1282="free","re-planting",IF(AD1282="me","not NVP, by",IF($AD$8="yes",(VLOOKUP(A1282,'Discount Lookup'!J:K,2)*G1282*(1-$AC$1786)*(1+$AC$1788)),IF(AD1282="NVP",(VLOOKUP(A1282,'Discount Lookup'!J:K,2)*G1282*(1-$AC$1786)*(1+$AC$1788)),IF(AD1282="free","re-planting",IF(G1282=0,"",IF($AD$8="",IF(AD1282="me","not NVP, by",IF(AD1282="",IF(G1282&gt;0,(VLOOKUP(A1282,'Discount Lookup'!J:K,2)*G1282*(1-$AC$1786)*(1+$AC$1788)),""),"")),"not NVP, by"))))))))</f>
        <v/>
      </c>
      <c r="AC1282" s="830"/>
      <c r="AD1282" s="375" t="str">
        <f t="shared" si="3205"/>
        <v/>
      </c>
      <c r="AE1282" s="833" t="str">
        <f t="shared" si="3150"/>
        <v/>
      </c>
      <c r="AF1282" s="833"/>
      <c r="AG1282" s="833"/>
      <c r="AH1282" s="91">
        <f>IF(AD1282="free",0,IF(AD1282="me",0,IF(G1282&gt;0,(VLOOKUP(A1282,'Discount Lookup'!J:K,2)*G1282),0)))</f>
        <v>0</v>
      </c>
      <c r="AI1282" s="92" t="str">
        <f t="shared" si="3118"/>
        <v/>
      </c>
      <c r="AJ1282" s="828" t="str">
        <f t="shared" si="3194"/>
        <v/>
      </c>
      <c r="AK1282" s="828"/>
      <c r="AL1282" s="313" t="str">
        <f t="shared" si="3101"/>
        <v/>
      </c>
      <c r="AM1282" s="312"/>
      <c r="AN1282" s="101"/>
      <c r="AO1282" s="101"/>
      <c r="AP1282" s="101"/>
      <c r="AQ1282" s="101"/>
      <c r="AR1282" s="101"/>
      <c r="AS1282" s="101"/>
      <c r="AT1282" s="101"/>
    </row>
    <row r="1283" spans="1:48" ht="12.95" customHeight="1">
      <c r="A1283" s="383">
        <v>3</v>
      </c>
      <c r="B1283" s="158" t="s">
        <v>50</v>
      </c>
      <c r="C1283" s="168" t="s">
        <v>136</v>
      </c>
      <c r="D1283" s="161" t="s">
        <v>86</v>
      </c>
      <c r="E1283" s="162">
        <v>30.95</v>
      </c>
      <c r="F1283" s="713" t="s">
        <v>1306</v>
      </c>
      <c r="G1283" s="357">
        <v>0</v>
      </c>
      <c r="H1283" s="748" t="str">
        <f t="shared" ref="H1283:H1284" si="3218">IF(G1283=0,"",IF(F1283="Qty=",IF(G1283=1,"plant","plants"),IF(F1283&gt;0.0001,"warranty","Error")))</f>
        <v/>
      </c>
      <c r="I1283" s="592">
        <f t="shared" ref="I1283:I1284" si="3219">IF(F1283="Qty=",(E1283*G1283),((E1283*(1-F1283))*G1283))</f>
        <v>0</v>
      </c>
      <c r="J1283" s="592">
        <f>IF(H1283="warranty",0,(I1283*($J$1782)))</f>
        <v>0</v>
      </c>
      <c r="K1283" s="834">
        <f t="shared" ref="K1283:K1284" si="3220">I1283+J1283</f>
        <v>0</v>
      </c>
      <c r="L1283" s="834"/>
      <c r="M1283" s="832" t="str">
        <f>IF($H$1784=0,"",IF(G1283=0,"",IF(F1283="Qty=",CONCATENATE("$",ROUND(K1283*(1-$H$1784),2)," with ",($H$1784*100),"% discount"),CONCATENATE("$",ROUND(K1283*(1-$H$1784),2)," with ",(($H$1784*100+F1283*100)-($H$1784*100*F1283)),IF(F1283&gt;0,"% discounts",IF($H$1781&gt;0,"% discounts","% discount"))))))</f>
        <v/>
      </c>
      <c r="N1283" s="832"/>
      <c r="O1283" s="832"/>
      <c r="P1283" s="832"/>
      <c r="Q1283" s="832"/>
      <c r="R1283" s="832"/>
      <c r="S1283" s="303">
        <f t="shared" ref="S1283:S1284" si="3221">E1283*G1283</f>
        <v>0</v>
      </c>
      <c r="T1283" s="541">
        <f>VLOOKUP(A1283,'Discount Lookup'!D:E,2,FALSE)*G1283</f>
        <v>0</v>
      </c>
      <c r="U1283" s="83">
        <f>VLOOKUP(A1283,'Discount Lookup'!G:H,2,FALSE)*G1283</f>
        <v>0</v>
      </c>
      <c r="V1283" s="100">
        <f>E1283*($J$1782)*G1283</f>
        <v>0</v>
      </c>
      <c r="W1283" s="100">
        <f t="shared" ref="W1283:W1284" si="3222">I1283</f>
        <v>0</v>
      </c>
      <c r="X1283" s="100" t="b">
        <f>IF(G1283&gt;0,IF(AD1283="me","",G1283))</f>
        <v>0</v>
      </c>
      <c r="Y1283" s="201"/>
      <c r="Z1283" s="829" t="str">
        <f t="shared" si="3193"/>
        <v/>
      </c>
      <c r="AA1283" s="829"/>
      <c r="AB1283" s="830" t="str">
        <f>IF(G1283=0,"",IF(AD1283="free","re-planting",IF(AD1283="me","not NVP, by",IF($AD$8="yes",(VLOOKUP(A1283,'Discount Lookup'!J:K,2)*G1283*(1-$AC$1786)*(1+$AC$1788)),IF(AD1283="NVP",(VLOOKUP(A1283,'Discount Lookup'!J:K,2)*G1283*(1-$AC$1786)*(1+$AC$1788)),IF(AD1283="free","re-planting",IF(G1283=0,"",IF($AD$8="",IF(AD1283="me","not NVP, by",IF(AD1283="",IF(G1283&gt;0,(VLOOKUP(A1283,'Discount Lookup'!J:K,2)*G1283*(1-$AC$1786)*(1+$AC$1788)),""),"")),"not NVP, by"))))))))</f>
        <v/>
      </c>
      <c r="AC1283" s="830"/>
      <c r="AD1283" s="375" t="str">
        <f t="shared" si="3205"/>
        <v/>
      </c>
      <c r="AE1283" s="833" t="str">
        <f t="shared" si="3150"/>
        <v/>
      </c>
      <c r="AF1283" s="833"/>
      <c r="AG1283" s="833"/>
      <c r="AH1283" s="91">
        <f>IF(AD1283="free",0,IF(AD1283="me",0,IF(G1283&gt;0,(VLOOKUP(A1283,'Discount Lookup'!J:K,2)*G1283),0)))</f>
        <v>0</v>
      </c>
      <c r="AI1283" s="92" t="str">
        <f t="shared" si="3118"/>
        <v/>
      </c>
      <c r="AJ1283" s="828" t="str">
        <f t="shared" si="3194"/>
        <v/>
      </c>
      <c r="AK1283" s="828"/>
      <c r="AL1283" s="313" t="str">
        <f t="shared" si="3101"/>
        <v/>
      </c>
      <c r="AM1283" s="312"/>
      <c r="AN1283" s="101"/>
      <c r="AO1283" s="101"/>
      <c r="AP1283" s="101"/>
      <c r="AQ1283" s="101"/>
      <c r="AR1283" s="101"/>
      <c r="AS1283" s="101"/>
      <c r="AT1283" s="101"/>
    </row>
    <row r="1284" spans="1:48" ht="12.95" customHeight="1">
      <c r="A1284" s="383">
        <v>3</v>
      </c>
      <c r="B1284" s="158" t="s">
        <v>50</v>
      </c>
      <c r="C1284" s="168" t="s">
        <v>136</v>
      </c>
      <c r="D1284" s="161" t="s">
        <v>87</v>
      </c>
      <c r="E1284" s="162">
        <v>31.95</v>
      </c>
      <c r="F1284" s="713" t="s">
        <v>1306</v>
      </c>
      <c r="G1284" s="357">
        <v>0</v>
      </c>
      <c r="H1284" s="748" t="str">
        <f t="shared" si="3218"/>
        <v/>
      </c>
      <c r="I1284" s="592">
        <f t="shared" si="3219"/>
        <v>0</v>
      </c>
      <c r="J1284" s="592">
        <f>IF(H1284="warranty",0,(I1284*($J$1782)))</f>
        <v>0</v>
      </c>
      <c r="K1284" s="834">
        <f t="shared" si="3220"/>
        <v>0</v>
      </c>
      <c r="L1284" s="834"/>
      <c r="M1284" s="832" t="str">
        <f>IF($H$1784=0,"",IF(G1284=0,"",IF(F1284="Qty=",CONCATENATE("$",ROUND(K1284*(1-$H$1784),2)," with ",($H$1784*100),"% discount"),CONCATENATE("$",ROUND(K1284*(1-$H$1784),2)," with ",(($H$1784*100+F1284*100)-($H$1784*100*F1284)),IF(F1284&gt;0,"% discounts",IF($H$1781&gt;0,"% discounts","% discount"))))))</f>
        <v/>
      </c>
      <c r="N1284" s="832"/>
      <c r="O1284" s="832"/>
      <c r="P1284" s="832"/>
      <c r="Q1284" s="832"/>
      <c r="R1284" s="832"/>
      <c r="S1284" s="303">
        <f t="shared" si="3221"/>
        <v>0</v>
      </c>
      <c r="T1284" s="541">
        <f>VLOOKUP(A1284,'Discount Lookup'!D:E,2,FALSE)*G1284</f>
        <v>0</v>
      </c>
      <c r="U1284" s="83">
        <f>VLOOKUP(A1284,'Discount Lookup'!G:H,2,FALSE)*G1284</f>
        <v>0</v>
      </c>
      <c r="V1284" s="100">
        <f>E1284*($J$1782)*G1284</f>
        <v>0</v>
      </c>
      <c r="W1284" s="100">
        <f t="shared" si="3222"/>
        <v>0</v>
      </c>
      <c r="X1284" s="100" t="b">
        <f>IF(G1284&gt;0,IF(AD1284="me","",G1284))</f>
        <v>0</v>
      </c>
      <c r="Y1284" s="201"/>
      <c r="Z1284" s="829" t="str">
        <f t="shared" si="3193"/>
        <v/>
      </c>
      <c r="AA1284" s="829"/>
      <c r="AB1284" s="830" t="str">
        <f>IF(G1284=0,"",IF(AD1284="free","re-planting",IF(AD1284="me","not NVP, by",IF($AD$8="yes",(VLOOKUP(A1284,'Discount Lookup'!J:K,2)*G1284*(1-$AC$1786)*(1+$AC$1788)),IF(AD1284="NVP",(VLOOKUP(A1284,'Discount Lookup'!J:K,2)*G1284*(1-$AC$1786)*(1+$AC$1788)),IF(AD1284="free","re-planting",IF(G1284=0,"",IF($AD$8="",IF(AD1284="me","not NVP, by",IF(AD1284="",IF(G1284&gt;0,(VLOOKUP(A1284,'Discount Lookup'!J:K,2)*G1284*(1-$AC$1786)*(1+$AC$1788)),""),"")),"not NVP, by"))))))))</f>
        <v/>
      </c>
      <c r="AC1284" s="830"/>
      <c r="AD1284" s="375" t="str">
        <f t="shared" si="3205"/>
        <v/>
      </c>
      <c r="AE1284" s="833" t="str">
        <f t="shared" ref="AE1284" si="3223">IF(G1284&gt;0,(CONCATENATE((G1284)," quantity, ",(A1284)," ",B1284)),"")</f>
        <v/>
      </c>
      <c r="AF1284" s="833"/>
      <c r="AG1284" s="833"/>
      <c r="AH1284" s="91">
        <f>IF(AD1284="free",0,IF(AD1284="me",0,IF(G1284&gt;0,(VLOOKUP(A1284,'Discount Lookup'!J:K,2)*G1284),0)))</f>
        <v>0</v>
      </c>
      <c r="AI1284" s="92" t="str">
        <f t="shared" si="3118"/>
        <v/>
      </c>
      <c r="AJ1284" s="828" t="str">
        <f t="shared" si="3194"/>
        <v/>
      </c>
      <c r="AK1284" s="828"/>
      <c r="AL1284" s="313" t="str">
        <f t="shared" si="3101"/>
        <v/>
      </c>
      <c r="AM1284" s="312"/>
      <c r="AN1284" s="101"/>
      <c r="AO1284" s="101"/>
      <c r="AP1284" s="101"/>
      <c r="AQ1284" s="101"/>
      <c r="AR1284" s="101"/>
      <c r="AS1284" s="101"/>
      <c r="AT1284" s="101"/>
    </row>
    <row r="1285" spans="1:48" ht="12.95" customHeight="1">
      <c r="A1285" s="477"/>
      <c r="B1285" s="149" t="s">
        <v>710</v>
      </c>
      <c r="C1285" s="117"/>
      <c r="D1285" s="118"/>
      <c r="E1285" s="119"/>
      <c r="F1285" s="711"/>
      <c r="G1285" s="356"/>
      <c r="H1285" s="745"/>
      <c r="I1285" s="119"/>
      <c r="J1285" s="119"/>
      <c r="K1285" s="609"/>
      <c r="L1285" s="609"/>
      <c r="M1285" s="121"/>
      <c r="N1285" s="122" t="s">
        <v>336</v>
      </c>
      <c r="O1285" s="123"/>
      <c r="P1285" s="124"/>
      <c r="Q1285" s="124"/>
      <c r="R1285" s="83"/>
      <c r="S1285" s="82">
        <f>E1285*G1285</f>
        <v>0</v>
      </c>
      <c r="T1285" s="540"/>
      <c r="U1285" s="83"/>
      <c r="V1285" s="100" t="b">
        <f>IF(G1285&gt;0,IF(AD1285="me","",G1285))</f>
        <v>0</v>
      </c>
      <c r="W1285" s="100"/>
      <c r="X1285" s="100"/>
      <c r="Y1285" s="201"/>
      <c r="Z1285" s="829" t="str">
        <f t="shared" si="3193"/>
        <v/>
      </c>
      <c r="AA1285" s="829"/>
      <c r="AB1285" s="830" t="str">
        <f>IF(G1285=0,"",IF(AD1285="free","re-planting",IF(AD1285="me","not NVP, by",IF($AD$8="yes",(VLOOKUP(A1285,'Discount Lookup'!J:K,2)*G1285*(1-$AC$1786)*(1+$AC$1788)),IF(AD1285="NVP",(VLOOKUP(A1285,'Discount Lookup'!J:K,2)*G1285*(1-$AC$1786)*(1+$AC$1788)),IF(AD1285="free","re-planting",IF(G1285=0,"",IF($AD$8="",IF(AD1285="me","not NVP, by",IF(AD1285="",IF(G1285&gt;0,(VLOOKUP(A1285,'Discount Lookup'!J:K,2)*G1285*(1-$AC$1786)*(1+$AC$1788)),""),"")),"not NVP, by"))))))))</f>
        <v/>
      </c>
      <c r="AC1285" s="830"/>
      <c r="AD1285" s="375" t="str">
        <f t="shared" si="3205"/>
        <v/>
      </c>
      <c r="AE1285" s="833" t="str">
        <f t="shared" si="3150"/>
        <v/>
      </c>
      <c r="AF1285" s="833"/>
      <c r="AG1285" s="833"/>
      <c r="AH1285" s="91">
        <f>IF(AD1285="free",0,IF(AD1285="me",0,IF(G1285&gt;0,(VLOOKUP(A1285,'Discount Lookup'!J:K,2)*G1285),0)))</f>
        <v>0</v>
      </c>
      <c r="AI1285" s="92" t="str">
        <f t="shared" si="3118"/>
        <v/>
      </c>
      <c r="AJ1285" s="828" t="str">
        <f t="shared" si="3194"/>
        <v/>
      </c>
      <c r="AK1285" s="828"/>
      <c r="AL1285" s="313" t="str">
        <f t="shared" si="3101"/>
        <v/>
      </c>
      <c r="AM1285" s="312"/>
      <c r="AN1285" s="101"/>
      <c r="AO1285" s="101"/>
      <c r="AP1285" s="101"/>
      <c r="AQ1285" s="101"/>
      <c r="AR1285" s="101"/>
      <c r="AS1285" s="101"/>
      <c r="AT1285" s="101"/>
    </row>
    <row r="1286" spans="1:48" ht="12.95" customHeight="1">
      <c r="A1286" s="889" t="s">
        <v>711</v>
      </c>
      <c r="B1286" s="890"/>
      <c r="C1286" s="890"/>
      <c r="D1286" s="890"/>
      <c r="E1286" s="890"/>
      <c r="F1286" s="890"/>
      <c r="G1286" s="890"/>
      <c r="H1286" s="775" t="s">
        <v>621</v>
      </c>
      <c r="I1286" s="349" t="s">
        <v>280</v>
      </c>
      <c r="J1286" s="157"/>
      <c r="K1286" s="611" t="s">
        <v>45</v>
      </c>
      <c r="L1286" s="630" t="s">
        <v>46</v>
      </c>
      <c r="M1286" s="157"/>
      <c r="N1286" s="352" t="s">
        <v>75</v>
      </c>
      <c r="O1286" s="158"/>
      <c r="P1286" s="158"/>
      <c r="Q1286" s="158"/>
      <c r="R1286" s="157"/>
      <c r="S1286" s="170"/>
      <c r="T1286" s="547"/>
      <c r="U1286" s="171"/>
      <c r="V1286" s="100" t="b">
        <f>IF(G1286&gt;0,IF(AD1286="me","",G1286))</f>
        <v>0</v>
      </c>
      <c r="W1286" s="100"/>
      <c r="X1286" s="100"/>
      <c r="Y1286" s="201"/>
      <c r="Z1286" s="829" t="str">
        <f t="shared" si="3193"/>
        <v/>
      </c>
      <c r="AA1286" s="829"/>
      <c r="AB1286" s="830" t="str">
        <f>IF(G1286=0,"",IF(AD1286="free","re-planting",IF(AD1286="me","not NVP, by",IF($AD$8="yes",(VLOOKUP(A1286,'Discount Lookup'!J:K,2)*G1286*(1-$AC$1786)*(1+$AC$1788)),IF(AD1286="NVP",(VLOOKUP(A1286,'Discount Lookup'!J:K,2)*G1286*(1-$AC$1786)*(1+$AC$1788)),IF(AD1286="free","re-planting",IF(G1286=0,"",IF($AD$8="",IF(AD1286="me","not NVP, by",IF(AD1286="",IF(G1286&gt;0,(VLOOKUP(A1286,'Discount Lookup'!J:K,2)*G1286*(1-$AC$1786)*(1+$AC$1788)),""),"")),"not NVP, by"))))))))</f>
        <v/>
      </c>
      <c r="AC1286" s="830"/>
      <c r="AD1286" s="375" t="str">
        <f t="shared" si="3205"/>
        <v/>
      </c>
      <c r="AE1286" s="833" t="str">
        <f t="shared" si="3150"/>
        <v/>
      </c>
      <c r="AF1286" s="833"/>
      <c r="AG1286" s="833"/>
      <c r="AH1286" s="91">
        <f>IF(AD1286="free",0,IF(AD1286="me",0,IF(G1286&gt;0,(VLOOKUP(A1286,'Discount Lookup'!J:K,2)*G1286),0)))</f>
        <v>0</v>
      </c>
      <c r="AI1286" s="92" t="str">
        <f t="shared" si="3118"/>
        <v/>
      </c>
      <c r="AJ1286" s="828" t="str">
        <f t="shared" si="3194"/>
        <v/>
      </c>
      <c r="AK1286" s="828"/>
      <c r="AL1286" s="313" t="str">
        <f t="shared" si="3101"/>
        <v/>
      </c>
      <c r="AM1286" s="312"/>
      <c r="AN1286" s="101"/>
      <c r="AO1286" s="101"/>
      <c r="AP1286" s="101"/>
      <c r="AQ1286" s="101"/>
      <c r="AR1286" s="101"/>
      <c r="AS1286" s="101"/>
      <c r="AT1286" s="101"/>
    </row>
    <row r="1287" spans="1:48" ht="12.95" customHeight="1">
      <c r="A1287" s="383">
        <v>3</v>
      </c>
      <c r="B1287" s="158" t="s">
        <v>50</v>
      </c>
      <c r="C1287" s="168" t="s">
        <v>136</v>
      </c>
      <c r="D1287" s="161" t="s">
        <v>86</v>
      </c>
      <c r="E1287" s="162">
        <v>30.95</v>
      </c>
      <c r="F1287" s="713" t="s">
        <v>1306</v>
      </c>
      <c r="G1287" s="357">
        <v>0</v>
      </c>
      <c r="H1287" s="748" t="str">
        <f t="shared" ref="H1287" si="3224">IF(G1287=0,"",IF(F1287="Qty=",IF(G1287=1,"plant","plants"),IF(F1287&gt;0.0001,"warranty","Error")))</f>
        <v/>
      </c>
      <c r="I1287" s="592">
        <f t="shared" ref="I1287" si="3225">IF(F1287="Qty=",(E1287*G1287),((E1287*(1-F1287))*G1287))</f>
        <v>0</v>
      </c>
      <c r="J1287" s="592">
        <f>IF(H1287="warranty",0,(I1287*($J$1782)))</f>
        <v>0</v>
      </c>
      <c r="K1287" s="834">
        <f t="shared" ref="K1287:K1288" si="3226">I1287+J1287</f>
        <v>0</v>
      </c>
      <c r="L1287" s="834"/>
      <c r="M1287" s="832" t="str">
        <f>IF($H$1784=0,"",IF(G1287=0,"",IF(F1287="Qty=",CONCATENATE("$",ROUND(K1287*(1-$H$1784),2)," with ",($H$1784*100),"% discount"),CONCATENATE("$",ROUND(K1287*(1-$H$1784),2)," with ",(($H$1784*100+F1287*100)-($H$1784*100*F1287)),IF(F1287&gt;0,"% discounts",IF($H$1781&gt;0,"% discounts","% discount"))))))</f>
        <v/>
      </c>
      <c r="N1287" s="832"/>
      <c r="O1287" s="832"/>
      <c r="P1287" s="832"/>
      <c r="Q1287" s="832"/>
      <c r="R1287" s="832"/>
      <c r="S1287" s="303">
        <f t="shared" ref="S1287" si="3227">E1287*G1287</f>
        <v>0</v>
      </c>
      <c r="T1287" s="541">
        <f>VLOOKUP(A1287,'Discount Lookup'!D:E,2,FALSE)*G1287</f>
        <v>0</v>
      </c>
      <c r="U1287" s="83">
        <f>VLOOKUP(A1287,'Discount Lookup'!G:H,2,FALSE)*G1287</f>
        <v>0</v>
      </c>
      <c r="V1287" s="100">
        <f>E1287*($J$1782)*G1287</f>
        <v>0</v>
      </c>
      <c r="W1287" s="100">
        <f t="shared" ref="W1287" si="3228">I1287</f>
        <v>0</v>
      </c>
      <c r="X1287" s="100" t="b">
        <f>IF(G1287&gt;0,IF(AD1287="me","",G1287))</f>
        <v>0</v>
      </c>
      <c r="Y1287" s="201"/>
      <c r="Z1287" s="829" t="str">
        <f t="shared" ref="Z1287" si="3229">IF(G1287=0,"",IF(AD1287="me","",IF($AD$8="me","",IF(AD1287="free","warranty",IF($AD$8="yes","NVP planting:","to NVP install:")))))</f>
        <v/>
      </c>
      <c r="AA1287" s="829"/>
      <c r="AB1287" s="830" t="str">
        <f>IF(G1287=0,"",IF(AD1287="free","re-planting",IF(AD1287="me","not NVP, by",IF($AD$8="yes",(VLOOKUP(A1287,'Discount Lookup'!J:K,2)*G1287*(1-$AC$1786)*(1+$AC$1788)),IF(AD1287="NVP",(VLOOKUP(A1287,'Discount Lookup'!J:K,2)*G1287*(1-$AC$1786)*(1+$AC$1788)),IF(AD1287="free","re-planting",IF(G1287=0,"",IF($AD$8="",IF(AD1287="me","not NVP, by",IF(AD1287="",IF(G1287&gt;0,(VLOOKUP(A1287,'Discount Lookup'!J:K,2)*G1287*(1-$AC$1786)*(1+$AC$1788)),""),"")),"not NVP, by"))))))))</f>
        <v/>
      </c>
      <c r="AC1287" s="830"/>
      <c r="AD1287" s="375" t="str">
        <f t="shared" si="3205"/>
        <v/>
      </c>
      <c r="AE1287" s="833" t="str">
        <f t="shared" ref="AE1287" si="3230">IF(G1287&gt;0,(CONCATENATE((G1287)," quantity, ",(A1287)," ",B1287)),"")</f>
        <v/>
      </c>
      <c r="AF1287" s="833"/>
      <c r="AG1287" s="833"/>
      <c r="AH1287" s="91">
        <f>IF(AD1287="free",0,IF(AD1287="me",0,IF(G1287&gt;0,(VLOOKUP(A1287,'Discount Lookup'!J:K,2)*G1287),0)))</f>
        <v>0</v>
      </c>
      <c r="AI1287" s="92" t="str">
        <f t="shared" si="3118"/>
        <v/>
      </c>
      <c r="AJ1287" s="828" t="str">
        <f t="shared" ref="AJ1287" si="3231">IF(G1287=0,"",IF(AD1287="me","  delivery-only",IF($AD$8="me","  delivery-only",CONCATENATE(" $",ROUND(AI1287/G1287,2)," each"))))</f>
        <v/>
      </c>
      <c r="AK1287" s="828"/>
      <c r="AL1287" s="313" t="str">
        <f t="shared" si="3101"/>
        <v/>
      </c>
      <c r="AM1287" s="312"/>
      <c r="AN1287" s="101"/>
      <c r="AO1287" s="101"/>
      <c r="AP1287" s="101"/>
      <c r="AQ1287" s="101"/>
      <c r="AR1287" s="101"/>
      <c r="AS1287" s="101"/>
      <c r="AT1287" s="101"/>
    </row>
    <row r="1288" spans="1:48" ht="12.95" customHeight="1">
      <c r="A1288" s="383">
        <v>3</v>
      </c>
      <c r="B1288" s="158" t="s">
        <v>50</v>
      </c>
      <c r="C1288" s="168" t="s">
        <v>136</v>
      </c>
      <c r="D1288" s="161" t="s">
        <v>87</v>
      </c>
      <c r="E1288" s="162">
        <v>31.95</v>
      </c>
      <c r="F1288" s="713" t="s">
        <v>1306</v>
      </c>
      <c r="G1288" s="357">
        <v>0</v>
      </c>
      <c r="H1288" s="748" t="str">
        <f t="shared" ref="H1288" si="3232">IF(G1288=0,"",IF(F1288="Qty=",IF(G1288=1,"plant","plants"),IF(F1288&gt;0.0001,"warranty","Error")))</f>
        <v/>
      </c>
      <c r="I1288" s="592">
        <f t="shared" ref="I1288" si="3233">IF(F1288="Qty=",(E1288*G1288),((E1288*(1-F1288))*G1288))</f>
        <v>0</v>
      </c>
      <c r="J1288" s="592">
        <f>IF(H1288="warranty",0,(I1288*($J$1782)))</f>
        <v>0</v>
      </c>
      <c r="K1288" s="834">
        <f t="shared" si="3226"/>
        <v>0</v>
      </c>
      <c r="L1288" s="834"/>
      <c r="M1288" s="832" t="str">
        <f>IF($H$1784=0,"",IF(G1288=0,"",IF(F1288="Qty=",CONCATENATE("$",ROUND(K1288*(1-$H$1784),2)," with ",($H$1784*100),"% discount"),CONCATENATE("$",ROUND(K1288*(1-$H$1784),2)," with ",(($H$1784*100+F1288*100)-($H$1784*100*F1288)),IF(F1288&gt;0,"% discounts",IF($H$1781&gt;0,"% discounts","% discount"))))))</f>
        <v/>
      </c>
      <c r="N1288" s="832"/>
      <c r="O1288" s="832"/>
      <c r="P1288" s="832"/>
      <c r="Q1288" s="832"/>
      <c r="R1288" s="832"/>
      <c r="S1288" s="303">
        <f t="shared" ref="S1288" si="3234">E1288*G1288</f>
        <v>0</v>
      </c>
      <c r="T1288" s="541">
        <f>VLOOKUP(A1288,'Discount Lookup'!D:E,2,FALSE)*G1288</f>
        <v>0</v>
      </c>
      <c r="U1288" s="83">
        <f>VLOOKUP(A1288,'Discount Lookup'!G:H,2,FALSE)*G1288</f>
        <v>0</v>
      </c>
      <c r="V1288" s="100">
        <f>E1288*($J$1782)*G1288</f>
        <v>0</v>
      </c>
      <c r="W1288" s="100">
        <f t="shared" ref="W1288" si="3235">I1288</f>
        <v>0</v>
      </c>
      <c r="X1288" s="100" t="b">
        <f>IF(G1288&gt;0,IF(AD1288="me","",G1288))</f>
        <v>0</v>
      </c>
      <c r="Y1288" s="201"/>
      <c r="Z1288" s="829" t="str">
        <f t="shared" si="3193"/>
        <v/>
      </c>
      <c r="AA1288" s="829"/>
      <c r="AB1288" s="830" t="str">
        <f>IF(G1288=0,"",IF(AD1288="free","re-planting",IF(AD1288="me","not NVP, by",IF($AD$8="yes",(VLOOKUP(A1288,'Discount Lookup'!J:K,2)*G1288*(1-$AC$1786)*(1+$AC$1788)),IF(AD1288="NVP",(VLOOKUP(A1288,'Discount Lookup'!J:K,2)*G1288*(1-$AC$1786)*(1+$AC$1788)),IF(AD1288="free","re-planting",IF(G1288=0,"",IF($AD$8="",IF(AD1288="me","not NVP, by",IF(AD1288="",IF(G1288&gt;0,(VLOOKUP(A1288,'Discount Lookup'!J:K,2)*G1288*(1-$AC$1786)*(1+$AC$1788)),""),"")),"not NVP, by"))))))))</f>
        <v/>
      </c>
      <c r="AC1288" s="830"/>
      <c r="AD1288" s="375" t="str">
        <f t="shared" si="3205"/>
        <v/>
      </c>
      <c r="AE1288" s="833" t="str">
        <f t="shared" si="3150"/>
        <v/>
      </c>
      <c r="AF1288" s="833"/>
      <c r="AG1288" s="833"/>
      <c r="AH1288" s="91">
        <f>IF(AD1288="free",0,IF(AD1288="me",0,IF(G1288&gt;0,(VLOOKUP(A1288,'Discount Lookup'!J:K,2)*G1288),0)))</f>
        <v>0</v>
      </c>
      <c r="AI1288" s="92" t="str">
        <f t="shared" si="3118"/>
        <v/>
      </c>
      <c r="AJ1288" s="828" t="str">
        <f t="shared" si="3194"/>
        <v/>
      </c>
      <c r="AK1288" s="828"/>
      <c r="AL1288" s="313" t="str">
        <f t="shared" si="3101"/>
        <v/>
      </c>
      <c r="AM1288" s="312"/>
      <c r="AN1288" s="101"/>
      <c r="AO1288" s="101"/>
      <c r="AP1288" s="101"/>
      <c r="AQ1288" s="101"/>
      <c r="AR1288" s="101"/>
      <c r="AS1288" s="101"/>
      <c r="AT1288" s="101"/>
    </row>
    <row r="1289" spans="1:48" ht="12.95" customHeight="1">
      <c r="A1289" s="477"/>
      <c r="B1289" s="149" t="s">
        <v>712</v>
      </c>
      <c r="C1289" s="117"/>
      <c r="D1289" s="118"/>
      <c r="E1289" s="119"/>
      <c r="F1289" s="711"/>
      <c r="G1289" s="356"/>
      <c r="H1289" s="745"/>
      <c r="I1289" s="119"/>
      <c r="J1289" s="119"/>
      <c r="K1289" s="609"/>
      <c r="L1289" s="609"/>
      <c r="M1289" s="121"/>
      <c r="N1289" s="122" t="s">
        <v>336</v>
      </c>
      <c r="O1289" s="123"/>
      <c r="P1289" s="124"/>
      <c r="Q1289" s="124"/>
      <c r="R1289" s="83"/>
      <c r="S1289" s="82">
        <f>E1289*G1289</f>
        <v>0</v>
      </c>
      <c r="T1289" s="540"/>
      <c r="U1289" s="83"/>
      <c r="V1289" s="100" t="b">
        <f>IF(G1289&gt;0,IF(AD1289="me","",G1289))</f>
        <v>0</v>
      </c>
      <c r="W1289" s="100"/>
      <c r="X1289" s="100"/>
      <c r="Y1289" s="201"/>
      <c r="Z1289" s="829" t="str">
        <f t="shared" si="3193"/>
        <v/>
      </c>
      <c r="AA1289" s="829"/>
      <c r="AB1289" s="830" t="str">
        <f>IF(G1289=0,"",IF(AD1289="free","re-planting",IF(AD1289="me","not NVP, by",IF($AD$8="yes",(VLOOKUP(A1289,'Discount Lookup'!J:K,2)*G1289*(1-$AC$1786)*(1+$AC$1788)),IF(AD1289="NVP",(VLOOKUP(A1289,'Discount Lookup'!J:K,2)*G1289*(1-$AC$1786)*(1+$AC$1788)),IF(AD1289="free","re-planting",IF(G1289=0,"",IF($AD$8="",IF(AD1289="me","not NVP, by",IF(AD1289="",IF(G1289&gt;0,(VLOOKUP(A1289,'Discount Lookup'!J:K,2)*G1289*(1-$AC$1786)*(1+$AC$1788)),""),"")),"not NVP, by"))))))))</f>
        <v/>
      </c>
      <c r="AC1289" s="830"/>
      <c r="AD1289" s="375" t="str">
        <f t="shared" si="3205"/>
        <v/>
      </c>
      <c r="AE1289" s="833" t="str">
        <f t="shared" si="3150"/>
        <v/>
      </c>
      <c r="AF1289" s="833"/>
      <c r="AG1289" s="833"/>
      <c r="AH1289" s="91">
        <f>IF(AD1289="free",0,IF(AD1289="me",0,IF(G1289&gt;0,(VLOOKUP(A1289,'Discount Lookup'!J:K,2)*G1289),0)))</f>
        <v>0</v>
      </c>
      <c r="AI1289" s="92" t="str">
        <f t="shared" si="3118"/>
        <v/>
      </c>
      <c r="AJ1289" s="828" t="str">
        <f t="shared" si="3194"/>
        <v/>
      </c>
      <c r="AK1289" s="828"/>
      <c r="AL1289" s="313" t="str">
        <f t="shared" si="3101"/>
        <v/>
      </c>
      <c r="AM1289" s="312"/>
      <c r="AN1289" s="101"/>
      <c r="AO1289" s="101"/>
      <c r="AP1289" s="101"/>
      <c r="AQ1289" s="101"/>
      <c r="AR1289" s="101"/>
      <c r="AS1289" s="101"/>
      <c r="AT1289" s="101"/>
    </row>
    <row r="1290" spans="1:48" ht="12.95" customHeight="1">
      <c r="A1290" s="889" t="s">
        <v>713</v>
      </c>
      <c r="B1290" s="890"/>
      <c r="C1290" s="890"/>
      <c r="D1290" s="890"/>
      <c r="E1290" s="890"/>
      <c r="F1290" s="890"/>
      <c r="G1290" s="890"/>
      <c r="H1290" s="775" t="s">
        <v>621</v>
      </c>
      <c r="I1290" s="349" t="s">
        <v>280</v>
      </c>
      <c r="J1290" s="157"/>
      <c r="K1290" s="611" t="s">
        <v>45</v>
      </c>
      <c r="L1290" s="630" t="s">
        <v>46</v>
      </c>
      <c r="M1290" s="157"/>
      <c r="N1290" s="352" t="s">
        <v>75</v>
      </c>
      <c r="O1290" s="158"/>
      <c r="P1290" s="158"/>
      <c r="Q1290" s="158"/>
      <c r="R1290" s="157"/>
      <c r="S1290" s="170"/>
      <c r="T1290" s="547"/>
      <c r="U1290" s="171"/>
      <c r="V1290" s="100" t="b">
        <f>IF(G1290&gt;0,IF(AD1290="me","",G1290))</f>
        <v>0</v>
      </c>
      <c r="W1290" s="100"/>
      <c r="X1290" s="100"/>
      <c r="Y1290" s="201"/>
      <c r="Z1290" s="829" t="str">
        <f t="shared" si="3193"/>
        <v/>
      </c>
      <c r="AA1290" s="829"/>
      <c r="AB1290" s="830" t="str">
        <f>IF(G1290=0,"",IF(AD1290="free","re-planting",IF(AD1290="me","not NVP, by",IF($AD$8="yes",(VLOOKUP(A1290,'Discount Lookup'!J:K,2)*G1290*(1-$AC$1786)*(1+$AC$1788)),IF(AD1290="NVP",(VLOOKUP(A1290,'Discount Lookup'!J:K,2)*G1290*(1-$AC$1786)*(1+$AC$1788)),IF(AD1290="free","re-planting",IF(G1290=0,"",IF($AD$8="",IF(AD1290="me","not NVP, by",IF(AD1290="",IF(G1290&gt;0,(VLOOKUP(A1290,'Discount Lookup'!J:K,2)*G1290*(1-$AC$1786)*(1+$AC$1788)),""),"")),"not NVP, by"))))))))</f>
        <v/>
      </c>
      <c r="AC1290" s="830"/>
      <c r="AD1290" s="375" t="str">
        <f t="shared" si="3205"/>
        <v/>
      </c>
      <c r="AE1290" s="833" t="str">
        <f t="shared" si="3150"/>
        <v/>
      </c>
      <c r="AF1290" s="833"/>
      <c r="AG1290" s="833"/>
      <c r="AH1290" s="91">
        <f>IF(AD1290="free",0,IF(AD1290="me",0,IF(G1290&gt;0,(VLOOKUP(A1290,'Discount Lookup'!J:K,2)*G1290),0)))</f>
        <v>0</v>
      </c>
      <c r="AI1290" s="92" t="str">
        <f t="shared" si="3118"/>
        <v/>
      </c>
      <c r="AJ1290" s="828" t="str">
        <f t="shared" si="3194"/>
        <v/>
      </c>
      <c r="AK1290" s="828"/>
      <c r="AL1290" s="313" t="str">
        <f t="shared" si="3101"/>
        <v/>
      </c>
      <c r="AM1290" s="312"/>
      <c r="AN1290" s="101"/>
      <c r="AO1290" s="101"/>
      <c r="AP1290" s="101"/>
      <c r="AQ1290" s="101"/>
      <c r="AR1290" s="101"/>
      <c r="AS1290" s="101"/>
      <c r="AT1290" s="101"/>
    </row>
    <row r="1291" spans="1:48" ht="12.95" customHeight="1">
      <c r="A1291" s="383">
        <v>3</v>
      </c>
      <c r="B1291" s="158" t="s">
        <v>50</v>
      </c>
      <c r="C1291" s="168" t="s">
        <v>136</v>
      </c>
      <c r="D1291" s="161" t="s">
        <v>86</v>
      </c>
      <c r="E1291" s="162">
        <v>30.95</v>
      </c>
      <c r="F1291" s="713" t="s">
        <v>1306</v>
      </c>
      <c r="G1291" s="357">
        <v>0</v>
      </c>
      <c r="H1291" s="748" t="str">
        <f t="shared" ref="H1291:H1292" si="3236">IF(G1291=0,"",IF(F1291="Qty=",IF(G1291=1,"plant","plants"),IF(F1291&gt;0.0001,"warranty","Error")))</f>
        <v/>
      </c>
      <c r="I1291" s="592">
        <f t="shared" ref="I1291:I1292" si="3237">IF(F1291="Qty=",(E1291*G1291),((E1291*(1-F1291))*G1291))</f>
        <v>0</v>
      </c>
      <c r="J1291" s="592">
        <f>IF(H1291="warranty",0,(I1291*($J$1782)))</f>
        <v>0</v>
      </c>
      <c r="K1291" s="834">
        <f t="shared" ref="K1291:K1292" si="3238">I1291+J1291</f>
        <v>0</v>
      </c>
      <c r="L1291" s="834"/>
      <c r="M1291" s="832" t="str">
        <f>IF($H$1784=0,"",IF(G1291=0,"",IF(F1291="Qty=",CONCATENATE("$",ROUND(K1291*(1-$H$1784),2)," with ",($H$1784*100),"% discount"),CONCATENATE("$",ROUND(K1291*(1-$H$1784),2)," with ",(($H$1784*100+F1291*100)-($H$1784*100*F1291)),IF(F1291&gt;0,"% discounts",IF($H$1781&gt;0,"% discounts","% discount"))))))</f>
        <v/>
      </c>
      <c r="N1291" s="832"/>
      <c r="O1291" s="832"/>
      <c r="P1291" s="832"/>
      <c r="Q1291" s="832"/>
      <c r="R1291" s="832"/>
      <c r="S1291" s="303">
        <f t="shared" ref="S1291" si="3239">E1291*G1291</f>
        <v>0</v>
      </c>
      <c r="T1291" s="541">
        <f>VLOOKUP(A1291,'Discount Lookup'!D:E,2,FALSE)*G1291</f>
        <v>0</v>
      </c>
      <c r="U1291" s="83">
        <f>VLOOKUP(A1291,'Discount Lookup'!G:H,2,FALSE)*G1291</f>
        <v>0</v>
      </c>
      <c r="V1291" s="100">
        <f>E1291*($J$1782)*G1291</f>
        <v>0</v>
      </c>
      <c r="W1291" s="100">
        <f t="shared" ref="W1291" si="3240">I1291</f>
        <v>0</v>
      </c>
      <c r="X1291" s="100" t="b">
        <f>IF(G1291&gt;0,IF(AD1291="me","",G1291))</f>
        <v>0</v>
      </c>
      <c r="Y1291" s="201"/>
      <c r="Z1291" s="829" t="str">
        <f t="shared" si="3193"/>
        <v/>
      </c>
      <c r="AA1291" s="829"/>
      <c r="AB1291" s="830" t="str">
        <f>IF(G1291=0,"",IF(AD1291="free","re-planting",IF(AD1291="me","not NVP, by",IF($AD$8="yes",(VLOOKUP(A1291,'Discount Lookup'!J:K,2)*G1291*(1-$AC$1786)*(1+$AC$1788)),IF(AD1291="NVP",(VLOOKUP(A1291,'Discount Lookup'!J:K,2)*G1291*(1-$AC$1786)*(1+$AC$1788)),IF(AD1291="free","re-planting",IF(G1291=0,"",IF($AD$8="",IF(AD1291="me","not NVP, by",IF(AD1291="",IF(G1291&gt;0,(VLOOKUP(A1291,'Discount Lookup'!J:K,2)*G1291*(1-$AC$1786)*(1+$AC$1788)),""),"")),"not NVP, by"))))))))</f>
        <v/>
      </c>
      <c r="AC1291" s="830"/>
      <c r="AD1291" s="375" t="str">
        <f t="shared" si="3205"/>
        <v/>
      </c>
      <c r="AE1291" s="833" t="str">
        <f t="shared" ref="AE1291" si="3241">IF(G1291&gt;0,(CONCATENATE((G1291)," quantity, ",(A1291)," ",B1291)),"")</f>
        <v/>
      </c>
      <c r="AF1291" s="833"/>
      <c r="AG1291" s="833"/>
      <c r="AH1291" s="91">
        <f>IF(AD1291="free",0,IF(AD1291="me",0,IF(G1291&gt;0,(VLOOKUP(A1291,'Discount Lookup'!J:K,2)*G1291),0)))</f>
        <v>0</v>
      </c>
      <c r="AI1291" s="92" t="str">
        <f t="shared" si="3118"/>
        <v/>
      </c>
      <c r="AJ1291" s="828" t="str">
        <f t="shared" si="3194"/>
        <v/>
      </c>
      <c r="AK1291" s="828"/>
      <c r="AL1291" s="313" t="str">
        <f t="shared" ref="AL1291:AL1354" si="3242">IF(AD1291="free","      ~ discounts included, no tax or planting fee applies ~",IF(G1291=0,"",IF($AD$8="me",CONCATENATE(" $",ROUND(AI1291/G1291,2)," per plant, with tax &amp; discount"),IF(AD1291="me",CONCATENATE(" $",ROUND(AI1291/G1291,2)," per plant, with tax &amp; discount"),CONCATENATE("= $",ROUND((K1291*(1-$H$1784))/G1291,2)," per plant + $",AB1291/G1291,(" per planting      ~ includes tax &amp; discounts ~"))))))</f>
        <v/>
      </c>
      <c r="AM1291" s="312"/>
      <c r="AN1291" s="101"/>
      <c r="AO1291" s="101"/>
      <c r="AP1291" s="101"/>
      <c r="AQ1291" s="101"/>
      <c r="AR1291" s="101"/>
      <c r="AS1291" s="101"/>
      <c r="AT1291" s="101"/>
    </row>
    <row r="1292" spans="1:48" ht="12.95" customHeight="1">
      <c r="A1292" s="383">
        <v>3</v>
      </c>
      <c r="B1292" s="158" t="s">
        <v>50</v>
      </c>
      <c r="C1292" s="168" t="s">
        <v>136</v>
      </c>
      <c r="D1292" s="161" t="s">
        <v>63</v>
      </c>
      <c r="E1292" s="162">
        <v>35.950000000000003</v>
      </c>
      <c r="F1292" s="713" t="s">
        <v>1306</v>
      </c>
      <c r="G1292" s="357">
        <v>0</v>
      </c>
      <c r="H1292" s="748" t="str">
        <f t="shared" si="3236"/>
        <v/>
      </c>
      <c r="I1292" s="592">
        <f t="shared" si="3237"/>
        <v>0</v>
      </c>
      <c r="J1292" s="592">
        <f>IF(H1292="warranty",0,(I1292*($J$1782)))</f>
        <v>0</v>
      </c>
      <c r="K1292" s="834">
        <f t="shared" si="3238"/>
        <v>0</v>
      </c>
      <c r="L1292" s="834"/>
      <c r="M1292" s="832" t="str">
        <f>IF($H$1784=0,"",IF(G1292=0,"",IF(F1292="Qty=",CONCATENATE("$",ROUND(K1292*(1-$H$1784),2)," with ",($H$1784*100),"% discount"),CONCATENATE("$",ROUND(K1292*(1-$H$1784),2)," with ",(($H$1784*100+F1292*100)-($H$1784*100*F1292)),IF(F1292&gt;0,"% discounts",IF($H$1781&gt;0,"% discounts","% discount"))))))</f>
        <v/>
      </c>
      <c r="N1292" s="832"/>
      <c r="O1292" s="832"/>
      <c r="P1292" s="832"/>
      <c r="Q1292" s="832"/>
      <c r="R1292" s="832"/>
      <c r="S1292" s="303">
        <f t="shared" ref="S1292" si="3243">E1292*G1292</f>
        <v>0</v>
      </c>
      <c r="T1292" s="541">
        <f>VLOOKUP(A1292,'Discount Lookup'!D:E,2,FALSE)*G1292</f>
        <v>0</v>
      </c>
      <c r="U1292" s="83">
        <f>VLOOKUP(A1292,'Discount Lookup'!G:H,2,FALSE)*G1292</f>
        <v>0</v>
      </c>
      <c r="V1292" s="100">
        <f>E1292*($J$1782)*G1292</f>
        <v>0</v>
      </c>
      <c r="W1292" s="100">
        <f t="shared" ref="W1292" si="3244">I1292</f>
        <v>0</v>
      </c>
      <c r="X1292" s="100" t="b">
        <f>IF(G1292&gt;0,IF(AD1292="me","",G1292))</f>
        <v>0</v>
      </c>
      <c r="Y1292" s="201"/>
      <c r="Z1292" s="829" t="str">
        <f t="shared" si="3193"/>
        <v/>
      </c>
      <c r="AA1292" s="829"/>
      <c r="AB1292" s="830" t="str">
        <f>IF(G1292=0,"",IF(AD1292="free","re-planting",IF(AD1292="me","not NVP, by",IF($AD$8="yes",(VLOOKUP(A1292,'Discount Lookup'!J:K,2)*G1292*(1-$AC$1786)*(1+$AC$1788)),IF(AD1292="NVP",(VLOOKUP(A1292,'Discount Lookup'!J:K,2)*G1292*(1-$AC$1786)*(1+$AC$1788)),IF(AD1292="free","re-planting",IF(G1292=0,"",IF($AD$8="",IF(AD1292="me","not NVP, by",IF(AD1292="",IF(G1292&gt;0,(VLOOKUP(A1292,'Discount Lookup'!J:K,2)*G1292*(1-$AC$1786)*(1+$AC$1788)),""),"")),"not NVP, by"))))))))</f>
        <v/>
      </c>
      <c r="AC1292" s="830"/>
      <c r="AD1292" s="375" t="str">
        <f t="shared" si="3205"/>
        <v/>
      </c>
      <c r="AE1292" s="833" t="str">
        <f t="shared" si="3150"/>
        <v/>
      </c>
      <c r="AF1292" s="833"/>
      <c r="AG1292" s="833"/>
      <c r="AH1292" s="91">
        <f>IF(AD1292="free",0,IF(AD1292="me",0,IF(G1292&gt;0,(VLOOKUP(A1292,'Discount Lookup'!J:K,2)*G1292),0)))</f>
        <v>0</v>
      </c>
      <c r="AI1292" s="92" t="str">
        <f t="shared" si="3118"/>
        <v/>
      </c>
      <c r="AJ1292" s="828" t="str">
        <f t="shared" si="3194"/>
        <v/>
      </c>
      <c r="AK1292" s="828"/>
      <c r="AL1292" s="313" t="str">
        <f t="shared" si="3242"/>
        <v/>
      </c>
      <c r="AM1292" s="312"/>
      <c r="AN1292" s="101"/>
      <c r="AO1292" s="101"/>
      <c r="AP1292" s="101"/>
      <c r="AQ1292" s="101"/>
      <c r="AR1292" s="101"/>
      <c r="AS1292" s="101"/>
      <c r="AT1292" s="101"/>
    </row>
    <row r="1293" spans="1:48" ht="12.95" customHeight="1">
      <c r="A1293" s="477"/>
      <c r="B1293" s="149" t="s">
        <v>714</v>
      </c>
      <c r="D1293" s="118"/>
      <c r="E1293" s="119"/>
      <c r="F1293" s="711"/>
      <c r="G1293" s="356"/>
      <c r="H1293" s="745"/>
      <c r="I1293" s="119"/>
      <c r="J1293" s="119"/>
      <c r="K1293" s="609"/>
      <c r="L1293" s="609"/>
      <c r="M1293" s="121"/>
      <c r="N1293" s="122" t="s">
        <v>336</v>
      </c>
      <c r="O1293" s="123"/>
      <c r="P1293" s="124"/>
      <c r="Q1293" s="124"/>
      <c r="R1293" s="48"/>
      <c r="S1293" s="48"/>
      <c r="T1293" s="546"/>
      <c r="V1293" s="100" t="b">
        <f>IF(G1293&gt;0,IF(AD1293="me","",G1293))</f>
        <v>0</v>
      </c>
      <c r="W1293" s="100"/>
      <c r="X1293" s="100"/>
      <c r="Y1293" s="201"/>
      <c r="Z1293" s="829" t="str">
        <f t="shared" si="3193"/>
        <v/>
      </c>
      <c r="AA1293" s="829"/>
      <c r="AB1293" s="830" t="str">
        <f>IF(G1293=0,"",IF(AD1293="free","re-planting",IF(AD1293="me","not NVP, by",IF($AD$8="yes",(VLOOKUP(A1293,'Discount Lookup'!J:K,2)*G1293*(1-$AC$1786)*(1+$AC$1788)),IF(AD1293="NVP",(VLOOKUP(A1293,'Discount Lookup'!J:K,2)*G1293*(1-$AC$1786)*(1+$AC$1788)),IF(AD1293="free","re-planting",IF(G1293=0,"",IF($AD$8="",IF(AD1293="me","not NVP, by",IF(AD1293="",IF(G1293&gt;0,(VLOOKUP(A1293,'Discount Lookup'!J:K,2)*G1293*(1-$AC$1786)*(1+$AC$1788)),""),"")),"not NVP, by"))))))))</f>
        <v/>
      </c>
      <c r="AC1293" s="830"/>
      <c r="AD1293" s="375" t="str">
        <f t="shared" si="3205"/>
        <v/>
      </c>
      <c r="AE1293" s="833" t="str">
        <f t="shared" si="3150"/>
        <v/>
      </c>
      <c r="AF1293" s="833"/>
      <c r="AG1293" s="833"/>
      <c r="AH1293" s="91">
        <f>IF(AD1293="free",0,IF(AD1293="me",0,IF(G1293&gt;0,(VLOOKUP(A1293,'Discount Lookup'!J:K,2)*G1293),0)))</f>
        <v>0</v>
      </c>
      <c r="AI1293" s="92" t="str">
        <f t="shared" si="3118"/>
        <v/>
      </c>
      <c r="AJ1293" s="828" t="str">
        <f t="shared" si="3194"/>
        <v/>
      </c>
      <c r="AK1293" s="828"/>
      <c r="AL1293" s="313" t="str">
        <f t="shared" si="3242"/>
        <v/>
      </c>
      <c r="AM1293" s="312"/>
      <c r="AN1293" s="101"/>
      <c r="AO1293" s="101"/>
      <c r="AP1293" s="101"/>
      <c r="AQ1293" s="101"/>
      <c r="AR1293" s="101"/>
      <c r="AS1293" s="101"/>
      <c r="AT1293" s="101"/>
      <c r="AV1293" s="132"/>
    </row>
    <row r="1294" spans="1:48" ht="12.95" customHeight="1">
      <c r="A1294" s="889" t="s">
        <v>715</v>
      </c>
      <c r="B1294" s="890"/>
      <c r="C1294" s="890"/>
      <c r="D1294" s="890"/>
      <c r="E1294" s="890"/>
      <c r="F1294" s="890"/>
      <c r="G1294" s="890"/>
      <c r="H1294" s="775" t="s">
        <v>621</v>
      </c>
      <c r="I1294" s="349" t="s">
        <v>280</v>
      </c>
      <c r="J1294" s="157"/>
      <c r="K1294" s="611" t="s">
        <v>45</v>
      </c>
      <c r="L1294" s="630" t="s">
        <v>46</v>
      </c>
      <c r="M1294" s="157"/>
      <c r="N1294" s="352" t="s">
        <v>75</v>
      </c>
      <c r="O1294" s="158"/>
      <c r="P1294" s="158"/>
      <c r="Q1294" s="158"/>
      <c r="R1294" s="157"/>
      <c r="S1294" s="170"/>
      <c r="T1294" s="547"/>
      <c r="U1294" s="171"/>
      <c r="V1294" s="100" t="b">
        <f>IF(G1294&gt;0,IF(AD1294="me","",G1294))</f>
        <v>0</v>
      </c>
      <c r="W1294" s="100"/>
      <c r="X1294" s="100"/>
      <c r="Y1294" s="201"/>
      <c r="Z1294" s="829" t="str">
        <f t="shared" si="3193"/>
        <v/>
      </c>
      <c r="AA1294" s="829"/>
      <c r="AB1294" s="830" t="str">
        <f>IF(G1294=0,"",IF(AD1294="free","re-planting",IF(AD1294="me","not NVP, by",IF($AD$8="yes",(VLOOKUP(A1294,'Discount Lookup'!J:K,2)*G1294*(1-$AC$1786)*(1+$AC$1788)),IF(AD1294="NVP",(VLOOKUP(A1294,'Discount Lookup'!J:K,2)*G1294*(1-$AC$1786)*(1+$AC$1788)),IF(AD1294="free","re-planting",IF(G1294=0,"",IF($AD$8="",IF(AD1294="me","not NVP, by",IF(AD1294="",IF(G1294&gt;0,(VLOOKUP(A1294,'Discount Lookup'!J:K,2)*G1294*(1-$AC$1786)*(1+$AC$1788)),""),"")),"not NVP, by"))))))))</f>
        <v/>
      </c>
      <c r="AC1294" s="830"/>
      <c r="AD1294" s="375" t="str">
        <f t="shared" si="3205"/>
        <v/>
      </c>
      <c r="AE1294" s="833" t="str">
        <f t="shared" si="3150"/>
        <v/>
      </c>
      <c r="AF1294" s="833"/>
      <c r="AG1294" s="833"/>
      <c r="AH1294" s="91">
        <f>IF(AD1294="free",0,IF(AD1294="me",0,IF(G1294&gt;0,(VLOOKUP(A1294,'Discount Lookup'!J:K,2)*G1294),0)))</f>
        <v>0</v>
      </c>
      <c r="AI1294" s="92" t="str">
        <f t="shared" si="3118"/>
        <v/>
      </c>
      <c r="AJ1294" s="828" t="str">
        <f t="shared" si="3194"/>
        <v/>
      </c>
      <c r="AK1294" s="828"/>
      <c r="AL1294" s="313" t="str">
        <f t="shared" si="3242"/>
        <v/>
      </c>
      <c r="AM1294" s="312"/>
      <c r="AN1294" s="101"/>
      <c r="AO1294" s="101"/>
      <c r="AP1294" s="101"/>
      <c r="AQ1294" s="101"/>
      <c r="AR1294" s="101"/>
      <c r="AS1294" s="101"/>
      <c r="AT1294" s="101"/>
      <c r="AV1294" s="132"/>
    </row>
    <row r="1295" spans="1:48" ht="12.95" customHeight="1">
      <c r="A1295" s="383">
        <v>3</v>
      </c>
      <c r="B1295" s="158" t="s">
        <v>50</v>
      </c>
      <c r="C1295" s="168" t="s">
        <v>136</v>
      </c>
      <c r="D1295" s="161" t="s">
        <v>86</v>
      </c>
      <c r="E1295" s="162">
        <v>30.95</v>
      </c>
      <c r="F1295" s="713" t="s">
        <v>1306</v>
      </c>
      <c r="G1295" s="357">
        <v>0</v>
      </c>
      <c r="H1295" s="748" t="str">
        <f t="shared" ref="H1295:H1298" si="3245">IF(G1295=0,"",IF(F1295="Qty=",IF(G1295=1,"plant","plants"),IF(F1295&gt;0.0001,"warranty","Error")))</f>
        <v/>
      </c>
      <c r="I1295" s="592">
        <f t="shared" ref="I1295:I1298" si="3246">IF(F1295="Qty=",(E1295*G1295),((E1295*(1-F1295))*G1295))</f>
        <v>0</v>
      </c>
      <c r="J1295" s="592">
        <f>IF(H1295="warranty",0,(I1295*($J$1782)))</f>
        <v>0</v>
      </c>
      <c r="K1295" s="834">
        <f t="shared" ref="K1295:K1298" si="3247">I1295+J1295</f>
        <v>0</v>
      </c>
      <c r="L1295" s="834"/>
      <c r="M1295" s="832" t="str">
        <f>IF($H$1784=0,"",IF(G1295=0,"",IF(F1295="Qty=",CONCATENATE("$",ROUND(K1295*(1-$H$1784),2)," with ",($H$1784*100),"% discount"),CONCATENATE("$",ROUND(K1295*(1-$H$1784),2)," with ",(($H$1784*100+F1295*100)-($H$1784*100*F1295)),IF(F1295&gt;0,"% discounts",IF($H$1781&gt;0,"% discounts","% discount"))))))</f>
        <v/>
      </c>
      <c r="N1295" s="832"/>
      <c r="O1295" s="832"/>
      <c r="P1295" s="832"/>
      <c r="Q1295" s="832"/>
      <c r="R1295" s="832"/>
      <c r="S1295" s="303">
        <f t="shared" ref="S1295:S1298" si="3248">E1295*G1295</f>
        <v>0</v>
      </c>
      <c r="T1295" s="541">
        <f>VLOOKUP(A1295,'Discount Lookup'!D:E,2,FALSE)*G1295</f>
        <v>0</v>
      </c>
      <c r="U1295" s="83">
        <f>VLOOKUP(A1295,'Discount Lookup'!G:H,2,FALSE)*G1295</f>
        <v>0</v>
      </c>
      <c r="V1295" s="100">
        <f>E1295*($J$1782)*G1295</f>
        <v>0</v>
      </c>
      <c r="W1295" s="100">
        <f t="shared" ref="W1295:W1298" si="3249">I1295</f>
        <v>0</v>
      </c>
      <c r="X1295" s="100" t="b">
        <f>IF(G1295&gt;0,IF(AD1295="me","",G1295))</f>
        <v>0</v>
      </c>
      <c r="Y1295" s="201"/>
      <c r="Z1295" s="829" t="str">
        <f t="shared" si="3193"/>
        <v/>
      </c>
      <c r="AA1295" s="829"/>
      <c r="AB1295" s="830" t="str">
        <f>IF(G1295=0,"",IF(AD1295="free","re-planting",IF(AD1295="me","not NVP, by",IF($AD$8="yes",(VLOOKUP(A1295,'Discount Lookup'!J:K,2)*G1295*(1-$AC$1786)*(1+$AC$1788)),IF(AD1295="NVP",(VLOOKUP(A1295,'Discount Lookup'!J:K,2)*G1295*(1-$AC$1786)*(1+$AC$1788)),IF(AD1295="free","re-planting",IF(G1295=0,"",IF($AD$8="",IF(AD1295="me","not NVP, by",IF(AD1295="",IF(G1295&gt;0,(VLOOKUP(A1295,'Discount Lookup'!J:K,2)*G1295*(1-$AC$1786)*(1+$AC$1788)),""),"")),"not NVP, by"))))))))</f>
        <v/>
      </c>
      <c r="AC1295" s="830"/>
      <c r="AD1295" s="375" t="str">
        <f t="shared" si="3205"/>
        <v/>
      </c>
      <c r="AE1295" s="833" t="str">
        <f t="shared" si="3150"/>
        <v/>
      </c>
      <c r="AF1295" s="833"/>
      <c r="AG1295" s="833"/>
      <c r="AH1295" s="91">
        <f>IF(AD1295="free",0,IF(AD1295="me",0,IF(G1295&gt;0,(VLOOKUP(A1295,'Discount Lookup'!J:K,2)*G1295),0)))</f>
        <v>0</v>
      </c>
      <c r="AI1295" s="92" t="str">
        <f t="shared" ref="AI1295:AI1358" si="3250">IF(G1295=0,"",IF(AD1295="free",(K1295*(1-$H$1784)),IF($AD$8="me",(K1295*(1-$H$1784)),IF(AD1295="me",(K1295*(1-$H$1784)),(K1295*(1-$H$1784))+AB1295))))</f>
        <v/>
      </c>
      <c r="AJ1295" s="828" t="str">
        <f t="shared" si="3194"/>
        <v/>
      </c>
      <c r="AK1295" s="828"/>
      <c r="AL1295" s="313" t="str">
        <f t="shared" si="3242"/>
        <v/>
      </c>
      <c r="AM1295" s="312"/>
      <c r="AN1295" s="101"/>
      <c r="AO1295" s="101"/>
      <c r="AP1295" s="101"/>
      <c r="AQ1295" s="101"/>
      <c r="AR1295" s="101"/>
      <c r="AS1295" s="101"/>
      <c r="AT1295" s="101"/>
      <c r="AV1295" s="132"/>
    </row>
    <row r="1296" spans="1:48" ht="12.95" customHeight="1">
      <c r="A1296" s="383">
        <v>3</v>
      </c>
      <c r="B1296" s="158" t="s">
        <v>50</v>
      </c>
      <c r="C1296" s="168" t="s">
        <v>136</v>
      </c>
      <c r="D1296" s="161" t="s">
        <v>87</v>
      </c>
      <c r="E1296" s="162">
        <v>31.95</v>
      </c>
      <c r="F1296" s="713" t="s">
        <v>1306</v>
      </c>
      <c r="G1296" s="357">
        <v>0</v>
      </c>
      <c r="H1296" s="748" t="str">
        <f t="shared" si="3245"/>
        <v/>
      </c>
      <c r="I1296" s="592">
        <f t="shared" si="3246"/>
        <v>0</v>
      </c>
      <c r="J1296" s="592">
        <f>IF(H1296="warranty",0,(I1296*($J$1782)))</f>
        <v>0</v>
      </c>
      <c r="K1296" s="834">
        <f t="shared" si="3247"/>
        <v>0</v>
      </c>
      <c r="L1296" s="834"/>
      <c r="M1296" s="832" t="str">
        <f>IF($H$1784=0,"",IF(G1296=0,"",IF(F1296="Qty=",CONCATENATE("$",ROUND(K1296*(1-$H$1784),2)," with ",($H$1784*100),"% discount"),CONCATENATE("$",ROUND(K1296*(1-$H$1784),2)," with ",(($H$1784*100+F1296*100)-($H$1784*100*F1296)),IF(F1296&gt;0,"% discounts",IF($H$1781&gt;0,"% discounts","% discount"))))))</f>
        <v/>
      </c>
      <c r="N1296" s="832"/>
      <c r="O1296" s="832"/>
      <c r="P1296" s="832"/>
      <c r="Q1296" s="832"/>
      <c r="R1296" s="832"/>
      <c r="S1296" s="303">
        <f t="shared" si="3248"/>
        <v>0</v>
      </c>
      <c r="T1296" s="541">
        <f>VLOOKUP(A1296,'Discount Lookup'!D:E,2,FALSE)*G1296</f>
        <v>0</v>
      </c>
      <c r="U1296" s="83">
        <f>VLOOKUP(A1296,'Discount Lookup'!G:H,2,FALSE)*G1296</f>
        <v>0</v>
      </c>
      <c r="V1296" s="100">
        <f>E1296*($J$1782)*G1296</f>
        <v>0</v>
      </c>
      <c r="W1296" s="100">
        <f t="shared" si="3249"/>
        <v>0</v>
      </c>
      <c r="X1296" s="100" t="b">
        <f>IF(G1296&gt;0,IF(AD1296="me","",G1296))</f>
        <v>0</v>
      </c>
      <c r="Y1296" s="201"/>
      <c r="Z1296" s="829" t="str">
        <f t="shared" si="3193"/>
        <v/>
      </c>
      <c r="AA1296" s="829"/>
      <c r="AB1296" s="830" t="str">
        <f>IF(G1296=0,"",IF(AD1296="free","re-planting",IF(AD1296="me","not NVP, by",IF($AD$8="yes",(VLOOKUP(A1296,'Discount Lookup'!J:K,2)*G1296*(1-$AC$1786)*(1+$AC$1788)),IF(AD1296="NVP",(VLOOKUP(A1296,'Discount Lookup'!J:K,2)*G1296*(1-$AC$1786)*(1+$AC$1788)),IF(AD1296="free","re-planting",IF(G1296=0,"",IF($AD$8="",IF(AD1296="me","not NVP, by",IF(AD1296="",IF(G1296&gt;0,(VLOOKUP(A1296,'Discount Lookup'!J:K,2)*G1296*(1-$AC$1786)*(1+$AC$1788)),""),"")),"not NVP, by"))))))))</f>
        <v/>
      </c>
      <c r="AC1296" s="830"/>
      <c r="AD1296" s="375" t="str">
        <f t="shared" si="3205"/>
        <v/>
      </c>
      <c r="AE1296" s="833" t="str">
        <f t="shared" ref="AE1296" si="3251">IF(G1296&gt;0,(CONCATENATE((G1296)," quantity, ",(A1296)," ",B1296)),"")</f>
        <v/>
      </c>
      <c r="AF1296" s="833"/>
      <c r="AG1296" s="833"/>
      <c r="AH1296" s="91">
        <f>IF(AD1296="free",0,IF(AD1296="me",0,IF(G1296&gt;0,(VLOOKUP(A1296,'Discount Lookup'!J:K,2)*G1296),0)))</f>
        <v>0</v>
      </c>
      <c r="AI1296" s="92" t="str">
        <f t="shared" si="3250"/>
        <v/>
      </c>
      <c r="AJ1296" s="828" t="str">
        <f t="shared" si="3194"/>
        <v/>
      </c>
      <c r="AK1296" s="828"/>
      <c r="AL1296" s="313" t="str">
        <f t="shared" si="3242"/>
        <v/>
      </c>
      <c r="AM1296" s="312"/>
      <c r="AN1296" s="101"/>
      <c r="AO1296" s="101"/>
      <c r="AP1296" s="101"/>
      <c r="AQ1296" s="101"/>
      <c r="AR1296" s="101"/>
      <c r="AS1296" s="101"/>
      <c r="AT1296" s="101"/>
      <c r="AV1296" s="132"/>
    </row>
    <row r="1297" spans="1:48" ht="12.95" customHeight="1">
      <c r="A1297" s="383">
        <v>3</v>
      </c>
      <c r="B1297" s="158" t="s">
        <v>50</v>
      </c>
      <c r="C1297" s="168" t="s">
        <v>657</v>
      </c>
      <c r="D1297" s="161" t="s">
        <v>87</v>
      </c>
      <c r="E1297" s="162">
        <v>55.95</v>
      </c>
      <c r="F1297" s="713" t="s">
        <v>1306</v>
      </c>
      <c r="G1297" s="357">
        <v>0</v>
      </c>
      <c r="H1297" s="748" t="str">
        <f t="shared" si="3245"/>
        <v/>
      </c>
      <c r="I1297" s="592">
        <f t="shared" si="3246"/>
        <v>0</v>
      </c>
      <c r="J1297" s="592">
        <f>IF(H1297="warranty",0,(I1297*($J$1782)))</f>
        <v>0</v>
      </c>
      <c r="K1297" s="834">
        <f t="shared" si="3247"/>
        <v>0</v>
      </c>
      <c r="L1297" s="834"/>
      <c r="M1297" s="832" t="str">
        <f>IF($H$1784=0,"",IF(G1297=0,"",IF(F1297="Qty=",CONCATENATE("$",ROUND(K1297*(1-$H$1784),2)," with ",($H$1784*100),"% discount"),CONCATENATE("$",ROUND(K1297*(1-$H$1784),2)," with ",(($H$1784*100+F1297*100)-($H$1784*100*F1297)),IF(F1297&gt;0,"% discounts",IF($H$1781&gt;0,"% discounts","% discount"))))))</f>
        <v/>
      </c>
      <c r="N1297" s="832"/>
      <c r="O1297" s="832"/>
      <c r="P1297" s="832"/>
      <c r="Q1297" s="832"/>
      <c r="R1297" s="832"/>
      <c r="S1297" s="303">
        <f t="shared" ref="S1297" si="3252">E1297*G1297</f>
        <v>0</v>
      </c>
      <c r="T1297" s="541">
        <f>VLOOKUP(A1297,'Discount Lookup'!D:E,2,FALSE)*G1297</f>
        <v>0</v>
      </c>
      <c r="U1297" s="83">
        <f>VLOOKUP(A1297,'Discount Lookup'!G:H,2,FALSE)*G1297</f>
        <v>0</v>
      </c>
      <c r="V1297" s="100">
        <f>E1297*($J$1782)*G1297</f>
        <v>0</v>
      </c>
      <c r="W1297" s="100">
        <f t="shared" ref="W1297" si="3253">I1297</f>
        <v>0</v>
      </c>
      <c r="X1297" s="100" t="b">
        <f>IF(G1297&gt;0,IF(AD1297="me","",G1297))</f>
        <v>0</v>
      </c>
      <c r="Y1297" s="201"/>
      <c r="Z1297" s="829" t="str">
        <f t="shared" si="3193"/>
        <v/>
      </c>
      <c r="AA1297" s="829"/>
      <c r="AB1297" s="830" t="str">
        <f>IF(G1297=0,"",IF(AD1297="free","re-planting",IF(AD1297="me","not NVP, by",IF($AD$8="yes",(VLOOKUP(A1297,'Discount Lookup'!J:K,2)*G1297*(1-$AC$1786)*(1+$AC$1788)),IF(AD1297="NVP",(VLOOKUP(A1297,'Discount Lookup'!J:K,2)*G1297*(1-$AC$1786)*(1+$AC$1788)),IF(AD1297="free","re-planting",IF(G1297=0,"",IF($AD$8="",IF(AD1297="me","not NVP, by",IF(AD1297="",IF(G1297&gt;0,(VLOOKUP(A1297,'Discount Lookup'!J:K,2)*G1297*(1-$AC$1786)*(1+$AC$1788)),""),"")),"not NVP, by"))))))))</f>
        <v/>
      </c>
      <c r="AC1297" s="830"/>
      <c r="AD1297" s="375" t="str">
        <f t="shared" si="3205"/>
        <v/>
      </c>
      <c r="AE1297" s="833" t="str">
        <f t="shared" si="3150"/>
        <v/>
      </c>
      <c r="AF1297" s="833"/>
      <c r="AG1297" s="833"/>
      <c r="AH1297" s="91">
        <f>IF(AD1297="free",0,IF(AD1297="me",0,IF(G1297&gt;0,(VLOOKUP(A1297,'Discount Lookup'!J:K,2)*G1297),0)))</f>
        <v>0</v>
      </c>
      <c r="AI1297" s="92" t="str">
        <f t="shared" si="3250"/>
        <v/>
      </c>
      <c r="AJ1297" s="828" t="str">
        <f t="shared" si="3194"/>
        <v/>
      </c>
      <c r="AK1297" s="828"/>
      <c r="AL1297" s="313" t="str">
        <f t="shared" si="3242"/>
        <v/>
      </c>
      <c r="AM1297" s="312"/>
      <c r="AN1297" s="101"/>
      <c r="AO1297" s="101"/>
      <c r="AP1297" s="101"/>
      <c r="AQ1297" s="101"/>
      <c r="AR1297" s="101"/>
      <c r="AS1297" s="101"/>
      <c r="AT1297" s="101"/>
      <c r="AV1297" s="132"/>
    </row>
    <row r="1298" spans="1:48" ht="12.95" customHeight="1">
      <c r="A1298" s="383">
        <v>3</v>
      </c>
      <c r="B1298" s="158" t="s">
        <v>50</v>
      </c>
      <c r="C1298" s="168" t="s">
        <v>136</v>
      </c>
      <c r="D1298" s="161" t="s">
        <v>94</v>
      </c>
      <c r="E1298" s="162">
        <v>31.95</v>
      </c>
      <c r="F1298" s="713" t="s">
        <v>1306</v>
      </c>
      <c r="G1298" s="357">
        <v>0</v>
      </c>
      <c r="H1298" s="748" t="str">
        <f t="shared" si="3245"/>
        <v/>
      </c>
      <c r="I1298" s="592">
        <f t="shared" si="3246"/>
        <v>0</v>
      </c>
      <c r="J1298" s="592">
        <f>IF(H1298="warranty",0,(I1298*($J$1782)))</f>
        <v>0</v>
      </c>
      <c r="K1298" s="834">
        <f t="shared" si="3247"/>
        <v>0</v>
      </c>
      <c r="L1298" s="834"/>
      <c r="M1298" s="832" t="str">
        <f>IF($H$1784=0,"",IF(G1298=0,"",IF(F1298="Qty=",CONCATENATE("$",ROUND(K1298*(1-$H$1784),2)," with ",($H$1784*100),"% discount"),CONCATENATE("$",ROUND(K1298*(1-$H$1784),2)," with ",(($H$1784*100+F1298*100)-($H$1784*100*F1298)),IF(F1298&gt;0,"% discounts",IF($H$1781&gt;0,"% discounts","% discount"))))))</f>
        <v/>
      </c>
      <c r="N1298" s="832"/>
      <c r="O1298" s="832"/>
      <c r="P1298" s="832"/>
      <c r="Q1298" s="832"/>
      <c r="R1298" s="832"/>
      <c r="S1298" s="303">
        <f t="shared" si="3248"/>
        <v>0</v>
      </c>
      <c r="T1298" s="541">
        <f>VLOOKUP(A1298,'Discount Lookup'!D:E,2,FALSE)*G1298</f>
        <v>0</v>
      </c>
      <c r="U1298" s="83">
        <f>VLOOKUP(A1298,'Discount Lookup'!G:H,2,FALSE)*G1298</f>
        <v>0</v>
      </c>
      <c r="V1298" s="100">
        <f>E1298*($J$1782)*G1298</f>
        <v>0</v>
      </c>
      <c r="W1298" s="100">
        <f t="shared" si="3249"/>
        <v>0</v>
      </c>
      <c r="X1298" s="100" t="b">
        <f>IF(G1298&gt;0,IF(AD1298="me","",G1298))</f>
        <v>0</v>
      </c>
      <c r="Y1298" s="201"/>
      <c r="Z1298" s="829" t="str">
        <f t="shared" si="3193"/>
        <v/>
      </c>
      <c r="AA1298" s="829"/>
      <c r="AB1298" s="830" t="str">
        <f>IF(G1298=0,"",IF(AD1298="free","re-planting",IF(AD1298="me","not NVP, by",IF($AD$8="yes",(VLOOKUP(A1298,'Discount Lookup'!J:K,2)*G1298*(1-$AC$1786)*(1+$AC$1788)),IF(AD1298="NVP",(VLOOKUP(A1298,'Discount Lookup'!J:K,2)*G1298*(1-$AC$1786)*(1+$AC$1788)),IF(AD1298="free","re-planting",IF(G1298=0,"",IF($AD$8="",IF(AD1298="me","not NVP, by",IF(AD1298="",IF(G1298&gt;0,(VLOOKUP(A1298,'Discount Lookup'!J:K,2)*G1298*(1-$AC$1786)*(1+$AC$1788)),""),"")),"not NVP, by"))))))))</f>
        <v/>
      </c>
      <c r="AC1298" s="830"/>
      <c r="AD1298" s="375" t="str">
        <f t="shared" si="3205"/>
        <v/>
      </c>
      <c r="AE1298" s="833" t="str">
        <f t="shared" si="3150"/>
        <v/>
      </c>
      <c r="AF1298" s="833"/>
      <c r="AG1298" s="833"/>
      <c r="AH1298" s="91">
        <f>IF(AD1298="free",0,IF(AD1298="me",0,IF(G1298&gt;0,(VLOOKUP(A1298,'Discount Lookup'!J:K,2)*G1298),0)))</f>
        <v>0</v>
      </c>
      <c r="AI1298" s="92" t="str">
        <f t="shared" si="3250"/>
        <v/>
      </c>
      <c r="AJ1298" s="828" t="str">
        <f t="shared" si="3194"/>
        <v/>
      </c>
      <c r="AK1298" s="828"/>
      <c r="AL1298" s="313" t="str">
        <f t="shared" si="3242"/>
        <v/>
      </c>
      <c r="AM1298" s="312"/>
      <c r="AN1298" s="101"/>
      <c r="AO1298" s="101"/>
      <c r="AP1298" s="101"/>
      <c r="AQ1298" s="101"/>
      <c r="AR1298" s="101"/>
      <c r="AS1298" s="101"/>
      <c r="AT1298" s="101"/>
    </row>
    <row r="1299" spans="1:48" ht="12.95" customHeight="1">
      <c r="A1299" s="477"/>
      <c r="B1299" s="149" t="s">
        <v>716</v>
      </c>
      <c r="C1299" s="118"/>
      <c r="D1299" s="118"/>
      <c r="E1299" s="119"/>
      <c r="F1299" s="711"/>
      <c r="G1299" s="358"/>
      <c r="H1299" s="745"/>
      <c r="I1299" s="119"/>
      <c r="J1299" s="119"/>
      <c r="K1299" s="609"/>
      <c r="L1299" s="609"/>
      <c r="M1299" s="121"/>
      <c r="N1299" s="122" t="s">
        <v>336</v>
      </c>
      <c r="O1299" s="123"/>
      <c r="P1299" s="124"/>
      <c r="Q1299" s="841" t="s">
        <v>125</v>
      </c>
      <c r="R1299" s="841"/>
      <c r="S1299" s="841"/>
      <c r="T1299" s="841"/>
      <c r="U1299" s="841"/>
      <c r="V1299" s="841"/>
      <c r="W1299" s="286"/>
      <c r="X1299" s="286"/>
      <c r="Y1299" s="794"/>
      <c r="Z1299" s="829" t="str">
        <f t="shared" si="3193"/>
        <v/>
      </c>
      <c r="AA1299" s="829"/>
      <c r="AB1299" s="830" t="str">
        <f>IF(G1299=0,"",IF(AD1299="free","re-planting",IF(AD1299="me","not NVP, by",IF($AD$8="yes",(VLOOKUP(A1299,'Discount Lookup'!J:K,2)*G1299*(1-$AC$1786)*(1+$AC$1788)),IF(AD1299="NVP",(VLOOKUP(A1299,'Discount Lookup'!J:K,2)*G1299*(1-$AC$1786)*(1+$AC$1788)),IF(AD1299="free","re-planting",IF(G1299=0,"",IF($AD$8="",IF(AD1299="me","not NVP, by",IF(AD1299="",IF(G1299&gt;0,(VLOOKUP(A1299,'Discount Lookup'!J:K,2)*G1299*(1-$AC$1786)*(1+$AC$1788)),""),"")),"not NVP, by"))))))))</f>
        <v/>
      </c>
      <c r="AC1299" s="830"/>
      <c r="AD1299" s="375" t="str">
        <f t="shared" si="3205"/>
        <v/>
      </c>
      <c r="AE1299" s="833" t="str">
        <f t="shared" si="3150"/>
        <v/>
      </c>
      <c r="AF1299" s="833"/>
      <c r="AG1299" s="833"/>
      <c r="AH1299" s="91">
        <f>IF(AD1299="free",0,IF(AD1299="me",0,IF(G1299&gt;0,(VLOOKUP(A1299,'Discount Lookup'!J:K,2)*G1299),0)))</f>
        <v>0</v>
      </c>
      <c r="AI1299" s="92" t="str">
        <f t="shared" si="3250"/>
        <v/>
      </c>
      <c r="AJ1299" s="828" t="str">
        <f t="shared" si="3194"/>
        <v/>
      </c>
      <c r="AK1299" s="828"/>
      <c r="AL1299" s="313" t="str">
        <f t="shared" si="3242"/>
        <v/>
      </c>
      <c r="AM1299" s="312"/>
      <c r="AN1299" s="101"/>
      <c r="AO1299" s="101"/>
      <c r="AP1299" s="101"/>
      <c r="AQ1299" s="101"/>
      <c r="AR1299" s="101"/>
      <c r="AS1299" s="101"/>
      <c r="AT1299" s="101"/>
    </row>
    <row r="1300" spans="1:48" ht="12.95" customHeight="1">
      <c r="A1300" s="919" t="s">
        <v>1491</v>
      </c>
      <c r="B1300" s="890"/>
      <c r="C1300" s="890"/>
      <c r="D1300" s="890"/>
      <c r="E1300" s="890"/>
      <c r="F1300" s="890"/>
      <c r="G1300" s="890"/>
      <c r="H1300" s="775" t="s">
        <v>621</v>
      </c>
      <c r="I1300" s="349" t="s">
        <v>280</v>
      </c>
      <c r="J1300" s="157"/>
      <c r="K1300" s="611" t="s">
        <v>45</v>
      </c>
      <c r="L1300" s="630" t="s">
        <v>46</v>
      </c>
      <c r="M1300" s="157"/>
      <c r="N1300" s="352" t="s">
        <v>75</v>
      </c>
      <c r="O1300" s="158"/>
      <c r="P1300" s="158"/>
      <c r="Q1300" s="158"/>
      <c r="R1300" s="157"/>
      <c r="S1300" s="170"/>
      <c r="T1300" s="547"/>
      <c r="U1300" s="171"/>
      <c r="V1300" s="100" t="b">
        <f>IF(G1300&gt;0,IF(AD1300="me","",G1300))</f>
        <v>0</v>
      </c>
      <c r="W1300" s="100"/>
      <c r="X1300" s="100"/>
      <c r="Y1300" s="201"/>
      <c r="Z1300" s="829" t="str">
        <f t="shared" ref="Z1300:Z1302" si="3254">IF(G1300=0,"",IF(AD1300="me","",IF($AD$8="me","",IF(AD1300="free","warranty",IF($AD$8="yes","NVP planting:","to NVP install:")))))</f>
        <v/>
      </c>
      <c r="AA1300" s="829"/>
      <c r="AB1300" s="830" t="str">
        <f>IF(G1300=0,"",IF(AD1300="free","re-planting",IF(AD1300="me","not NVP, by",IF($AD$8="yes",(VLOOKUP(A1300,'Discount Lookup'!J:K,2)*G1300*(1-$AC$1786)*(1+$AC$1788)),IF(AD1300="NVP",(VLOOKUP(A1300,'Discount Lookup'!J:K,2)*G1300*(1-$AC$1786)*(1+$AC$1788)),IF(AD1300="free","re-planting",IF(G1300=0,"",IF($AD$8="",IF(AD1300="me","not NVP, by",IF(AD1300="",IF(G1300&gt;0,(VLOOKUP(A1300,'Discount Lookup'!J:K,2)*G1300*(1-$AC$1786)*(1+$AC$1788)),""),"")),"not NVP, by"))))))))</f>
        <v/>
      </c>
      <c r="AC1300" s="830"/>
      <c r="AD1300" s="375" t="str">
        <f t="shared" si="3205"/>
        <v/>
      </c>
      <c r="AE1300" s="833" t="str">
        <f t="shared" ref="AE1300:AE1302" si="3255">IF(G1300&gt;0,(CONCATENATE((G1300)," quantity, ",(A1300)," ",B1300)),"")</f>
        <v/>
      </c>
      <c r="AF1300" s="833"/>
      <c r="AG1300" s="833"/>
      <c r="AH1300" s="91">
        <f>IF(AD1300="free",0,IF(AD1300="me",0,IF(G1300&gt;0,(VLOOKUP(A1300,'Discount Lookup'!J:K,2)*G1300),0)))</f>
        <v>0</v>
      </c>
      <c r="AI1300" s="92" t="str">
        <f t="shared" si="3250"/>
        <v/>
      </c>
      <c r="AJ1300" s="828" t="str">
        <f t="shared" ref="AJ1300:AJ1302" si="3256">IF(G1300=0,"",IF(AD1300="me","  delivery-only",IF($AD$8="me","  delivery-only",CONCATENATE(" $",ROUND(AI1300/G1300,2)," each"))))</f>
        <v/>
      </c>
      <c r="AK1300" s="828"/>
      <c r="AL1300" s="313" t="str">
        <f t="shared" si="3242"/>
        <v/>
      </c>
      <c r="AM1300" s="537"/>
      <c r="AN1300" s="537"/>
      <c r="AO1300" s="537"/>
      <c r="AP1300" s="537"/>
      <c r="AQ1300" s="537"/>
      <c r="AR1300" s="537"/>
      <c r="AS1300" s="537"/>
      <c r="AT1300" s="537"/>
    </row>
    <row r="1301" spans="1:48" ht="12.95" customHeight="1">
      <c r="A1301" s="383">
        <v>3</v>
      </c>
      <c r="B1301" s="158" t="s">
        <v>50</v>
      </c>
      <c r="C1301" s="168" t="s">
        <v>236</v>
      </c>
      <c r="D1301" s="161" t="s">
        <v>86</v>
      </c>
      <c r="E1301" s="162">
        <v>30.95</v>
      </c>
      <c r="F1301" s="713" t="s">
        <v>1306</v>
      </c>
      <c r="G1301" s="357">
        <v>0</v>
      </c>
      <c r="H1301" s="748" t="str">
        <f t="shared" ref="H1301" si="3257">IF(G1301=0,"",IF(F1301="Qty=",IF(G1301=1,"plant","plants"),IF(F1301&gt;0.0001,"warranty","Error")))</f>
        <v/>
      </c>
      <c r="I1301" s="592">
        <f t="shared" ref="I1301" si="3258">IF(F1301="Qty=",(E1301*G1301),((E1301*(1-F1301))*G1301))</f>
        <v>0</v>
      </c>
      <c r="J1301" s="592">
        <f>IF(H1301="warranty",0,(I1301*($J$1782)))</f>
        <v>0</v>
      </c>
      <c r="K1301" s="834">
        <f t="shared" ref="K1301" si="3259">I1301+J1301</f>
        <v>0</v>
      </c>
      <c r="L1301" s="834"/>
      <c r="M1301" s="832" t="str">
        <f>IF($H$1784=0,"",IF(G1301=0,"",IF(F1301="Qty=",CONCATENATE("$",ROUND(K1301*(1-$H$1784),2)," with ",($H$1784*100),"% discount"),CONCATENATE("$",ROUND(K1301*(1-$H$1784),2)," with ",(($H$1784*100+F1301*100)-($H$1784*100*F1301)),IF(F1301&gt;0,"% discounts",IF($H$1781&gt;0,"% discounts","% discount"))))))</f>
        <v/>
      </c>
      <c r="N1301" s="832"/>
      <c r="O1301" s="832"/>
      <c r="P1301" s="832"/>
      <c r="Q1301" s="832"/>
      <c r="R1301" s="832"/>
      <c r="S1301" s="303">
        <f t="shared" ref="S1301" si="3260">E1301*G1301</f>
        <v>0</v>
      </c>
      <c r="T1301" s="541">
        <f>VLOOKUP(A1301,'Discount Lookup'!D:E,2,FALSE)*G1301</f>
        <v>0</v>
      </c>
      <c r="U1301" s="83">
        <f>VLOOKUP(A1301,'Discount Lookup'!G:H,2,FALSE)*G1301</f>
        <v>0</v>
      </c>
      <c r="V1301" s="100">
        <f>E1301*($J$1782)*G1301</f>
        <v>0</v>
      </c>
      <c r="W1301" s="100">
        <f t="shared" ref="W1301" si="3261">I1301</f>
        <v>0</v>
      </c>
      <c r="X1301" s="100" t="b">
        <f>IF(G1301&gt;0,IF(AD1301="me","",G1301))</f>
        <v>0</v>
      </c>
      <c r="Y1301" s="201"/>
      <c r="Z1301" s="829" t="str">
        <f t="shared" si="3254"/>
        <v/>
      </c>
      <c r="AA1301" s="829"/>
      <c r="AB1301" s="830" t="str">
        <f>IF(G1301=0,"",IF(AD1301="free","re-planting",IF(AD1301="me","not NVP, by",IF($AD$8="yes",(VLOOKUP(A1301,'Discount Lookup'!J:K,2)*G1301*(1-$AC$1786)*(1+$AC$1788)),IF(AD1301="NVP",(VLOOKUP(A1301,'Discount Lookup'!J:K,2)*G1301*(1-$AC$1786)*(1+$AC$1788)),IF(AD1301="free","re-planting",IF(G1301=0,"",IF($AD$8="",IF(AD1301="me","not NVP, by",IF(AD1301="",IF(G1301&gt;0,(VLOOKUP(A1301,'Discount Lookup'!J:K,2)*G1301*(1-$AC$1786)*(1+$AC$1788)),""),"")),"not NVP, by"))))))))</f>
        <v/>
      </c>
      <c r="AC1301" s="830"/>
      <c r="AD1301" s="375" t="str">
        <f t="shared" si="3205"/>
        <v/>
      </c>
      <c r="AE1301" s="833" t="str">
        <f t="shared" si="3255"/>
        <v/>
      </c>
      <c r="AF1301" s="833"/>
      <c r="AG1301" s="833"/>
      <c r="AH1301" s="91">
        <f>IF(AD1301="free",0,IF(AD1301="me",0,IF(G1301&gt;0,(VLOOKUP(A1301,'Discount Lookup'!J:K,2)*G1301),0)))</f>
        <v>0</v>
      </c>
      <c r="AI1301" s="92" t="str">
        <f t="shared" si="3250"/>
        <v/>
      </c>
      <c r="AJ1301" s="828" t="str">
        <f t="shared" si="3256"/>
        <v/>
      </c>
      <c r="AK1301" s="828"/>
      <c r="AL1301" s="313" t="str">
        <f t="shared" si="3242"/>
        <v/>
      </c>
      <c r="AM1301" s="312"/>
      <c r="AN1301" s="101"/>
      <c r="AO1301" s="101"/>
      <c r="AP1301" s="101"/>
      <c r="AQ1301" s="101"/>
      <c r="AR1301" s="101"/>
      <c r="AS1301" s="101"/>
      <c r="AT1301" s="101"/>
    </row>
    <row r="1302" spans="1:48" ht="12.95" customHeight="1">
      <c r="A1302" s="485"/>
      <c r="B1302" s="149" t="s">
        <v>1492</v>
      </c>
      <c r="G1302" s="361"/>
      <c r="H1302" s="746"/>
      <c r="M1302" s="48"/>
      <c r="N1302" s="122" t="s">
        <v>336</v>
      </c>
      <c r="O1302" s="123"/>
      <c r="P1302" s="124"/>
      <c r="Q1302" s="48"/>
      <c r="R1302" s="48"/>
      <c r="S1302" s="48"/>
      <c r="T1302" s="546"/>
      <c r="W1302" s="286"/>
      <c r="X1302" s="286"/>
      <c r="Y1302" s="794"/>
      <c r="Z1302" s="829" t="str">
        <f t="shared" si="3254"/>
        <v/>
      </c>
      <c r="AA1302" s="829"/>
      <c r="AB1302" s="830" t="str">
        <f>IF(G1302=0,"",IF(AD1302="free","re-planting",IF(AD1302="me","not NVP, by",IF($AD$8="yes",(VLOOKUP(A1302,'Discount Lookup'!J:K,2)*G1302*(1-$AC$1786)*(1+$AC$1788)),IF(AD1302="NVP",(VLOOKUP(A1302,'Discount Lookup'!J:K,2)*G1302*(1-$AC$1786)*(1+$AC$1788)),IF(AD1302="free","re-planting",IF(G1302=0,"",IF($AD$8="",IF(AD1302="me","not NVP, by",IF(AD1302="",IF(G1302&gt;0,(VLOOKUP(A1302,'Discount Lookup'!J:K,2)*G1302*(1-$AC$1786)*(1+$AC$1788)),""),"")),"not NVP, by"))))))))</f>
        <v/>
      </c>
      <c r="AC1302" s="830"/>
      <c r="AD1302" s="375" t="str">
        <f t="shared" si="3205"/>
        <v/>
      </c>
      <c r="AE1302" s="833" t="str">
        <f t="shared" si="3255"/>
        <v/>
      </c>
      <c r="AF1302" s="833"/>
      <c r="AG1302" s="833"/>
      <c r="AH1302" s="91">
        <f>IF(AD1302="free",0,IF(AD1302="me",0,IF(G1302&gt;0,(VLOOKUP(A1302,'Discount Lookup'!J:K,2)*G1302),0)))</f>
        <v>0</v>
      </c>
      <c r="AI1302" s="92" t="str">
        <f t="shared" si="3250"/>
        <v/>
      </c>
      <c r="AJ1302" s="828" t="str">
        <f t="shared" si="3256"/>
        <v/>
      </c>
      <c r="AK1302" s="828"/>
      <c r="AL1302" s="313" t="str">
        <f t="shared" si="3242"/>
        <v/>
      </c>
      <c r="AM1302" s="537"/>
      <c r="AN1302" s="537"/>
      <c r="AO1302" s="537"/>
      <c r="AP1302" s="537"/>
      <c r="AQ1302" s="537"/>
      <c r="AR1302" s="537"/>
      <c r="AS1302" s="537"/>
      <c r="AT1302" s="537"/>
    </row>
    <row r="1303" spans="1:48" ht="12.95" customHeight="1">
      <c r="A1303" s="889" t="s">
        <v>717</v>
      </c>
      <c r="B1303" s="890"/>
      <c r="C1303" s="890"/>
      <c r="D1303" s="890"/>
      <c r="E1303" s="890"/>
      <c r="F1303" s="890"/>
      <c r="G1303" s="890"/>
      <c r="H1303" s="775" t="s">
        <v>621</v>
      </c>
      <c r="I1303" s="349" t="s">
        <v>280</v>
      </c>
      <c r="J1303" s="157"/>
      <c r="K1303" s="611" t="s">
        <v>45</v>
      </c>
      <c r="L1303" s="630" t="s">
        <v>46</v>
      </c>
      <c r="M1303" s="157"/>
      <c r="N1303" s="352" t="s">
        <v>75</v>
      </c>
      <c r="O1303" s="158"/>
      <c r="P1303" s="158"/>
      <c r="Q1303" s="158"/>
      <c r="R1303" s="157"/>
      <c r="S1303" s="170"/>
      <c r="T1303" s="547"/>
      <c r="U1303" s="171"/>
      <c r="V1303" s="100" t="b">
        <f>IF(G1303&gt;0,IF(AD1303="me","",G1303))</f>
        <v>0</v>
      </c>
      <c r="W1303" s="100"/>
      <c r="X1303" s="100"/>
      <c r="Y1303" s="201"/>
      <c r="Z1303" s="829" t="str">
        <f t="shared" si="3193"/>
        <v/>
      </c>
      <c r="AA1303" s="829"/>
      <c r="AB1303" s="830" t="str">
        <f>IF(G1303=0,"",IF(AD1303="free","re-planting",IF(AD1303="me","not NVP, by",IF($AD$8="yes",(VLOOKUP(A1303,'Discount Lookup'!J:K,2)*G1303*(1-$AC$1786)*(1+$AC$1788)),IF(AD1303="NVP",(VLOOKUP(A1303,'Discount Lookup'!J:K,2)*G1303*(1-$AC$1786)*(1+$AC$1788)),IF(AD1303="free","re-planting",IF(G1303=0,"",IF($AD$8="",IF(AD1303="me","not NVP, by",IF(AD1303="",IF(G1303&gt;0,(VLOOKUP(A1303,'Discount Lookup'!J:K,2)*G1303*(1-$AC$1786)*(1+$AC$1788)),""),"")),"not NVP, by"))))))))</f>
        <v/>
      </c>
      <c r="AC1303" s="830"/>
      <c r="AD1303" s="375" t="str">
        <f t="shared" si="3205"/>
        <v/>
      </c>
      <c r="AE1303" s="833" t="str">
        <f t="shared" si="3150"/>
        <v/>
      </c>
      <c r="AF1303" s="833"/>
      <c r="AG1303" s="833"/>
      <c r="AH1303" s="91">
        <f>IF(AD1303="free",0,IF(AD1303="me",0,IF(G1303&gt;0,(VLOOKUP(A1303,'Discount Lookup'!J:K,2)*G1303),0)))</f>
        <v>0</v>
      </c>
      <c r="AI1303" s="92" t="str">
        <f t="shared" si="3250"/>
        <v/>
      </c>
      <c r="AJ1303" s="828" t="str">
        <f t="shared" si="3194"/>
        <v/>
      </c>
      <c r="AK1303" s="828"/>
      <c r="AL1303" s="313" t="str">
        <f t="shared" si="3242"/>
        <v/>
      </c>
      <c r="AM1303" s="312"/>
      <c r="AN1303" s="101"/>
      <c r="AO1303" s="101"/>
      <c r="AP1303" s="101"/>
      <c r="AQ1303" s="101"/>
      <c r="AR1303" s="101"/>
      <c r="AS1303" s="101"/>
      <c r="AT1303" s="101"/>
    </row>
    <row r="1304" spans="1:48" ht="12.95" customHeight="1">
      <c r="A1304" s="383">
        <v>3</v>
      </c>
      <c r="B1304" s="158" t="s">
        <v>50</v>
      </c>
      <c r="C1304" s="168" t="s">
        <v>236</v>
      </c>
      <c r="D1304" s="161" t="s">
        <v>86</v>
      </c>
      <c r="E1304" s="162">
        <v>30.95</v>
      </c>
      <c r="F1304" s="713" t="s">
        <v>1306</v>
      </c>
      <c r="G1304" s="357">
        <v>0</v>
      </c>
      <c r="H1304" s="748" t="str">
        <f t="shared" ref="H1304:H1306" si="3262">IF(G1304=0,"",IF(F1304="Qty=",IF(G1304=1,"plant","plants"),IF(F1304&gt;0.0001,"warranty","Error")))</f>
        <v/>
      </c>
      <c r="I1304" s="592">
        <f t="shared" ref="I1304:I1306" si="3263">IF(F1304="Qty=",(E1304*G1304),((E1304*(1-F1304))*G1304))</f>
        <v>0</v>
      </c>
      <c r="J1304" s="592">
        <f>IF(H1304="warranty",0,(I1304*($J$1782)))</f>
        <v>0</v>
      </c>
      <c r="K1304" s="834">
        <f t="shared" ref="K1304:K1306" si="3264">I1304+J1304</f>
        <v>0</v>
      </c>
      <c r="L1304" s="834"/>
      <c r="M1304" s="832" t="str">
        <f>IF($H$1784=0,"",IF(G1304=0,"",IF(F1304="Qty=",CONCATENATE("$",ROUND(K1304*(1-$H$1784),2)," with ",($H$1784*100),"% discount"),CONCATENATE("$",ROUND(K1304*(1-$H$1784),2)," with ",(($H$1784*100+F1304*100)-($H$1784*100*F1304)),IF(F1304&gt;0,"% discounts",IF($H$1781&gt;0,"% discounts","% discount"))))))</f>
        <v/>
      </c>
      <c r="N1304" s="832"/>
      <c r="O1304" s="832"/>
      <c r="P1304" s="832"/>
      <c r="Q1304" s="832"/>
      <c r="R1304" s="832"/>
      <c r="S1304" s="303">
        <f t="shared" ref="S1304:S1306" si="3265">E1304*G1304</f>
        <v>0</v>
      </c>
      <c r="T1304" s="541">
        <f>VLOOKUP(A1304,'Discount Lookup'!D:E,2,FALSE)*G1304</f>
        <v>0</v>
      </c>
      <c r="U1304" s="83">
        <f>VLOOKUP(A1304,'Discount Lookup'!G:H,2,FALSE)*G1304</f>
        <v>0</v>
      </c>
      <c r="V1304" s="100">
        <f>E1304*($J$1782)*G1304</f>
        <v>0</v>
      </c>
      <c r="W1304" s="100">
        <f t="shared" ref="W1304:W1306" si="3266">I1304</f>
        <v>0</v>
      </c>
      <c r="X1304" s="100" t="b">
        <f>IF(G1304&gt;0,IF(AD1304="me","",G1304))</f>
        <v>0</v>
      </c>
      <c r="Y1304" s="201"/>
      <c r="Z1304" s="829" t="str">
        <f t="shared" si="3193"/>
        <v/>
      </c>
      <c r="AA1304" s="829"/>
      <c r="AB1304" s="830" t="str">
        <f>IF(G1304=0,"",IF(AD1304="free","re-planting",IF(AD1304="me","not NVP, by",IF($AD$8="yes",(VLOOKUP(A1304,'Discount Lookup'!J:K,2)*G1304*(1-$AC$1786)*(1+$AC$1788)),IF(AD1304="NVP",(VLOOKUP(A1304,'Discount Lookup'!J:K,2)*G1304*(1-$AC$1786)*(1+$AC$1788)),IF(AD1304="free","re-planting",IF(G1304=0,"",IF($AD$8="",IF(AD1304="me","not NVP, by",IF(AD1304="",IF(G1304&gt;0,(VLOOKUP(A1304,'Discount Lookup'!J:K,2)*G1304*(1-$AC$1786)*(1+$AC$1788)),""),"")),"not NVP, by"))))))))</f>
        <v/>
      </c>
      <c r="AC1304" s="830"/>
      <c r="AD1304" s="375" t="str">
        <f t="shared" si="3205"/>
        <v/>
      </c>
      <c r="AE1304" s="833" t="str">
        <f t="shared" si="3150"/>
        <v/>
      </c>
      <c r="AF1304" s="833"/>
      <c r="AG1304" s="833"/>
      <c r="AH1304" s="91">
        <f>IF(AD1304="free",0,IF(AD1304="me",0,IF(G1304&gt;0,(VLOOKUP(A1304,'Discount Lookup'!J:K,2)*G1304),0)))</f>
        <v>0</v>
      </c>
      <c r="AI1304" s="92" t="str">
        <f t="shared" si="3250"/>
        <v/>
      </c>
      <c r="AJ1304" s="828" t="str">
        <f t="shared" si="3194"/>
        <v/>
      </c>
      <c r="AK1304" s="828"/>
      <c r="AL1304" s="313" t="str">
        <f t="shared" si="3242"/>
        <v/>
      </c>
      <c r="AM1304" s="312"/>
      <c r="AN1304" s="101"/>
      <c r="AO1304" s="101"/>
      <c r="AP1304" s="101"/>
      <c r="AQ1304" s="101"/>
      <c r="AR1304" s="101"/>
      <c r="AS1304" s="101"/>
      <c r="AT1304" s="101"/>
    </row>
    <row r="1305" spans="1:48" ht="12.95" customHeight="1">
      <c r="A1305" s="383">
        <v>3</v>
      </c>
      <c r="B1305" s="158" t="s">
        <v>50</v>
      </c>
      <c r="C1305" s="168" t="s">
        <v>136</v>
      </c>
      <c r="D1305" s="161" t="s">
        <v>87</v>
      </c>
      <c r="E1305" s="162">
        <v>31.95</v>
      </c>
      <c r="F1305" s="713" t="s">
        <v>1306</v>
      </c>
      <c r="G1305" s="357">
        <v>0</v>
      </c>
      <c r="H1305" s="748" t="str">
        <f t="shared" si="3262"/>
        <v/>
      </c>
      <c r="I1305" s="592">
        <f t="shared" si="3263"/>
        <v>0</v>
      </c>
      <c r="J1305" s="592">
        <f>IF(H1305="warranty",0,(I1305*($J$1782)))</f>
        <v>0</v>
      </c>
      <c r="K1305" s="834">
        <f t="shared" si="3264"/>
        <v>0</v>
      </c>
      <c r="L1305" s="834"/>
      <c r="M1305" s="832" t="str">
        <f>IF($H$1784=0,"",IF(G1305=0,"",IF(F1305="Qty=",CONCATENATE("$",ROUND(K1305*(1-$H$1784),2)," with ",($H$1784*100),"% discount"),CONCATENATE("$",ROUND(K1305*(1-$H$1784),2)," with ",(($H$1784*100+F1305*100)-($H$1784*100*F1305)),IF(F1305&gt;0,"% discounts",IF($H$1781&gt;0,"% discounts","% discount"))))))</f>
        <v/>
      </c>
      <c r="N1305" s="832"/>
      <c r="O1305" s="832"/>
      <c r="P1305" s="832"/>
      <c r="Q1305" s="832"/>
      <c r="R1305" s="832"/>
      <c r="S1305" s="303">
        <f t="shared" si="3265"/>
        <v>0</v>
      </c>
      <c r="T1305" s="541">
        <f>VLOOKUP(A1305,'Discount Lookup'!D:E,2,FALSE)*G1305</f>
        <v>0</v>
      </c>
      <c r="U1305" s="83">
        <f>VLOOKUP(A1305,'Discount Lookup'!G:H,2,FALSE)*G1305</f>
        <v>0</v>
      </c>
      <c r="V1305" s="100">
        <f>E1305*($J$1782)*G1305</f>
        <v>0</v>
      </c>
      <c r="W1305" s="100">
        <f t="shared" si="3266"/>
        <v>0</v>
      </c>
      <c r="X1305" s="100" t="b">
        <f>IF(G1305&gt;0,IF(AD1305="me","",G1305))</f>
        <v>0</v>
      </c>
      <c r="Y1305" s="201"/>
      <c r="Z1305" s="829" t="str">
        <f t="shared" si="3193"/>
        <v/>
      </c>
      <c r="AA1305" s="829"/>
      <c r="AB1305" s="830" t="str">
        <f>IF(G1305=0,"",IF(AD1305="free","re-planting",IF(AD1305="me","not NVP, by",IF($AD$8="yes",(VLOOKUP(A1305,'Discount Lookup'!J:K,2)*G1305*(1-$AC$1786)*(1+$AC$1788)),IF(AD1305="NVP",(VLOOKUP(A1305,'Discount Lookup'!J:K,2)*G1305*(1-$AC$1786)*(1+$AC$1788)),IF(AD1305="free","re-planting",IF(G1305=0,"",IF($AD$8="",IF(AD1305="me","not NVP, by",IF(AD1305="",IF(G1305&gt;0,(VLOOKUP(A1305,'Discount Lookup'!J:K,2)*G1305*(1-$AC$1786)*(1+$AC$1788)),""),"")),"not NVP, by"))))))))</f>
        <v/>
      </c>
      <c r="AC1305" s="830"/>
      <c r="AD1305" s="375" t="str">
        <f t="shared" si="3205"/>
        <v/>
      </c>
      <c r="AE1305" s="833" t="str">
        <f t="shared" si="3150"/>
        <v/>
      </c>
      <c r="AF1305" s="833"/>
      <c r="AG1305" s="833"/>
      <c r="AH1305" s="91">
        <f>IF(AD1305="free",0,IF(AD1305="me",0,IF(G1305&gt;0,(VLOOKUP(A1305,'Discount Lookup'!J:K,2)*G1305),0)))</f>
        <v>0</v>
      </c>
      <c r="AI1305" s="92" t="str">
        <f t="shared" si="3250"/>
        <v/>
      </c>
      <c r="AJ1305" s="828" t="str">
        <f t="shared" si="3194"/>
        <v/>
      </c>
      <c r="AK1305" s="828"/>
      <c r="AL1305" s="313" t="str">
        <f t="shared" si="3242"/>
        <v/>
      </c>
      <c r="AM1305" s="312"/>
      <c r="AN1305" s="101"/>
      <c r="AO1305" s="101"/>
      <c r="AP1305" s="101"/>
      <c r="AQ1305" s="101"/>
      <c r="AR1305" s="101"/>
      <c r="AS1305" s="101"/>
      <c r="AT1305" s="101"/>
      <c r="AV1305" s="132"/>
    </row>
    <row r="1306" spans="1:48" ht="12.95" customHeight="1">
      <c r="A1306" s="383">
        <v>3</v>
      </c>
      <c r="B1306" s="158" t="s">
        <v>50</v>
      </c>
      <c r="C1306" s="168" t="s">
        <v>136</v>
      </c>
      <c r="D1306" s="161" t="s">
        <v>94</v>
      </c>
      <c r="E1306" s="162">
        <v>31.95</v>
      </c>
      <c r="F1306" s="713" t="s">
        <v>1306</v>
      </c>
      <c r="G1306" s="357">
        <v>0</v>
      </c>
      <c r="H1306" s="748" t="str">
        <f t="shared" si="3262"/>
        <v/>
      </c>
      <c r="I1306" s="592">
        <f t="shared" si="3263"/>
        <v>0</v>
      </c>
      <c r="J1306" s="592">
        <f>IF(H1306="warranty",0,(I1306*($J$1782)))</f>
        <v>0</v>
      </c>
      <c r="K1306" s="834">
        <f t="shared" si="3264"/>
        <v>0</v>
      </c>
      <c r="L1306" s="834"/>
      <c r="M1306" s="832" t="str">
        <f>IF($H$1784=0,"",IF(G1306=0,"",IF(F1306="Qty=",CONCATENATE("$",ROUND(K1306*(1-$H$1784),2)," with ",($H$1784*100),"% discount"),CONCATENATE("$",ROUND(K1306*(1-$H$1784),2)," with ",(($H$1784*100+F1306*100)-($H$1784*100*F1306)),IF(F1306&gt;0,"% discounts",IF($H$1781&gt;0,"% discounts","% discount"))))))</f>
        <v/>
      </c>
      <c r="N1306" s="832"/>
      <c r="O1306" s="832"/>
      <c r="P1306" s="832"/>
      <c r="Q1306" s="832"/>
      <c r="R1306" s="832"/>
      <c r="S1306" s="303">
        <f t="shared" si="3265"/>
        <v>0</v>
      </c>
      <c r="T1306" s="541">
        <f>VLOOKUP(A1306,'Discount Lookup'!D:E,2,FALSE)*G1306</f>
        <v>0</v>
      </c>
      <c r="U1306" s="83">
        <f>VLOOKUP(A1306,'Discount Lookup'!G:H,2,FALSE)*G1306</f>
        <v>0</v>
      </c>
      <c r="V1306" s="100">
        <f>E1306*($J$1782)*G1306</f>
        <v>0</v>
      </c>
      <c r="W1306" s="100">
        <f t="shared" si="3266"/>
        <v>0</v>
      </c>
      <c r="X1306" s="100" t="b">
        <f>IF(G1306&gt;0,IF(AD1306="me","",G1306))</f>
        <v>0</v>
      </c>
      <c r="Y1306" s="201"/>
      <c r="Z1306" s="829" t="str">
        <f t="shared" si="3193"/>
        <v/>
      </c>
      <c r="AA1306" s="829"/>
      <c r="AB1306" s="830" t="str">
        <f>IF(G1306=0,"",IF(AD1306="free","re-planting",IF(AD1306="me","not NVP, by",IF($AD$8="yes",(VLOOKUP(A1306,'Discount Lookup'!J:K,2)*G1306*(1-$AC$1786)*(1+$AC$1788)),IF(AD1306="NVP",(VLOOKUP(A1306,'Discount Lookup'!J:K,2)*G1306*(1-$AC$1786)*(1+$AC$1788)),IF(AD1306="free","re-planting",IF(G1306=0,"",IF($AD$8="",IF(AD1306="me","not NVP, by",IF(AD1306="",IF(G1306&gt;0,(VLOOKUP(A1306,'Discount Lookup'!J:K,2)*G1306*(1-$AC$1786)*(1+$AC$1788)),""),"")),"not NVP, by"))))))))</f>
        <v/>
      </c>
      <c r="AC1306" s="830"/>
      <c r="AD1306" s="375" t="str">
        <f t="shared" si="3205"/>
        <v/>
      </c>
      <c r="AE1306" s="833" t="str">
        <f t="shared" si="3150"/>
        <v/>
      </c>
      <c r="AF1306" s="833"/>
      <c r="AG1306" s="833"/>
      <c r="AH1306" s="91">
        <f>IF(AD1306="free",0,IF(AD1306="me",0,IF(G1306&gt;0,(VLOOKUP(A1306,'Discount Lookup'!J:K,2)*G1306),0)))</f>
        <v>0</v>
      </c>
      <c r="AI1306" s="92" t="str">
        <f t="shared" si="3250"/>
        <v/>
      </c>
      <c r="AJ1306" s="828" t="str">
        <f t="shared" si="3194"/>
        <v/>
      </c>
      <c r="AK1306" s="828"/>
      <c r="AL1306" s="313" t="str">
        <f t="shared" si="3242"/>
        <v/>
      </c>
      <c r="AM1306" s="312"/>
      <c r="AN1306" s="101"/>
      <c r="AO1306" s="101"/>
      <c r="AP1306" s="101"/>
      <c r="AQ1306" s="101"/>
      <c r="AR1306" s="101"/>
      <c r="AS1306" s="101"/>
      <c r="AT1306" s="101"/>
    </row>
    <row r="1307" spans="1:48" ht="12.95" customHeight="1">
      <c r="A1307" s="477"/>
      <c r="B1307" s="149" t="s">
        <v>718</v>
      </c>
      <c r="D1307" s="118"/>
      <c r="E1307" s="119"/>
      <c r="F1307" s="711"/>
      <c r="G1307" s="356"/>
      <c r="H1307" s="745"/>
      <c r="I1307" s="119"/>
      <c r="J1307" s="119"/>
      <c r="K1307" s="609"/>
      <c r="L1307" s="609"/>
      <c r="M1307" s="121"/>
      <c r="N1307" s="122" t="s">
        <v>336</v>
      </c>
      <c r="O1307" s="123"/>
      <c r="P1307" s="124"/>
      <c r="Q1307" s="124"/>
      <c r="R1307" s="83"/>
      <c r="S1307" s="82">
        <f>E1307*G1307</f>
        <v>0</v>
      </c>
      <c r="T1307" s="540"/>
      <c r="U1307" s="83"/>
      <c r="V1307" s="100" t="b">
        <f>IF(G1307&gt;0,IF(AD1307="me","",G1307))</f>
        <v>0</v>
      </c>
      <c r="W1307" s="100"/>
      <c r="X1307" s="100"/>
      <c r="Y1307" s="201"/>
      <c r="Z1307" s="829" t="str">
        <f t="shared" si="3193"/>
        <v/>
      </c>
      <c r="AA1307" s="829"/>
      <c r="AB1307" s="830" t="str">
        <f>IF(G1307=0,"",IF(AD1307="free","re-planting",IF(AD1307="me","not NVP, by",IF($AD$8="yes",(VLOOKUP(A1307,'Discount Lookup'!J:K,2)*G1307*(1-$AC$1786)*(1+$AC$1788)),IF(AD1307="NVP",(VLOOKUP(A1307,'Discount Lookup'!J:K,2)*G1307*(1-$AC$1786)*(1+$AC$1788)),IF(AD1307="free","re-planting",IF(G1307=0,"",IF($AD$8="",IF(AD1307="me","not NVP, by",IF(AD1307="",IF(G1307&gt;0,(VLOOKUP(A1307,'Discount Lookup'!J:K,2)*G1307*(1-$AC$1786)*(1+$AC$1788)),""),"")),"not NVP, by"))))))))</f>
        <v/>
      </c>
      <c r="AC1307" s="830"/>
      <c r="AD1307" s="375" t="str">
        <f t="shared" si="3205"/>
        <v/>
      </c>
      <c r="AE1307" s="833" t="str">
        <f t="shared" si="3150"/>
        <v/>
      </c>
      <c r="AF1307" s="833"/>
      <c r="AG1307" s="833"/>
      <c r="AH1307" s="91">
        <f>IF(AD1307="free",0,IF(AD1307="me",0,IF(G1307&gt;0,(VLOOKUP(A1307,'Discount Lookup'!J:K,2)*G1307),0)))</f>
        <v>0</v>
      </c>
      <c r="AI1307" s="92" t="str">
        <f t="shared" si="3250"/>
        <v/>
      </c>
      <c r="AJ1307" s="828" t="str">
        <f t="shared" si="3194"/>
        <v/>
      </c>
      <c r="AK1307" s="828"/>
      <c r="AL1307" s="313" t="str">
        <f t="shared" si="3242"/>
        <v/>
      </c>
      <c r="AM1307" s="312"/>
      <c r="AN1307" s="101"/>
      <c r="AO1307" s="101"/>
      <c r="AP1307" s="101"/>
      <c r="AQ1307" s="101"/>
      <c r="AR1307" s="101"/>
      <c r="AS1307" s="101"/>
      <c r="AT1307" s="101"/>
    </row>
    <row r="1308" spans="1:48" ht="12.95" customHeight="1">
      <c r="A1308" s="889" t="s">
        <v>719</v>
      </c>
      <c r="B1308" s="890"/>
      <c r="C1308" s="890"/>
      <c r="D1308" s="890"/>
      <c r="E1308" s="890"/>
      <c r="F1308" s="890"/>
      <c r="G1308" s="890"/>
      <c r="H1308" s="775" t="s">
        <v>621</v>
      </c>
      <c r="I1308" s="349" t="s">
        <v>280</v>
      </c>
      <c r="J1308" s="157"/>
      <c r="K1308" s="611" t="s">
        <v>45</v>
      </c>
      <c r="L1308" s="630" t="s">
        <v>46</v>
      </c>
      <c r="M1308" s="157"/>
      <c r="N1308" s="352" t="s">
        <v>75</v>
      </c>
      <c r="O1308" s="158"/>
      <c r="P1308" s="158"/>
      <c r="Q1308" s="158"/>
      <c r="R1308" s="157"/>
      <c r="S1308" s="170"/>
      <c r="T1308" s="547"/>
      <c r="U1308" s="171"/>
      <c r="V1308" s="100" t="b">
        <f>IF(G1308&gt;0,IF(AD1308="me","",G1308))</f>
        <v>0</v>
      </c>
      <c r="W1308" s="100"/>
      <c r="X1308" s="100"/>
      <c r="Y1308" s="201"/>
      <c r="Z1308" s="829" t="str">
        <f t="shared" si="3193"/>
        <v/>
      </c>
      <c r="AA1308" s="829"/>
      <c r="AB1308" s="830" t="str">
        <f>IF(G1308=0,"",IF(AD1308="free","re-planting",IF(AD1308="me","not NVP, by",IF($AD$8="yes",(VLOOKUP(A1308,'Discount Lookup'!J:K,2)*G1308*(1-$AC$1786)*(1+$AC$1788)),IF(AD1308="NVP",(VLOOKUP(A1308,'Discount Lookup'!J:K,2)*G1308*(1-$AC$1786)*(1+$AC$1788)),IF(AD1308="free","re-planting",IF(G1308=0,"",IF($AD$8="",IF(AD1308="me","not NVP, by",IF(AD1308="",IF(G1308&gt;0,(VLOOKUP(A1308,'Discount Lookup'!J:K,2)*G1308*(1-$AC$1786)*(1+$AC$1788)),""),"")),"not NVP, by"))))))))</f>
        <v/>
      </c>
      <c r="AC1308" s="830"/>
      <c r="AD1308" s="375" t="str">
        <f t="shared" si="3205"/>
        <v/>
      </c>
      <c r="AE1308" s="833" t="str">
        <f t="shared" si="3150"/>
        <v/>
      </c>
      <c r="AF1308" s="833"/>
      <c r="AG1308" s="833"/>
      <c r="AH1308" s="91">
        <f>IF(AD1308="free",0,IF(AD1308="me",0,IF(G1308&gt;0,(VLOOKUP(A1308,'Discount Lookup'!J:K,2)*G1308),0)))</f>
        <v>0</v>
      </c>
      <c r="AI1308" s="92" t="str">
        <f t="shared" si="3250"/>
        <v/>
      </c>
      <c r="AJ1308" s="828" t="str">
        <f t="shared" si="3194"/>
        <v/>
      </c>
      <c r="AK1308" s="828"/>
      <c r="AL1308" s="313" t="str">
        <f t="shared" si="3242"/>
        <v/>
      </c>
      <c r="AM1308" s="312"/>
      <c r="AN1308" s="101"/>
      <c r="AO1308" s="101"/>
      <c r="AP1308" s="101"/>
      <c r="AQ1308" s="101"/>
      <c r="AR1308" s="101"/>
      <c r="AS1308" s="101"/>
      <c r="AT1308" s="101"/>
    </row>
    <row r="1309" spans="1:48" ht="12.95" customHeight="1">
      <c r="A1309" s="383">
        <v>3</v>
      </c>
      <c r="B1309" s="158" t="s">
        <v>50</v>
      </c>
      <c r="C1309" s="168" t="s">
        <v>136</v>
      </c>
      <c r="D1309" s="161" t="s">
        <v>86</v>
      </c>
      <c r="E1309" s="162">
        <v>30.95</v>
      </c>
      <c r="F1309" s="713" t="s">
        <v>1306</v>
      </c>
      <c r="G1309" s="357">
        <v>0</v>
      </c>
      <c r="H1309" s="748" t="str">
        <f t="shared" ref="H1309:H1311" si="3267">IF(G1309=0,"",IF(F1309="Qty=",IF(G1309=1,"plant","plants"),IF(F1309&gt;0.0001,"warranty","Error")))</f>
        <v/>
      </c>
      <c r="I1309" s="592">
        <f t="shared" ref="I1309:I1311" si="3268">IF(F1309="Qty=",(E1309*G1309),((E1309*(1-F1309))*G1309))</f>
        <v>0</v>
      </c>
      <c r="J1309" s="592">
        <f>IF(H1309="warranty",0,(I1309*($J$1782)))</f>
        <v>0</v>
      </c>
      <c r="K1309" s="834">
        <f t="shared" ref="K1309:K1311" si="3269">I1309+J1309</f>
        <v>0</v>
      </c>
      <c r="L1309" s="834"/>
      <c r="M1309" s="832" t="str">
        <f>IF($H$1784=0,"",IF(G1309=0,"",IF(F1309="Qty=",CONCATENATE("$",ROUND(K1309*(1-$H$1784),2)," with ",($H$1784*100),"% discount"),CONCATENATE("$",ROUND(K1309*(1-$H$1784),2)," with ",(($H$1784*100+F1309*100)-($H$1784*100*F1309)),IF(F1309&gt;0,"% discounts",IF($H$1781&gt;0,"% discounts","% discount"))))))</f>
        <v/>
      </c>
      <c r="N1309" s="832"/>
      <c r="O1309" s="832"/>
      <c r="P1309" s="832"/>
      <c r="Q1309" s="832"/>
      <c r="R1309" s="832"/>
      <c r="S1309" s="303">
        <f t="shared" ref="S1309:S1311" si="3270">E1309*G1309</f>
        <v>0</v>
      </c>
      <c r="T1309" s="541">
        <f>VLOOKUP(A1309,'Discount Lookup'!D:E,2,FALSE)*G1309</f>
        <v>0</v>
      </c>
      <c r="U1309" s="83">
        <f>VLOOKUP(A1309,'Discount Lookup'!G:H,2,FALSE)*G1309</f>
        <v>0</v>
      </c>
      <c r="V1309" s="100">
        <f>E1309*($J$1782)*G1309</f>
        <v>0</v>
      </c>
      <c r="W1309" s="100">
        <f t="shared" ref="W1309:W1311" si="3271">I1309</f>
        <v>0</v>
      </c>
      <c r="X1309" s="100" t="b">
        <f>IF(G1309&gt;0,IF(AD1309="me","",G1309))</f>
        <v>0</v>
      </c>
      <c r="Y1309" s="201"/>
      <c r="Z1309" s="829" t="str">
        <f t="shared" si="3193"/>
        <v/>
      </c>
      <c r="AA1309" s="829"/>
      <c r="AB1309" s="830" t="str">
        <f>IF(G1309=0,"",IF(AD1309="free","re-planting",IF(AD1309="me","not NVP, by",IF($AD$8="yes",(VLOOKUP(A1309,'Discount Lookup'!J:K,2)*G1309*(1-$AC$1786)*(1+$AC$1788)),IF(AD1309="NVP",(VLOOKUP(A1309,'Discount Lookup'!J:K,2)*G1309*(1-$AC$1786)*(1+$AC$1788)),IF(AD1309="free","re-planting",IF(G1309=0,"",IF($AD$8="",IF(AD1309="me","not NVP, by",IF(AD1309="",IF(G1309&gt;0,(VLOOKUP(A1309,'Discount Lookup'!J:K,2)*G1309*(1-$AC$1786)*(1+$AC$1788)),""),"")),"not NVP, by"))))))))</f>
        <v/>
      </c>
      <c r="AC1309" s="830"/>
      <c r="AD1309" s="375" t="str">
        <f t="shared" si="3205"/>
        <v/>
      </c>
      <c r="AE1309" s="833" t="str">
        <f t="shared" si="3150"/>
        <v/>
      </c>
      <c r="AF1309" s="833"/>
      <c r="AG1309" s="833"/>
      <c r="AH1309" s="91">
        <f>IF(AD1309="free",0,IF(AD1309="me",0,IF(G1309&gt;0,(VLOOKUP(A1309,'Discount Lookup'!J:K,2)*G1309),0)))</f>
        <v>0</v>
      </c>
      <c r="AI1309" s="92" t="str">
        <f t="shared" si="3250"/>
        <v/>
      </c>
      <c r="AJ1309" s="828" t="str">
        <f t="shared" si="3194"/>
        <v/>
      </c>
      <c r="AK1309" s="828"/>
      <c r="AL1309" s="313" t="str">
        <f t="shared" si="3242"/>
        <v/>
      </c>
      <c r="AM1309" s="312"/>
      <c r="AN1309" s="101"/>
      <c r="AO1309" s="101"/>
      <c r="AP1309" s="101"/>
      <c r="AQ1309" s="101"/>
      <c r="AR1309" s="101"/>
      <c r="AS1309" s="101"/>
      <c r="AT1309" s="101"/>
      <c r="AV1309" s="132"/>
    </row>
    <row r="1310" spans="1:48" ht="12.95" customHeight="1">
      <c r="A1310" s="383">
        <v>3</v>
      </c>
      <c r="B1310" s="158" t="s">
        <v>50</v>
      </c>
      <c r="C1310" s="168" t="s">
        <v>136</v>
      </c>
      <c r="D1310" s="161" t="s">
        <v>87</v>
      </c>
      <c r="E1310" s="162">
        <v>30.95</v>
      </c>
      <c r="F1310" s="713" t="s">
        <v>1306</v>
      </c>
      <c r="G1310" s="357">
        <v>0</v>
      </c>
      <c r="H1310" s="748" t="str">
        <f t="shared" si="3267"/>
        <v/>
      </c>
      <c r="I1310" s="592">
        <f t="shared" si="3268"/>
        <v>0</v>
      </c>
      <c r="J1310" s="592">
        <f>IF(H1310="warranty",0,(I1310*($J$1782)))</f>
        <v>0</v>
      </c>
      <c r="K1310" s="834">
        <f t="shared" si="3269"/>
        <v>0</v>
      </c>
      <c r="L1310" s="834"/>
      <c r="M1310" s="832" t="str">
        <f>IF($H$1784=0,"",IF(G1310=0,"",IF(F1310="Qty=",CONCATENATE("$",ROUND(K1310*(1-$H$1784),2)," with ",($H$1784*100),"% discount"),CONCATENATE("$",ROUND(K1310*(1-$H$1784),2)," with ",(($H$1784*100+F1310*100)-($H$1784*100*F1310)),IF(F1310&gt;0,"% discounts",IF($H$1781&gt;0,"% discounts","% discount"))))))</f>
        <v/>
      </c>
      <c r="N1310" s="832"/>
      <c r="O1310" s="832"/>
      <c r="P1310" s="832"/>
      <c r="Q1310" s="832"/>
      <c r="R1310" s="832"/>
      <c r="S1310" s="303">
        <f t="shared" ref="S1310" si="3272">E1310*G1310</f>
        <v>0</v>
      </c>
      <c r="T1310" s="541">
        <f>VLOOKUP(A1310,'Discount Lookup'!D:E,2,FALSE)*G1310</f>
        <v>0</v>
      </c>
      <c r="U1310" s="83">
        <f>VLOOKUP(A1310,'Discount Lookup'!G:H,2,FALSE)*G1310</f>
        <v>0</v>
      </c>
      <c r="V1310" s="100">
        <f>E1310*($J$1782)*G1310</f>
        <v>0</v>
      </c>
      <c r="W1310" s="100">
        <f t="shared" ref="W1310" si="3273">I1310</f>
        <v>0</v>
      </c>
      <c r="X1310" s="100" t="b">
        <f>IF(G1310&gt;0,IF(AD1310="me","",G1310))</f>
        <v>0</v>
      </c>
      <c r="Y1310" s="201"/>
      <c r="Z1310" s="829" t="str">
        <f t="shared" ref="Z1310" si="3274">IF(G1310=0,"",IF(AD1310="me","",IF($AD$8="me","",IF(AD1310="free","warranty",IF($AD$8="yes","NVP planting:","to NVP install:")))))</f>
        <v/>
      </c>
      <c r="AA1310" s="829"/>
      <c r="AB1310" s="830" t="str">
        <f>IF(G1310=0,"",IF(AD1310="free","re-planting",IF(AD1310="me","not NVP, by",IF($AD$8="yes",(VLOOKUP(A1310,'Discount Lookup'!J:K,2)*G1310*(1-$AC$1786)*(1+$AC$1788)),IF(AD1310="NVP",(VLOOKUP(A1310,'Discount Lookup'!J:K,2)*G1310*(1-$AC$1786)*(1+$AC$1788)),IF(AD1310="free","re-planting",IF(G1310=0,"",IF($AD$8="",IF(AD1310="me","not NVP, by",IF(AD1310="",IF(G1310&gt;0,(VLOOKUP(A1310,'Discount Lookup'!J:K,2)*G1310*(1-$AC$1786)*(1+$AC$1788)),""),"")),"not NVP, by"))))))))</f>
        <v/>
      </c>
      <c r="AC1310" s="830"/>
      <c r="AD1310" s="375" t="str">
        <f t="shared" si="3205"/>
        <v/>
      </c>
      <c r="AE1310" s="833" t="str">
        <f t="shared" ref="AE1310" si="3275">IF(G1310&gt;0,(CONCATENATE((G1310)," quantity, ",(A1310)," ",B1310)),"")</f>
        <v/>
      </c>
      <c r="AF1310" s="833"/>
      <c r="AG1310" s="833"/>
      <c r="AH1310" s="91">
        <f>IF(AD1310="free",0,IF(AD1310="me",0,IF(G1310&gt;0,(VLOOKUP(A1310,'Discount Lookup'!J:K,2)*G1310),0)))</f>
        <v>0</v>
      </c>
      <c r="AI1310" s="92" t="str">
        <f t="shared" si="3250"/>
        <v/>
      </c>
      <c r="AJ1310" s="828" t="str">
        <f t="shared" ref="AJ1310" si="3276">IF(G1310=0,"",IF(AD1310="me","  delivery-only",IF($AD$8="me","  delivery-only",CONCATENATE(" $",ROUND(AI1310/G1310,2)," each"))))</f>
        <v/>
      </c>
      <c r="AK1310" s="828"/>
      <c r="AL1310" s="313" t="str">
        <f t="shared" si="3242"/>
        <v/>
      </c>
      <c r="AM1310" s="312"/>
      <c r="AN1310" s="101"/>
      <c r="AO1310" s="101"/>
      <c r="AP1310" s="101"/>
      <c r="AQ1310" s="101"/>
      <c r="AR1310" s="101"/>
      <c r="AS1310" s="101"/>
      <c r="AT1310" s="101"/>
      <c r="AV1310" s="132"/>
    </row>
    <row r="1311" spans="1:48" ht="12.95" customHeight="1">
      <c r="A1311" s="383">
        <v>3</v>
      </c>
      <c r="B1311" s="158" t="s">
        <v>50</v>
      </c>
      <c r="C1311" s="160" t="s">
        <v>657</v>
      </c>
      <c r="D1311" s="161" t="s">
        <v>87</v>
      </c>
      <c r="E1311" s="162">
        <v>55.95</v>
      </c>
      <c r="F1311" s="713" t="s">
        <v>1306</v>
      </c>
      <c r="G1311" s="357">
        <v>0</v>
      </c>
      <c r="H1311" s="748" t="str">
        <f t="shared" si="3267"/>
        <v/>
      </c>
      <c r="I1311" s="592">
        <f t="shared" si="3268"/>
        <v>0</v>
      </c>
      <c r="J1311" s="592">
        <f>IF(H1311="warranty",0,(I1311*($J$1782)))</f>
        <v>0</v>
      </c>
      <c r="K1311" s="834">
        <f t="shared" si="3269"/>
        <v>0</v>
      </c>
      <c r="L1311" s="834"/>
      <c r="M1311" s="832" t="str">
        <f>IF($H$1784=0,"",IF(G1311=0,"",IF(F1311="Qty=",CONCATENATE("$",ROUND(K1311*(1-$H$1784),2)," with ",($H$1784*100),"% discount"),CONCATENATE("$",ROUND(K1311*(1-$H$1784),2)," with ",(($H$1784*100+F1311*100)-($H$1784*100*F1311)),IF(F1311&gt;0,"% discounts",IF($H$1781&gt;0,"% discounts","% discount"))))))</f>
        <v/>
      </c>
      <c r="N1311" s="832"/>
      <c r="O1311" s="832"/>
      <c r="P1311" s="832"/>
      <c r="Q1311" s="832"/>
      <c r="R1311" s="832"/>
      <c r="S1311" s="303">
        <f t="shared" si="3270"/>
        <v>0</v>
      </c>
      <c r="T1311" s="541">
        <f>VLOOKUP(A1311,'Discount Lookup'!D:E,2,FALSE)*G1311</f>
        <v>0</v>
      </c>
      <c r="U1311" s="83">
        <f>VLOOKUP(A1311,'Discount Lookup'!G:H,2,FALSE)*G1311</f>
        <v>0</v>
      </c>
      <c r="V1311" s="100">
        <f>E1311*($J$1782)*G1311</f>
        <v>0</v>
      </c>
      <c r="W1311" s="100">
        <f t="shared" si="3271"/>
        <v>0</v>
      </c>
      <c r="X1311" s="100" t="b">
        <f>IF(G1311&gt;0,IF(AD1311="me","",G1311))</f>
        <v>0</v>
      </c>
      <c r="Y1311" s="201"/>
      <c r="Z1311" s="829" t="str">
        <f t="shared" si="3193"/>
        <v/>
      </c>
      <c r="AA1311" s="829"/>
      <c r="AB1311" s="830" t="str">
        <f>IF(G1311=0,"",IF(AD1311="free","re-planting",IF(AD1311="me","not NVP, by",IF($AD$8="yes",(VLOOKUP(A1311,'Discount Lookup'!J:K,2)*G1311*(1-$AC$1786)*(1+$AC$1788)),IF(AD1311="NVP",(VLOOKUP(A1311,'Discount Lookup'!J:K,2)*G1311*(1-$AC$1786)*(1+$AC$1788)),IF(AD1311="free","re-planting",IF(G1311=0,"",IF($AD$8="",IF(AD1311="me","not NVP, by",IF(AD1311="",IF(G1311&gt;0,(VLOOKUP(A1311,'Discount Lookup'!J:K,2)*G1311*(1-$AC$1786)*(1+$AC$1788)),""),"")),"not NVP, by"))))))))</f>
        <v/>
      </c>
      <c r="AC1311" s="830"/>
      <c r="AD1311" s="375" t="str">
        <f t="shared" si="3205"/>
        <v/>
      </c>
      <c r="AE1311" s="833" t="str">
        <f t="shared" ref="AE1311:AE1380" si="3277">IF(G1311&gt;0,(CONCATENATE((G1311)," quantity, ",(A1311)," ",B1311)),"")</f>
        <v/>
      </c>
      <c r="AF1311" s="833"/>
      <c r="AG1311" s="833"/>
      <c r="AH1311" s="91">
        <f>IF(AD1311="free",0,IF(AD1311="me",0,IF(G1311&gt;0,(VLOOKUP(A1311,'Discount Lookup'!J:K,2)*G1311),0)))</f>
        <v>0</v>
      </c>
      <c r="AI1311" s="92" t="str">
        <f t="shared" si="3250"/>
        <v/>
      </c>
      <c r="AJ1311" s="828" t="str">
        <f t="shared" si="3194"/>
        <v/>
      </c>
      <c r="AK1311" s="828"/>
      <c r="AL1311" s="313" t="str">
        <f t="shared" si="3242"/>
        <v/>
      </c>
      <c r="AM1311" s="312"/>
      <c r="AN1311" s="101"/>
      <c r="AO1311" s="101"/>
      <c r="AP1311" s="101"/>
      <c r="AQ1311" s="101"/>
      <c r="AR1311" s="101"/>
      <c r="AS1311" s="101"/>
      <c r="AT1311" s="101"/>
      <c r="AV1311" s="132"/>
    </row>
    <row r="1312" spans="1:48" ht="12.95" customHeight="1">
      <c r="A1312" s="475"/>
      <c r="B1312" s="149" t="s">
        <v>720</v>
      </c>
      <c r="G1312" s="361"/>
      <c r="H1312" s="746"/>
      <c r="M1312" s="48"/>
      <c r="N1312" s="122" t="s">
        <v>336</v>
      </c>
      <c r="O1312" s="48"/>
      <c r="P1312" s="48"/>
      <c r="Q1312" s="48"/>
      <c r="R1312" s="48"/>
      <c r="S1312" s="82">
        <f>E1312*G1312</f>
        <v>0</v>
      </c>
      <c r="T1312" s="540"/>
      <c r="U1312" s="83"/>
      <c r="V1312" s="100" t="b">
        <f>IF(G1312&gt;0,IF(AD1312="me","",G1312))</f>
        <v>0</v>
      </c>
      <c r="W1312" s="100"/>
      <c r="X1312" s="100"/>
      <c r="Y1312" s="201"/>
      <c r="Z1312" s="829" t="str">
        <f t="shared" si="3193"/>
        <v/>
      </c>
      <c r="AA1312" s="829"/>
      <c r="AB1312" s="830" t="str">
        <f>IF(G1312=0,"",IF(AD1312="free","re-planting",IF(AD1312="me","not NVP, by",IF($AD$8="yes",(VLOOKUP(A1312,'Discount Lookup'!J:K,2)*G1312*(1-$AC$1786)*(1+$AC$1788)),IF(AD1312="NVP",(VLOOKUP(A1312,'Discount Lookup'!J:K,2)*G1312*(1-$AC$1786)*(1+$AC$1788)),IF(AD1312="free","re-planting",IF(G1312=0,"",IF($AD$8="",IF(AD1312="me","not NVP, by",IF(AD1312="",IF(G1312&gt;0,(VLOOKUP(A1312,'Discount Lookup'!J:K,2)*G1312*(1-$AC$1786)*(1+$AC$1788)),""),"")),"not NVP, by"))))))))</f>
        <v/>
      </c>
      <c r="AC1312" s="830"/>
      <c r="AD1312" s="375" t="str">
        <f t="shared" si="3205"/>
        <v/>
      </c>
      <c r="AE1312" s="833" t="str">
        <f t="shared" si="3277"/>
        <v/>
      </c>
      <c r="AF1312" s="833"/>
      <c r="AG1312" s="833"/>
      <c r="AH1312" s="91">
        <f>IF(AD1312="free",0,IF(AD1312="me",0,IF(G1312&gt;0,(VLOOKUP(A1312,'Discount Lookup'!J:K,2)*G1312),0)))</f>
        <v>0</v>
      </c>
      <c r="AI1312" s="92" t="str">
        <f t="shared" si="3250"/>
        <v/>
      </c>
      <c r="AJ1312" s="828" t="str">
        <f t="shared" si="3194"/>
        <v/>
      </c>
      <c r="AK1312" s="828"/>
      <c r="AL1312" s="313" t="str">
        <f t="shared" si="3242"/>
        <v/>
      </c>
      <c r="AM1312" s="312"/>
      <c r="AN1312" s="101"/>
      <c r="AO1312" s="101"/>
      <c r="AP1312" s="101"/>
      <c r="AQ1312" s="101"/>
      <c r="AR1312" s="101"/>
      <c r="AS1312" s="101"/>
      <c r="AT1312" s="101"/>
      <c r="AV1312" s="132"/>
    </row>
    <row r="1313" spans="1:48" ht="12.95" customHeight="1">
      <c r="A1313" s="889" t="s">
        <v>1438</v>
      </c>
      <c r="B1313" s="890"/>
      <c r="C1313" s="890"/>
      <c r="D1313" s="890"/>
      <c r="E1313" s="890"/>
      <c r="F1313" s="890"/>
      <c r="G1313" s="890"/>
      <c r="H1313" s="775" t="s">
        <v>721</v>
      </c>
      <c r="I1313" s="349" t="s">
        <v>280</v>
      </c>
      <c r="J1313" s="157"/>
      <c r="K1313" s="611" t="s">
        <v>45</v>
      </c>
      <c r="L1313" s="630" t="s">
        <v>46</v>
      </c>
      <c r="M1313" s="157"/>
      <c r="N1313" s="158" t="s">
        <v>98</v>
      </c>
      <c r="O1313" s="158"/>
      <c r="P1313" s="158"/>
      <c r="Q1313" s="158"/>
      <c r="R1313" s="157"/>
      <c r="S1313" s="170"/>
      <c r="T1313" s="547"/>
      <c r="U1313" s="159" t="s">
        <v>48</v>
      </c>
      <c r="V1313" s="100" t="b">
        <f>IF(G1313&gt;0,IF(AD1313="me","",G1313))</f>
        <v>0</v>
      </c>
      <c r="W1313" s="100"/>
      <c r="X1313" s="100"/>
      <c r="Y1313" s="201"/>
      <c r="Z1313" s="829" t="str">
        <f t="shared" si="3193"/>
        <v/>
      </c>
      <c r="AA1313" s="829"/>
      <c r="AB1313" s="830" t="str">
        <f>IF(G1313=0,"",IF(AD1313="free","re-planting",IF(AD1313="me","not NVP, by",IF($AD$8="yes",(VLOOKUP(A1313,'Discount Lookup'!J:K,2)*G1313*(1-$AC$1786)*(1+$AC$1788)),IF(AD1313="NVP",(VLOOKUP(A1313,'Discount Lookup'!J:K,2)*G1313*(1-$AC$1786)*(1+$AC$1788)),IF(AD1313="free","re-planting",IF(G1313=0,"",IF($AD$8="",IF(AD1313="me","not NVP, by",IF(AD1313="",IF(G1313&gt;0,(VLOOKUP(A1313,'Discount Lookup'!J:K,2)*G1313*(1-$AC$1786)*(1+$AC$1788)),""),"")),"not NVP, by"))))))))</f>
        <v/>
      </c>
      <c r="AC1313" s="830"/>
      <c r="AD1313" s="375" t="str">
        <f t="shared" si="3205"/>
        <v/>
      </c>
      <c r="AE1313" s="833" t="str">
        <f t="shared" si="3277"/>
        <v/>
      </c>
      <c r="AF1313" s="833"/>
      <c r="AG1313" s="833"/>
      <c r="AH1313" s="91">
        <f>IF(AD1313="free",0,IF(AD1313="me",0,IF(G1313&gt;0,(VLOOKUP(A1313,'Discount Lookup'!J:K,2)*G1313),0)))</f>
        <v>0</v>
      </c>
      <c r="AI1313" s="92" t="str">
        <f t="shared" si="3250"/>
        <v/>
      </c>
      <c r="AJ1313" s="828" t="str">
        <f t="shared" si="3194"/>
        <v/>
      </c>
      <c r="AK1313" s="828"/>
      <c r="AL1313" s="313" t="str">
        <f t="shared" si="3242"/>
        <v/>
      </c>
      <c r="AM1313" s="312"/>
      <c r="AN1313" s="101"/>
      <c r="AO1313" s="101"/>
      <c r="AP1313" s="101"/>
      <c r="AQ1313" s="101"/>
      <c r="AR1313" s="101"/>
      <c r="AS1313" s="101"/>
      <c r="AT1313" s="101"/>
      <c r="AV1313" s="132"/>
    </row>
    <row r="1314" spans="1:48" ht="12.95" customHeight="1">
      <c r="A1314" s="383">
        <v>3</v>
      </c>
      <c r="B1314" s="158" t="s">
        <v>50</v>
      </c>
      <c r="C1314" s="168" t="s">
        <v>136</v>
      </c>
      <c r="D1314" s="161" t="s">
        <v>87</v>
      </c>
      <c r="E1314" s="162">
        <v>39.950000000000003</v>
      </c>
      <c r="F1314" s="713" t="s">
        <v>1306</v>
      </c>
      <c r="G1314" s="357">
        <v>0</v>
      </c>
      <c r="H1314" s="748" t="str">
        <f t="shared" ref="H1314" si="3278">IF(G1314=0,"",IF(F1314="Qty=",IF(G1314=1,"plant","plants"),IF(F1314&gt;0.0001,"warranty","Error")))</f>
        <v/>
      </c>
      <c r="I1314" s="592">
        <f t="shared" ref="I1314" si="3279">IF(F1314="Qty=",(E1314*G1314),((E1314*(1-F1314))*G1314))</f>
        <v>0</v>
      </c>
      <c r="J1314" s="592">
        <f>IF(H1314="warranty",0,(I1314*($J$1782)))</f>
        <v>0</v>
      </c>
      <c r="K1314" s="834">
        <f t="shared" ref="K1314" si="3280">I1314+J1314</f>
        <v>0</v>
      </c>
      <c r="L1314" s="834"/>
      <c r="M1314" s="832" t="str">
        <f>IF($H$1784=0,"",IF(G1314=0,"",IF(F1314="Qty=",CONCATENATE("$",ROUND(K1314*(1-$H$1784),2)," with ",($H$1784*100),"% discount"),CONCATENATE("$",ROUND(K1314*(1-$H$1784),2)," with ",(($H$1784*100+F1314*100)-($H$1784*100*F1314)),IF(F1314&gt;0,"% discounts",IF($H$1781&gt;0,"% discounts","% discount"))))))</f>
        <v/>
      </c>
      <c r="N1314" s="832"/>
      <c r="O1314" s="832"/>
      <c r="P1314" s="832"/>
      <c r="Q1314" s="832"/>
      <c r="R1314" s="832"/>
      <c r="S1314" s="303">
        <f t="shared" ref="S1314" si="3281">E1314*G1314</f>
        <v>0</v>
      </c>
      <c r="T1314" s="541">
        <f>VLOOKUP(A1314,'Discount Lookup'!D:E,2,FALSE)*G1314</f>
        <v>0</v>
      </c>
      <c r="U1314" s="83">
        <f>VLOOKUP(A1314,'Discount Lookup'!G:H,2,FALSE)*G1314</f>
        <v>0</v>
      </c>
      <c r="V1314" s="100">
        <f>E1314*($J$1782)*G1314</f>
        <v>0</v>
      </c>
      <c r="W1314" s="100">
        <f t="shared" ref="W1314" si="3282">I1314</f>
        <v>0</v>
      </c>
      <c r="X1314" s="100" t="b">
        <f>IF(G1314&gt;0,IF(AD1314="me","",G1314))</f>
        <v>0</v>
      </c>
      <c r="Y1314" s="201"/>
      <c r="Z1314" s="829" t="str">
        <f t="shared" si="3193"/>
        <v/>
      </c>
      <c r="AA1314" s="829"/>
      <c r="AB1314" s="830" t="str">
        <f>IF(G1314=0,"",IF(AD1314="free","re-planting",IF(AD1314="me","not NVP, by",IF($AD$8="yes",(VLOOKUP(A1314,'Discount Lookup'!J:K,2)*G1314*(1-$AC$1786)*(1+$AC$1788)),IF(AD1314="NVP",(VLOOKUP(A1314,'Discount Lookup'!J:K,2)*G1314*(1-$AC$1786)*(1+$AC$1788)),IF(AD1314="free","re-planting",IF(G1314=0,"",IF($AD$8="",IF(AD1314="me","not NVP, by",IF(AD1314="",IF(G1314&gt;0,(VLOOKUP(A1314,'Discount Lookup'!J:K,2)*G1314*(1-$AC$1786)*(1+$AC$1788)),""),"")),"not NVP, by"))))))))</f>
        <v/>
      </c>
      <c r="AC1314" s="830"/>
      <c r="AD1314" s="375" t="str">
        <f t="shared" si="3205"/>
        <v/>
      </c>
      <c r="AE1314" s="833" t="str">
        <f t="shared" si="3277"/>
        <v/>
      </c>
      <c r="AF1314" s="833"/>
      <c r="AG1314" s="833"/>
      <c r="AH1314" s="91">
        <f>IF(AD1314="free",0,IF(AD1314="me",0,IF(G1314&gt;0,(VLOOKUP(A1314,'Discount Lookup'!J:K,2)*G1314),0)))</f>
        <v>0</v>
      </c>
      <c r="AI1314" s="92" t="str">
        <f t="shared" si="3250"/>
        <v/>
      </c>
      <c r="AJ1314" s="828" t="str">
        <f t="shared" si="3194"/>
        <v/>
      </c>
      <c r="AK1314" s="828"/>
      <c r="AL1314" s="313" t="str">
        <f t="shared" si="3242"/>
        <v/>
      </c>
      <c r="AM1314" s="312"/>
      <c r="AN1314" s="101"/>
      <c r="AO1314" s="101"/>
      <c r="AP1314" s="101"/>
      <c r="AQ1314" s="101"/>
      <c r="AR1314" s="101"/>
      <c r="AS1314" s="101"/>
      <c r="AT1314" s="101"/>
    </row>
    <row r="1315" spans="1:48" ht="12.95" customHeight="1">
      <c r="A1315" s="477"/>
      <c r="B1315" s="149" t="s">
        <v>722</v>
      </c>
      <c r="C1315" s="117"/>
      <c r="D1315" s="118"/>
      <c r="E1315" s="119"/>
      <c r="F1315" s="711"/>
      <c r="G1315" s="356"/>
      <c r="H1315" s="745"/>
      <c r="I1315" s="119"/>
      <c r="J1315" s="119"/>
      <c r="K1315" s="617" t="s">
        <v>723</v>
      </c>
      <c r="L1315" s="617"/>
      <c r="M1315" s="121"/>
      <c r="N1315" s="122" t="s">
        <v>331</v>
      </c>
      <c r="O1315" s="123"/>
      <c r="P1315" s="124"/>
      <c r="Q1315" s="124"/>
      <c r="R1315" s="83"/>
      <c r="S1315" s="82"/>
      <c r="T1315" s="540"/>
      <c r="U1315" s="83"/>
      <c r="V1315" s="100" t="b">
        <f>IF(G1315&gt;0,IF(AD1315="me","",G1315))</f>
        <v>0</v>
      </c>
      <c r="W1315" s="100"/>
      <c r="X1315" s="100"/>
      <c r="Y1315" s="201"/>
      <c r="Z1315" s="829" t="str">
        <f t="shared" si="3193"/>
        <v/>
      </c>
      <c r="AA1315" s="829"/>
      <c r="AB1315" s="830" t="str">
        <f>IF(G1315=0,"",IF(AD1315="free","re-planting",IF(AD1315="me","not NVP, by",IF($AD$8="yes",(VLOOKUP(A1315,'Discount Lookup'!J:K,2)*G1315*(1-$AC$1786)*(1+$AC$1788)),IF(AD1315="NVP",(VLOOKUP(A1315,'Discount Lookup'!J:K,2)*G1315*(1-$AC$1786)*(1+$AC$1788)),IF(AD1315="free","re-planting",IF(G1315=0,"",IF($AD$8="",IF(AD1315="me","not NVP, by",IF(AD1315="",IF(G1315&gt;0,(VLOOKUP(A1315,'Discount Lookup'!J:K,2)*G1315*(1-$AC$1786)*(1+$AC$1788)),""),"")),"not NVP, by"))))))))</f>
        <v/>
      </c>
      <c r="AC1315" s="830"/>
      <c r="AD1315" s="375" t="str">
        <f t="shared" si="3205"/>
        <v/>
      </c>
      <c r="AE1315" s="833" t="str">
        <f t="shared" si="3277"/>
        <v/>
      </c>
      <c r="AF1315" s="833"/>
      <c r="AG1315" s="833"/>
      <c r="AH1315" s="91">
        <f>IF(AD1315="free",0,IF(AD1315="me",0,IF(G1315&gt;0,(VLOOKUP(A1315,'Discount Lookup'!J:K,2)*G1315),0)))</f>
        <v>0</v>
      </c>
      <c r="AI1315" s="92" t="str">
        <f t="shared" si="3250"/>
        <v/>
      </c>
      <c r="AJ1315" s="828" t="str">
        <f t="shared" si="3194"/>
        <v/>
      </c>
      <c r="AK1315" s="828"/>
      <c r="AL1315" s="313" t="str">
        <f t="shared" si="3242"/>
        <v/>
      </c>
      <c r="AM1315" s="312"/>
      <c r="AN1315" s="101"/>
      <c r="AO1315" s="101"/>
      <c r="AP1315" s="101"/>
      <c r="AQ1315" s="101"/>
      <c r="AR1315" s="101"/>
      <c r="AS1315" s="101"/>
      <c r="AT1315" s="101"/>
    </row>
    <row r="1316" spans="1:48" ht="12.95" customHeight="1">
      <c r="A1316" s="889" t="s">
        <v>1439</v>
      </c>
      <c r="B1316" s="890"/>
      <c r="C1316" s="890"/>
      <c r="D1316" s="890"/>
      <c r="E1316" s="890"/>
      <c r="F1316" s="890"/>
      <c r="G1316" s="890"/>
      <c r="H1316" s="775" t="s">
        <v>721</v>
      </c>
      <c r="I1316" s="349" t="s">
        <v>280</v>
      </c>
      <c r="J1316" s="157"/>
      <c r="K1316" s="611" t="s">
        <v>45</v>
      </c>
      <c r="L1316" s="630" t="s">
        <v>46</v>
      </c>
      <c r="M1316" s="157"/>
      <c r="N1316" s="158" t="s">
        <v>98</v>
      </c>
      <c r="O1316" s="158"/>
      <c r="P1316" s="158"/>
      <c r="Q1316" s="158"/>
      <c r="R1316" s="157"/>
      <c r="S1316" s="170"/>
      <c r="T1316" s="547"/>
      <c r="U1316" s="159" t="s">
        <v>48</v>
      </c>
      <c r="V1316" s="100" t="b">
        <f>IF(G1316&gt;0,IF(AD1316="me","",G1316))</f>
        <v>0</v>
      </c>
      <c r="W1316" s="100"/>
      <c r="X1316" s="100"/>
      <c r="Y1316" s="201"/>
      <c r="Z1316" s="829" t="str">
        <f t="shared" si="3193"/>
        <v/>
      </c>
      <c r="AA1316" s="829"/>
      <c r="AB1316" s="830" t="str">
        <f>IF(G1316=0,"",IF(AD1316="free","re-planting",IF(AD1316="me","not NVP, by",IF($AD$8="yes",(VLOOKUP(A1316,'Discount Lookup'!J:K,2)*G1316*(1-$AC$1786)*(1+$AC$1788)),IF(AD1316="NVP",(VLOOKUP(A1316,'Discount Lookup'!J:K,2)*G1316*(1-$AC$1786)*(1+$AC$1788)),IF(AD1316="free","re-planting",IF(G1316=0,"",IF($AD$8="",IF(AD1316="me","not NVP, by",IF(AD1316="",IF(G1316&gt;0,(VLOOKUP(A1316,'Discount Lookup'!J:K,2)*G1316*(1-$AC$1786)*(1+$AC$1788)),""),"")),"not NVP, by"))))))))</f>
        <v/>
      </c>
      <c r="AC1316" s="830"/>
      <c r="AD1316" s="375" t="str">
        <f t="shared" si="3205"/>
        <v/>
      </c>
      <c r="AE1316" s="833" t="str">
        <f t="shared" si="3277"/>
        <v/>
      </c>
      <c r="AF1316" s="833"/>
      <c r="AG1316" s="833"/>
      <c r="AH1316" s="91">
        <f>IF(AD1316="free",0,IF(AD1316="me",0,IF(G1316&gt;0,(VLOOKUP(A1316,'Discount Lookup'!J:K,2)*G1316),0)))</f>
        <v>0</v>
      </c>
      <c r="AI1316" s="92" t="str">
        <f t="shared" si="3250"/>
        <v/>
      </c>
      <c r="AJ1316" s="828" t="str">
        <f t="shared" si="3194"/>
        <v/>
      </c>
      <c r="AK1316" s="828"/>
      <c r="AL1316" s="313" t="str">
        <f t="shared" si="3242"/>
        <v/>
      </c>
      <c r="AM1316" s="312"/>
      <c r="AN1316" s="101"/>
      <c r="AO1316" s="101"/>
      <c r="AP1316" s="101"/>
      <c r="AQ1316" s="101"/>
      <c r="AR1316" s="101"/>
      <c r="AS1316" s="101"/>
      <c r="AT1316" s="101"/>
    </row>
    <row r="1317" spans="1:48" ht="12.95" customHeight="1">
      <c r="A1317" s="383">
        <v>3</v>
      </c>
      <c r="B1317" s="158" t="s">
        <v>50</v>
      </c>
      <c r="C1317" s="168" t="s">
        <v>136</v>
      </c>
      <c r="D1317" s="161" t="s">
        <v>87</v>
      </c>
      <c r="E1317" s="162">
        <v>39.950000000000003</v>
      </c>
      <c r="F1317" s="713" t="s">
        <v>1306</v>
      </c>
      <c r="G1317" s="357">
        <v>0</v>
      </c>
      <c r="H1317" s="748" t="str">
        <f t="shared" ref="H1317:H1318" si="3283">IF(G1317=0,"",IF(F1317="Qty=",IF(G1317=1,"plant","plants"),IF(F1317&gt;0.0001,"warranty","Error")))</f>
        <v/>
      </c>
      <c r="I1317" s="592">
        <f t="shared" ref="I1317:I1318" si="3284">IF(F1317="Qty=",(E1317*G1317),((E1317*(1-F1317))*G1317))</f>
        <v>0</v>
      </c>
      <c r="J1317" s="592">
        <f>IF(H1317="warranty",0,(I1317*($J$1782)))</f>
        <v>0</v>
      </c>
      <c r="K1317" s="834">
        <f t="shared" ref="K1317:K1318" si="3285">I1317+J1317</f>
        <v>0</v>
      </c>
      <c r="L1317" s="834"/>
      <c r="M1317" s="832" t="str">
        <f>IF($H$1784=0,"",IF(G1317=0,"",IF(F1317="Qty=",CONCATENATE("$",ROUND(K1317*(1-$H$1784),2)," with ",($H$1784*100),"% discount"),CONCATENATE("$",ROUND(K1317*(1-$H$1784),2)," with ",(($H$1784*100+F1317*100)-($H$1784*100*F1317)),IF(F1317&gt;0,"% discounts",IF($H$1781&gt;0,"% discounts","% discount"))))))</f>
        <v/>
      </c>
      <c r="N1317" s="832"/>
      <c r="O1317" s="832"/>
      <c r="P1317" s="832"/>
      <c r="Q1317" s="832"/>
      <c r="R1317" s="832"/>
      <c r="S1317" s="303">
        <f t="shared" ref="S1317" si="3286">E1317*G1317</f>
        <v>0</v>
      </c>
      <c r="T1317" s="541">
        <f>VLOOKUP(A1317,'Discount Lookup'!D:E,2,FALSE)*G1317</f>
        <v>0</v>
      </c>
      <c r="U1317" s="83">
        <f>VLOOKUP(A1317,'Discount Lookup'!G:H,2,FALSE)*G1317</f>
        <v>0</v>
      </c>
      <c r="V1317" s="100">
        <f>E1317*($J$1782)*G1317</f>
        <v>0</v>
      </c>
      <c r="W1317" s="100">
        <f t="shared" ref="W1317" si="3287">I1317</f>
        <v>0</v>
      </c>
      <c r="X1317" s="100" t="b">
        <f>IF(G1317&gt;0,IF(AD1317="me","",G1317))</f>
        <v>0</v>
      </c>
      <c r="Y1317" s="201"/>
      <c r="Z1317" s="829" t="str">
        <f t="shared" si="3193"/>
        <v/>
      </c>
      <c r="AA1317" s="829"/>
      <c r="AB1317" s="830" t="str">
        <f>IF(G1317=0,"",IF(AD1317="free","re-planting",IF(AD1317="me","not NVP, by",IF($AD$8="yes",(VLOOKUP(A1317,'Discount Lookup'!J:K,2)*G1317*(1-$AC$1786)*(1+$AC$1788)),IF(AD1317="NVP",(VLOOKUP(A1317,'Discount Lookup'!J:K,2)*G1317*(1-$AC$1786)*(1+$AC$1788)),IF(AD1317="free","re-planting",IF(G1317=0,"",IF($AD$8="",IF(AD1317="me","not NVP, by",IF(AD1317="",IF(G1317&gt;0,(VLOOKUP(A1317,'Discount Lookup'!J:K,2)*G1317*(1-$AC$1786)*(1+$AC$1788)),""),"")),"not NVP, by"))))))))</f>
        <v/>
      </c>
      <c r="AC1317" s="830"/>
      <c r="AD1317" s="375" t="str">
        <f t="shared" si="3205"/>
        <v/>
      </c>
      <c r="AE1317" s="833" t="str">
        <f t="shared" ref="AE1317" si="3288">IF(G1317&gt;0,(CONCATENATE((G1317)," quantity, ",(A1317)," ",B1317)),"")</f>
        <v/>
      </c>
      <c r="AF1317" s="833"/>
      <c r="AG1317" s="833"/>
      <c r="AH1317" s="91">
        <f>IF(AD1317="free",0,IF(AD1317="me",0,IF(G1317&gt;0,(VLOOKUP(A1317,'Discount Lookup'!J:K,2)*G1317),0)))</f>
        <v>0</v>
      </c>
      <c r="AI1317" s="92" t="str">
        <f t="shared" si="3250"/>
        <v/>
      </c>
      <c r="AJ1317" s="828" t="str">
        <f t="shared" si="3194"/>
        <v/>
      </c>
      <c r="AK1317" s="828"/>
      <c r="AL1317" s="313" t="str">
        <f t="shared" si="3242"/>
        <v/>
      </c>
      <c r="AM1317" s="312"/>
      <c r="AN1317" s="101"/>
      <c r="AO1317" s="101"/>
      <c r="AP1317" s="101"/>
      <c r="AQ1317" s="101"/>
      <c r="AR1317" s="101"/>
      <c r="AS1317" s="101"/>
      <c r="AT1317" s="101"/>
    </row>
    <row r="1318" spans="1:48" ht="12.95" customHeight="1">
      <c r="A1318" s="383">
        <v>3</v>
      </c>
      <c r="B1318" s="158" t="s">
        <v>50</v>
      </c>
      <c r="C1318" s="168" t="s">
        <v>136</v>
      </c>
      <c r="D1318" s="161" t="s">
        <v>54</v>
      </c>
      <c r="E1318" s="162">
        <v>39.950000000000003</v>
      </c>
      <c r="F1318" s="713" t="s">
        <v>1306</v>
      </c>
      <c r="G1318" s="357">
        <v>0</v>
      </c>
      <c r="H1318" s="748" t="str">
        <f t="shared" si="3283"/>
        <v/>
      </c>
      <c r="I1318" s="592">
        <f t="shared" si="3284"/>
        <v>0</v>
      </c>
      <c r="J1318" s="592">
        <f>IF(H1318="warranty",0,(I1318*($J$1782)))</f>
        <v>0</v>
      </c>
      <c r="K1318" s="834">
        <f t="shared" si="3285"/>
        <v>0</v>
      </c>
      <c r="L1318" s="834"/>
      <c r="M1318" s="832" t="str">
        <f>IF($H$1784=0,"",IF(G1318=0,"",IF(F1318="Qty=",CONCATENATE("$",ROUND(K1318*(1-$H$1784),2)," with ",($H$1784*100),"% discount"),CONCATENATE("$",ROUND(K1318*(1-$H$1784),2)," with ",(($H$1784*100+F1318*100)-($H$1784*100*F1318)),IF(F1318&gt;0,"% discounts",IF($H$1781&gt;0,"% discounts","% discount"))))))</f>
        <v/>
      </c>
      <c r="N1318" s="832"/>
      <c r="O1318" s="832"/>
      <c r="P1318" s="832"/>
      <c r="Q1318" s="832"/>
      <c r="R1318" s="832"/>
      <c r="S1318" s="303">
        <f t="shared" ref="S1318" si="3289">E1318*G1318</f>
        <v>0</v>
      </c>
      <c r="T1318" s="541">
        <f>VLOOKUP(A1318,'Discount Lookup'!D:E,2,FALSE)*G1318</f>
        <v>0</v>
      </c>
      <c r="U1318" s="83">
        <f>VLOOKUP(A1318,'Discount Lookup'!G:H,2,FALSE)*G1318</f>
        <v>0</v>
      </c>
      <c r="V1318" s="100">
        <f>E1318*($J$1782)*G1318</f>
        <v>0</v>
      </c>
      <c r="W1318" s="100">
        <f t="shared" ref="W1318" si="3290">I1318</f>
        <v>0</v>
      </c>
      <c r="X1318" s="100" t="b">
        <f>IF(G1318&gt;0,IF(AD1318="me","",G1318))</f>
        <v>0</v>
      </c>
      <c r="Y1318" s="201"/>
      <c r="Z1318" s="829" t="str">
        <f t="shared" si="3193"/>
        <v/>
      </c>
      <c r="AA1318" s="829"/>
      <c r="AB1318" s="830" t="str">
        <f>IF(G1318=0,"",IF(AD1318="free","re-planting",IF(AD1318="me","not NVP, by",IF($AD$8="yes",(VLOOKUP(A1318,'Discount Lookup'!J:K,2)*G1318*(1-$AC$1786)*(1+$AC$1788)),IF(AD1318="NVP",(VLOOKUP(A1318,'Discount Lookup'!J:K,2)*G1318*(1-$AC$1786)*(1+$AC$1788)),IF(AD1318="free","re-planting",IF(G1318=0,"",IF($AD$8="",IF(AD1318="me","not NVP, by",IF(AD1318="",IF(G1318&gt;0,(VLOOKUP(A1318,'Discount Lookup'!J:K,2)*G1318*(1-$AC$1786)*(1+$AC$1788)),""),"")),"not NVP, by"))))))))</f>
        <v/>
      </c>
      <c r="AC1318" s="830"/>
      <c r="AD1318" s="375" t="str">
        <f t="shared" si="3205"/>
        <v/>
      </c>
      <c r="AE1318" s="833" t="str">
        <f t="shared" si="3277"/>
        <v/>
      </c>
      <c r="AF1318" s="833"/>
      <c r="AG1318" s="833"/>
      <c r="AH1318" s="91">
        <f>IF(AD1318="free",0,IF(AD1318="me",0,IF(G1318&gt;0,(VLOOKUP(A1318,'Discount Lookup'!J:K,2)*G1318),0)))</f>
        <v>0</v>
      </c>
      <c r="AI1318" s="92" t="str">
        <f t="shared" si="3250"/>
        <v/>
      </c>
      <c r="AJ1318" s="828" t="str">
        <f t="shared" si="3194"/>
        <v/>
      </c>
      <c r="AK1318" s="828"/>
      <c r="AL1318" s="313" t="str">
        <f t="shared" si="3242"/>
        <v/>
      </c>
      <c r="AM1318" s="312"/>
      <c r="AN1318" s="101"/>
      <c r="AO1318" s="101"/>
      <c r="AP1318" s="101"/>
      <c r="AQ1318" s="101"/>
      <c r="AR1318" s="101"/>
      <c r="AS1318" s="101"/>
      <c r="AT1318" s="101"/>
    </row>
    <row r="1319" spans="1:48" ht="12.95" customHeight="1">
      <c r="A1319" s="477"/>
      <c r="B1319" s="149" t="s">
        <v>724</v>
      </c>
      <c r="D1319" s="118"/>
      <c r="E1319" s="119"/>
      <c r="F1319" s="711"/>
      <c r="G1319" s="356"/>
      <c r="H1319" s="745"/>
      <c r="I1319" s="119"/>
      <c r="J1319" s="840"/>
      <c r="K1319" s="840"/>
      <c r="L1319" s="840"/>
      <c r="M1319" s="48"/>
      <c r="N1319" s="122" t="s">
        <v>331</v>
      </c>
      <c r="O1319" s="123"/>
      <c r="P1319" s="124"/>
      <c r="Q1319" s="124"/>
      <c r="R1319" s="83"/>
      <c r="S1319" s="82"/>
      <c r="T1319" s="540"/>
      <c r="U1319" s="83"/>
      <c r="V1319" s="100" t="b">
        <f>IF(G1319&gt;0,IF(AD1319="me","",G1319))</f>
        <v>0</v>
      </c>
      <c r="W1319" s="100"/>
      <c r="X1319" s="100"/>
      <c r="Y1319" s="201"/>
      <c r="Z1319" s="829" t="str">
        <f t="shared" si="3193"/>
        <v/>
      </c>
      <c r="AA1319" s="829"/>
      <c r="AB1319" s="830" t="str">
        <f>IF(G1319=0,"",IF(AD1319="free","re-planting",IF(AD1319="me","not NVP, by",IF($AD$8="yes",(VLOOKUP(A1319,'Discount Lookup'!J:K,2)*G1319*(1-$AC$1786)*(1+$AC$1788)),IF(AD1319="NVP",(VLOOKUP(A1319,'Discount Lookup'!J:K,2)*G1319*(1-$AC$1786)*(1+$AC$1788)),IF(AD1319="free","re-planting",IF(G1319=0,"",IF($AD$8="",IF(AD1319="me","not NVP, by",IF(AD1319="",IF(G1319&gt;0,(VLOOKUP(A1319,'Discount Lookup'!J:K,2)*G1319*(1-$AC$1786)*(1+$AC$1788)),""),"")),"not NVP, by"))))))))</f>
        <v/>
      </c>
      <c r="AC1319" s="830"/>
      <c r="AD1319" s="375" t="str">
        <f t="shared" si="3205"/>
        <v/>
      </c>
      <c r="AE1319" s="833" t="str">
        <f t="shared" si="3277"/>
        <v/>
      </c>
      <c r="AF1319" s="833"/>
      <c r="AG1319" s="833"/>
      <c r="AH1319" s="91">
        <f>IF(AD1319="free",0,IF(AD1319="me",0,IF(G1319&gt;0,(VLOOKUP(A1319,'Discount Lookup'!J:K,2)*G1319),0)))</f>
        <v>0</v>
      </c>
      <c r="AI1319" s="92" t="str">
        <f t="shared" si="3250"/>
        <v/>
      </c>
      <c r="AJ1319" s="828" t="str">
        <f t="shared" si="3194"/>
        <v/>
      </c>
      <c r="AK1319" s="828"/>
      <c r="AL1319" s="313" t="str">
        <f t="shared" si="3242"/>
        <v/>
      </c>
      <c r="AM1319" s="312"/>
      <c r="AN1319" s="101"/>
      <c r="AO1319" s="101"/>
      <c r="AP1319" s="101"/>
      <c r="AQ1319" s="101"/>
      <c r="AR1319" s="101"/>
      <c r="AS1319" s="101"/>
      <c r="AT1319" s="101"/>
    </row>
    <row r="1320" spans="1:48" ht="12.95" customHeight="1">
      <c r="A1320" s="889" t="s">
        <v>1440</v>
      </c>
      <c r="B1320" s="890"/>
      <c r="C1320" s="890"/>
      <c r="D1320" s="890"/>
      <c r="E1320" s="890"/>
      <c r="F1320" s="890"/>
      <c r="G1320" s="890"/>
      <c r="H1320" s="775" t="s">
        <v>721</v>
      </c>
      <c r="I1320" s="349" t="s">
        <v>280</v>
      </c>
      <c r="J1320" s="157"/>
      <c r="K1320" s="611" t="s">
        <v>45</v>
      </c>
      <c r="L1320" s="630" t="s">
        <v>46</v>
      </c>
      <c r="M1320" s="157"/>
      <c r="N1320" s="158" t="s">
        <v>98</v>
      </c>
      <c r="O1320" s="165"/>
      <c r="P1320" s="165"/>
      <c r="Q1320" s="158"/>
      <c r="R1320" s="157"/>
      <c r="S1320" s="170"/>
      <c r="T1320" s="547"/>
      <c r="U1320" s="159" t="s">
        <v>48</v>
      </c>
      <c r="V1320" s="100" t="b">
        <f>IF(G1320&gt;0,IF(AD1320="me","",G1320))</f>
        <v>0</v>
      </c>
      <c r="W1320" s="100"/>
      <c r="X1320" s="100"/>
      <c r="Y1320" s="201"/>
      <c r="Z1320" s="829" t="str">
        <f t="shared" si="3193"/>
        <v/>
      </c>
      <c r="AA1320" s="829"/>
      <c r="AB1320" s="830" t="str">
        <f>IF(G1320=0,"",IF(AD1320="free","re-planting",IF(AD1320="me","not NVP, by",IF($AD$8="yes",(VLOOKUP(A1320,'Discount Lookup'!J:K,2)*G1320*(1-$AC$1786)*(1+$AC$1788)),IF(AD1320="NVP",(VLOOKUP(A1320,'Discount Lookup'!J:K,2)*G1320*(1-$AC$1786)*(1+$AC$1788)),IF(AD1320="free","re-planting",IF(G1320=0,"",IF($AD$8="",IF(AD1320="me","not NVP, by",IF(AD1320="",IF(G1320&gt;0,(VLOOKUP(A1320,'Discount Lookup'!J:K,2)*G1320*(1-$AC$1786)*(1+$AC$1788)),""),"")),"not NVP, by"))))))))</f>
        <v/>
      </c>
      <c r="AC1320" s="830"/>
      <c r="AD1320" s="375" t="str">
        <f t="shared" si="3205"/>
        <v/>
      </c>
      <c r="AE1320" s="833" t="str">
        <f t="shared" si="3277"/>
        <v/>
      </c>
      <c r="AF1320" s="833"/>
      <c r="AG1320" s="833"/>
      <c r="AH1320" s="91">
        <f>IF(AD1320="free",0,IF(AD1320="me",0,IF(G1320&gt;0,(VLOOKUP(A1320,'Discount Lookup'!J:K,2)*G1320),0)))</f>
        <v>0</v>
      </c>
      <c r="AI1320" s="92" t="str">
        <f t="shared" si="3250"/>
        <v/>
      </c>
      <c r="AJ1320" s="828" t="str">
        <f t="shared" si="3194"/>
        <v/>
      </c>
      <c r="AK1320" s="828"/>
      <c r="AL1320" s="313" t="str">
        <f t="shared" si="3242"/>
        <v/>
      </c>
      <c r="AM1320" s="312"/>
      <c r="AN1320" s="101"/>
      <c r="AO1320" s="101"/>
      <c r="AP1320" s="101"/>
      <c r="AQ1320" s="101"/>
      <c r="AR1320" s="101"/>
      <c r="AS1320" s="101"/>
      <c r="AT1320" s="101"/>
    </row>
    <row r="1321" spans="1:48" ht="12.95" customHeight="1">
      <c r="A1321" s="383">
        <v>3</v>
      </c>
      <c r="B1321" s="158" t="s">
        <v>50</v>
      </c>
      <c r="C1321" s="168" t="s">
        <v>136</v>
      </c>
      <c r="D1321" s="161" t="s">
        <v>87</v>
      </c>
      <c r="E1321" s="162">
        <v>39.950000000000003</v>
      </c>
      <c r="F1321" s="713" t="s">
        <v>1306</v>
      </c>
      <c r="G1321" s="357">
        <v>0</v>
      </c>
      <c r="H1321" s="748" t="str">
        <f t="shared" ref="H1321:H1323" si="3291">IF(G1321=0,"",IF(F1321="Qty=",IF(G1321=1,"plant","plants"),IF(F1321&gt;0.0001,"warranty","Error")))</f>
        <v/>
      </c>
      <c r="I1321" s="592">
        <f t="shared" ref="I1321:I1323" si="3292">IF(F1321="Qty=",(E1321*G1321),((E1321*(1-F1321))*G1321))</f>
        <v>0</v>
      </c>
      <c r="J1321" s="592">
        <f>IF(H1321="warranty",0,(I1321*($J$1782)))</f>
        <v>0</v>
      </c>
      <c r="K1321" s="834">
        <f t="shared" ref="K1321:K1323" si="3293">I1321+J1321</f>
        <v>0</v>
      </c>
      <c r="L1321" s="834"/>
      <c r="M1321" s="832" t="str">
        <f>IF($H$1784=0,"",IF(G1321=0,"",IF(F1321="Qty=",CONCATENATE("$",ROUND(K1321*(1-$H$1784),2)," with ",($H$1784*100),"% discount"),CONCATENATE("$",ROUND(K1321*(1-$H$1784),2)," with ",(($H$1784*100+F1321*100)-($H$1784*100*F1321)),IF(F1321&gt;0,"% discounts",IF($H$1781&gt;0,"% discounts","% discount"))))))</f>
        <v/>
      </c>
      <c r="N1321" s="832"/>
      <c r="O1321" s="832"/>
      <c r="P1321" s="832"/>
      <c r="Q1321" s="832"/>
      <c r="R1321" s="832"/>
      <c r="S1321" s="303">
        <f t="shared" ref="S1321" si="3294">E1321*G1321</f>
        <v>0</v>
      </c>
      <c r="T1321" s="541">
        <f>VLOOKUP(A1321,'Discount Lookup'!D:E,2,FALSE)*G1321</f>
        <v>0</v>
      </c>
      <c r="U1321" s="83">
        <f>VLOOKUP(A1321,'Discount Lookup'!G:H,2,FALSE)*G1321</f>
        <v>0</v>
      </c>
      <c r="V1321" s="100">
        <f>E1321*($J$1782)*G1321</f>
        <v>0</v>
      </c>
      <c r="W1321" s="100">
        <f t="shared" ref="W1321" si="3295">I1321</f>
        <v>0</v>
      </c>
      <c r="X1321" s="100" t="b">
        <f>IF(G1321&gt;0,IF(AD1321="me","",G1321))</f>
        <v>0</v>
      </c>
      <c r="Y1321" s="201"/>
      <c r="Z1321" s="829" t="str">
        <f t="shared" si="3193"/>
        <v/>
      </c>
      <c r="AA1321" s="829"/>
      <c r="AB1321" s="830" t="str">
        <f>IF(G1321=0,"",IF(AD1321="free","re-planting",IF(AD1321="me","not NVP, by",IF($AD$8="yes",(VLOOKUP(A1321,'Discount Lookup'!J:K,2)*G1321*(1-$AC$1786)*(1+$AC$1788)),IF(AD1321="NVP",(VLOOKUP(A1321,'Discount Lookup'!J:K,2)*G1321*(1-$AC$1786)*(1+$AC$1788)),IF(AD1321="free","re-planting",IF(G1321=0,"",IF($AD$8="",IF(AD1321="me","not NVP, by",IF(AD1321="",IF(G1321&gt;0,(VLOOKUP(A1321,'Discount Lookup'!J:K,2)*G1321*(1-$AC$1786)*(1+$AC$1788)),""),"")),"not NVP, by"))))))))</f>
        <v/>
      </c>
      <c r="AC1321" s="830"/>
      <c r="AD1321" s="375" t="str">
        <f t="shared" si="3205"/>
        <v/>
      </c>
      <c r="AE1321" s="833" t="str">
        <f t="shared" si="3277"/>
        <v/>
      </c>
      <c r="AF1321" s="833"/>
      <c r="AG1321" s="833"/>
      <c r="AH1321" s="91">
        <f>IF(AD1321="free",0,IF(AD1321="me",0,IF(G1321&gt;0,(VLOOKUP(A1321,'Discount Lookup'!J:K,2)*G1321),0)))</f>
        <v>0</v>
      </c>
      <c r="AI1321" s="92" t="str">
        <f t="shared" si="3250"/>
        <v/>
      </c>
      <c r="AJ1321" s="828" t="str">
        <f t="shared" si="3194"/>
        <v/>
      </c>
      <c r="AK1321" s="828"/>
      <c r="AL1321" s="313" t="str">
        <f t="shared" si="3242"/>
        <v/>
      </c>
      <c r="AM1321" s="312"/>
      <c r="AN1321" s="101"/>
      <c r="AO1321" s="101"/>
      <c r="AP1321" s="101"/>
      <c r="AQ1321" s="101"/>
      <c r="AR1321" s="101"/>
      <c r="AS1321" s="101"/>
      <c r="AT1321" s="101"/>
    </row>
    <row r="1322" spans="1:48" ht="12.95" customHeight="1">
      <c r="A1322" s="383">
        <v>3</v>
      </c>
      <c r="B1322" s="158" t="s">
        <v>50</v>
      </c>
      <c r="C1322" s="168" t="s">
        <v>136</v>
      </c>
      <c r="D1322" s="161" t="s">
        <v>63</v>
      </c>
      <c r="E1322" s="162">
        <v>40.950000000000003</v>
      </c>
      <c r="F1322" s="713" t="s">
        <v>1306</v>
      </c>
      <c r="G1322" s="357">
        <v>0</v>
      </c>
      <c r="H1322" s="748" t="str">
        <f t="shared" si="3291"/>
        <v/>
      </c>
      <c r="I1322" s="592">
        <f t="shared" si="3292"/>
        <v>0</v>
      </c>
      <c r="J1322" s="592">
        <f>IF(H1322="warranty",0,(I1322*($J$1782)))</f>
        <v>0</v>
      </c>
      <c r="K1322" s="834">
        <f t="shared" si="3293"/>
        <v>0</v>
      </c>
      <c r="L1322" s="834"/>
      <c r="M1322" s="832" t="str">
        <f>IF($H$1784=0,"",IF(G1322=0,"",IF(F1322="Qty=",CONCATENATE("$",ROUND(K1322*(1-$H$1784),2)," with ",($H$1784*100),"% discount"),CONCATENATE("$",ROUND(K1322*(1-$H$1784),2)," with ",(($H$1784*100+F1322*100)-($H$1784*100*F1322)),IF(F1322&gt;0,"% discounts",IF($H$1781&gt;0,"% discounts","% discount"))))))</f>
        <v/>
      </c>
      <c r="N1322" s="832"/>
      <c r="O1322" s="832"/>
      <c r="P1322" s="832"/>
      <c r="Q1322" s="832"/>
      <c r="R1322" s="832"/>
      <c r="S1322" s="303">
        <f t="shared" ref="S1322" si="3296">E1322*G1322</f>
        <v>0</v>
      </c>
      <c r="T1322" s="541">
        <f>VLOOKUP(A1322,'Discount Lookup'!D:E,2,FALSE)*G1322</f>
        <v>0</v>
      </c>
      <c r="U1322" s="83">
        <f>VLOOKUP(A1322,'Discount Lookup'!G:H,2,FALSE)*G1322</f>
        <v>0</v>
      </c>
      <c r="V1322" s="100">
        <f>E1322*($J$1782)*G1322</f>
        <v>0</v>
      </c>
      <c r="W1322" s="100">
        <f t="shared" ref="W1322" si="3297">I1322</f>
        <v>0</v>
      </c>
      <c r="X1322" s="100" t="b">
        <f>IF(G1322&gt;0,IF(AD1322="me","",G1322))</f>
        <v>0</v>
      </c>
      <c r="Y1322" s="201"/>
      <c r="Z1322" s="829" t="str">
        <f t="shared" si="3193"/>
        <v/>
      </c>
      <c r="AA1322" s="829"/>
      <c r="AB1322" s="830" t="str">
        <f>IF(G1322=0,"",IF(AD1322="free","re-planting",IF(AD1322="me","not NVP, by",IF($AD$8="yes",(VLOOKUP(A1322,'Discount Lookup'!J:K,2)*G1322*(1-$AC$1786)*(1+$AC$1788)),IF(AD1322="NVP",(VLOOKUP(A1322,'Discount Lookup'!J:K,2)*G1322*(1-$AC$1786)*(1+$AC$1788)),IF(AD1322="free","re-planting",IF(G1322=0,"",IF($AD$8="",IF(AD1322="me","not NVP, by",IF(AD1322="",IF(G1322&gt;0,(VLOOKUP(A1322,'Discount Lookup'!J:K,2)*G1322*(1-$AC$1786)*(1+$AC$1788)),""),"")),"not NVP, by"))))))))</f>
        <v/>
      </c>
      <c r="AC1322" s="830"/>
      <c r="AD1322" s="375" t="str">
        <f t="shared" si="3205"/>
        <v/>
      </c>
      <c r="AE1322" s="833" t="str">
        <f t="shared" ref="AE1322" si="3298">IF(G1322&gt;0,(CONCATENATE((G1322)," quantity, ",(A1322)," ",B1322)),"")</f>
        <v/>
      </c>
      <c r="AF1322" s="833"/>
      <c r="AG1322" s="833"/>
      <c r="AH1322" s="91">
        <f>IF(AD1322="free",0,IF(AD1322="me",0,IF(G1322&gt;0,(VLOOKUP(A1322,'Discount Lookup'!J:K,2)*G1322),0)))</f>
        <v>0</v>
      </c>
      <c r="AI1322" s="92" t="str">
        <f t="shared" si="3250"/>
        <v/>
      </c>
      <c r="AJ1322" s="828" t="str">
        <f t="shared" si="3194"/>
        <v/>
      </c>
      <c r="AK1322" s="828"/>
      <c r="AL1322" s="313" t="str">
        <f t="shared" si="3242"/>
        <v/>
      </c>
      <c r="AM1322" s="312"/>
      <c r="AN1322" s="101"/>
      <c r="AO1322" s="101"/>
      <c r="AP1322" s="101"/>
      <c r="AQ1322" s="101"/>
      <c r="AR1322" s="101"/>
      <c r="AS1322" s="101"/>
      <c r="AT1322" s="101"/>
    </row>
    <row r="1323" spans="1:48" ht="12.95" customHeight="1">
      <c r="A1323" s="383">
        <v>3</v>
      </c>
      <c r="B1323" s="158" t="s">
        <v>50</v>
      </c>
      <c r="C1323" s="168" t="s">
        <v>136</v>
      </c>
      <c r="D1323" s="161" t="s">
        <v>94</v>
      </c>
      <c r="E1323" s="162">
        <v>31.95</v>
      </c>
      <c r="F1323" s="713" t="s">
        <v>1306</v>
      </c>
      <c r="G1323" s="357">
        <v>0</v>
      </c>
      <c r="H1323" s="748" t="str">
        <f t="shared" si="3291"/>
        <v/>
      </c>
      <c r="I1323" s="592">
        <f t="shared" si="3292"/>
        <v>0</v>
      </c>
      <c r="J1323" s="592">
        <f>IF(H1323="warranty",0,(I1323*($J$1782)))</f>
        <v>0</v>
      </c>
      <c r="K1323" s="834">
        <f t="shared" si="3293"/>
        <v>0</v>
      </c>
      <c r="L1323" s="834"/>
      <c r="M1323" s="832" t="str">
        <f>IF($H$1784=0,"",IF(G1323=0,"",IF(F1323="Qty=",CONCATENATE("$",ROUND(K1323*(1-$H$1784),2)," with ",($H$1784*100),"% discount"),CONCATENATE("$",ROUND(K1323*(1-$H$1784),2)," with ",(($H$1784*100+F1323*100)-($H$1784*100*F1323)),IF(F1323&gt;0,"% discounts",IF($H$1781&gt;0,"% discounts","% discount"))))))</f>
        <v/>
      </c>
      <c r="N1323" s="832"/>
      <c r="O1323" s="832"/>
      <c r="P1323" s="832"/>
      <c r="Q1323" s="832"/>
      <c r="R1323" s="832"/>
      <c r="S1323" s="303">
        <f t="shared" ref="S1323" si="3299">E1323*G1323</f>
        <v>0</v>
      </c>
      <c r="T1323" s="541">
        <f>VLOOKUP(A1323,'Discount Lookup'!D:E,2,FALSE)*G1323</f>
        <v>0</v>
      </c>
      <c r="U1323" s="83">
        <f>VLOOKUP(A1323,'Discount Lookup'!G:H,2,FALSE)*G1323</f>
        <v>0</v>
      </c>
      <c r="V1323" s="100">
        <f>E1323*($J$1782)*G1323</f>
        <v>0</v>
      </c>
      <c r="W1323" s="100">
        <f t="shared" ref="W1323" si="3300">I1323</f>
        <v>0</v>
      </c>
      <c r="X1323" s="100" t="b">
        <f>IF(G1323&gt;0,IF(AD1323="me","",G1323))</f>
        <v>0</v>
      </c>
      <c r="Y1323" s="201"/>
      <c r="Z1323" s="829" t="str">
        <f t="shared" si="3193"/>
        <v/>
      </c>
      <c r="AA1323" s="829"/>
      <c r="AB1323" s="830" t="str">
        <f>IF(G1323=0,"",IF(AD1323="free","re-planting",IF(AD1323="me","not NVP, by",IF($AD$8="yes",(VLOOKUP(A1323,'Discount Lookup'!J:K,2)*G1323*(1-$AC$1786)*(1+$AC$1788)),IF(AD1323="NVP",(VLOOKUP(A1323,'Discount Lookup'!J:K,2)*G1323*(1-$AC$1786)*(1+$AC$1788)),IF(AD1323="free","re-planting",IF(G1323=0,"",IF($AD$8="",IF(AD1323="me","not NVP, by",IF(AD1323="",IF(G1323&gt;0,(VLOOKUP(A1323,'Discount Lookup'!J:K,2)*G1323*(1-$AC$1786)*(1+$AC$1788)),""),"")),"not NVP, by"))))))))</f>
        <v/>
      </c>
      <c r="AC1323" s="830"/>
      <c r="AD1323" s="375" t="str">
        <f t="shared" si="3205"/>
        <v/>
      </c>
      <c r="AE1323" s="833" t="str">
        <f t="shared" si="3277"/>
        <v/>
      </c>
      <c r="AF1323" s="833"/>
      <c r="AG1323" s="833"/>
      <c r="AH1323" s="91">
        <f>IF(AD1323="free",0,IF(AD1323="me",0,IF(G1323&gt;0,(VLOOKUP(A1323,'Discount Lookup'!J:K,2)*G1323),0)))</f>
        <v>0</v>
      </c>
      <c r="AI1323" s="92" t="str">
        <f t="shared" si="3250"/>
        <v/>
      </c>
      <c r="AJ1323" s="828" t="str">
        <f t="shared" si="3194"/>
        <v/>
      </c>
      <c r="AK1323" s="828"/>
      <c r="AL1323" s="313" t="str">
        <f t="shared" si="3242"/>
        <v/>
      </c>
      <c r="AM1323" s="312"/>
      <c r="AN1323" s="101"/>
      <c r="AO1323" s="101"/>
      <c r="AP1323" s="101"/>
      <c r="AQ1323" s="101"/>
      <c r="AR1323" s="101"/>
      <c r="AS1323" s="101"/>
      <c r="AT1323" s="101"/>
    </row>
    <row r="1324" spans="1:48" ht="12.95" customHeight="1">
      <c r="A1324" s="477"/>
      <c r="B1324" s="149" t="s">
        <v>725</v>
      </c>
      <c r="D1324" s="118"/>
      <c r="E1324" s="119"/>
      <c r="F1324" s="711"/>
      <c r="G1324" s="356"/>
      <c r="H1324" s="745"/>
      <c r="I1324" s="119"/>
      <c r="J1324" s="119"/>
      <c r="K1324" s="609"/>
      <c r="L1324" s="609"/>
      <c r="M1324" s="121"/>
      <c r="N1324" s="122" t="s">
        <v>331</v>
      </c>
      <c r="O1324" s="123"/>
      <c r="P1324" s="124"/>
      <c r="Q1324" s="124"/>
      <c r="R1324" s="83"/>
      <c r="S1324" s="82"/>
      <c r="T1324" s="540"/>
      <c r="U1324" s="83"/>
      <c r="V1324" s="100" t="b">
        <f>IF(G1324&gt;0,IF(AD1324="me","",G1324))</f>
        <v>0</v>
      </c>
      <c r="W1324" s="100"/>
      <c r="X1324" s="100"/>
      <c r="Y1324" s="201"/>
      <c r="Z1324" s="829" t="str">
        <f t="shared" si="3193"/>
        <v/>
      </c>
      <c r="AA1324" s="829"/>
      <c r="AB1324" s="830" t="str">
        <f>IF(G1324=0,"",IF(AD1324="free","re-planting",IF(AD1324="me","not NVP, by",IF($AD$8="yes",(VLOOKUP(A1324,'Discount Lookup'!J:K,2)*G1324*(1-$AC$1786)*(1+$AC$1788)),IF(AD1324="NVP",(VLOOKUP(A1324,'Discount Lookup'!J:K,2)*G1324*(1-$AC$1786)*(1+$AC$1788)),IF(AD1324="free","re-planting",IF(G1324=0,"",IF($AD$8="",IF(AD1324="me","not NVP, by",IF(AD1324="",IF(G1324&gt;0,(VLOOKUP(A1324,'Discount Lookup'!J:K,2)*G1324*(1-$AC$1786)*(1+$AC$1788)),""),"")),"not NVP, by"))))))))</f>
        <v/>
      </c>
      <c r="AC1324" s="830"/>
      <c r="AD1324" s="375" t="str">
        <f t="shared" si="3205"/>
        <v/>
      </c>
      <c r="AE1324" s="833" t="str">
        <f t="shared" si="3277"/>
        <v/>
      </c>
      <c r="AF1324" s="833"/>
      <c r="AG1324" s="833"/>
      <c r="AH1324" s="91">
        <f>IF(AD1324="free",0,IF(AD1324="me",0,IF(G1324&gt;0,(VLOOKUP(A1324,'Discount Lookup'!J:K,2)*G1324),0)))</f>
        <v>0</v>
      </c>
      <c r="AI1324" s="92" t="str">
        <f t="shared" si="3250"/>
        <v/>
      </c>
      <c r="AJ1324" s="828" t="str">
        <f t="shared" si="3194"/>
        <v/>
      </c>
      <c r="AK1324" s="828"/>
      <c r="AL1324" s="313" t="str">
        <f t="shared" si="3242"/>
        <v/>
      </c>
      <c r="AM1324" s="312"/>
      <c r="AN1324" s="101"/>
      <c r="AO1324" s="101"/>
      <c r="AP1324" s="101"/>
      <c r="AQ1324" s="101"/>
      <c r="AR1324" s="101"/>
      <c r="AS1324" s="101"/>
      <c r="AT1324" s="101"/>
    </row>
    <row r="1325" spans="1:48" ht="12.95" customHeight="1">
      <c r="A1325" s="836" t="s">
        <v>726</v>
      </c>
      <c r="B1325" s="837"/>
      <c r="C1325" s="837"/>
      <c r="D1325" s="837"/>
      <c r="E1325" s="837"/>
      <c r="F1325" s="837"/>
      <c r="G1325" s="837"/>
      <c r="H1325" s="775" t="s">
        <v>624</v>
      </c>
      <c r="I1325" s="164" t="s">
        <v>79</v>
      </c>
      <c r="J1325" s="157"/>
      <c r="K1325" s="611" t="s">
        <v>45</v>
      </c>
      <c r="L1325" s="630" t="s">
        <v>46</v>
      </c>
      <c r="M1325" s="157"/>
      <c r="N1325" s="352" t="s">
        <v>75</v>
      </c>
      <c r="O1325" s="158"/>
      <c r="P1325" s="158"/>
      <c r="Q1325" s="158"/>
      <c r="R1325" s="157"/>
      <c r="S1325" s="170"/>
      <c r="T1325" s="547"/>
      <c r="U1325" s="171"/>
      <c r="V1325" s="100" t="b">
        <f>IF(G1325&gt;0,IF(AD1325="me","",G1325))</f>
        <v>0</v>
      </c>
      <c r="W1325" s="100"/>
      <c r="X1325" s="100"/>
      <c r="Y1325" s="201"/>
      <c r="Z1325" s="829" t="str">
        <f t="shared" ref="Z1325:Z1385" si="3301">IF(G1325=0,"",IF(AD1325="me","",IF($AD$8="me","",IF(AD1325="free","warranty",IF($AD$8="yes","NVP planting:","to NVP install:")))))</f>
        <v/>
      </c>
      <c r="AA1325" s="829"/>
      <c r="AB1325" s="830" t="str">
        <f>IF(G1325=0,"",IF(AD1325="free","re-planting",IF(AD1325="me","not NVP, by",IF($AD$8="yes",(VLOOKUP(A1325,'Discount Lookup'!J:K,2)*G1325*(1-$AC$1786)*(1+$AC$1788)),IF(AD1325="NVP",(VLOOKUP(A1325,'Discount Lookup'!J:K,2)*G1325*(1-$AC$1786)*(1+$AC$1788)),IF(AD1325="free","re-planting",IF(G1325=0,"",IF($AD$8="",IF(AD1325="me","not NVP, by",IF(AD1325="",IF(G1325&gt;0,(VLOOKUP(A1325,'Discount Lookup'!J:K,2)*G1325*(1-$AC$1786)*(1+$AC$1788)),""),"")),"not NVP, by"))))))))</f>
        <v/>
      </c>
      <c r="AC1325" s="830"/>
      <c r="AD1325" s="375" t="str">
        <f t="shared" si="3205"/>
        <v/>
      </c>
      <c r="AE1325" s="833" t="str">
        <f t="shared" si="3277"/>
        <v/>
      </c>
      <c r="AF1325" s="833"/>
      <c r="AG1325" s="833"/>
      <c r="AH1325" s="91">
        <f>IF(AD1325="free",0,IF(AD1325="me",0,IF(G1325&gt;0,(VLOOKUP(A1325,'Discount Lookup'!J:K,2)*G1325),0)))</f>
        <v>0</v>
      </c>
      <c r="AI1325" s="92" t="str">
        <f t="shared" si="3250"/>
        <v/>
      </c>
      <c r="AJ1325" s="828" t="str">
        <f t="shared" ref="AJ1325:AJ1385" si="3302">IF(G1325=0,"",IF(AD1325="me","  delivery-only",IF($AD$8="me","  delivery-only",CONCATENATE(" $",ROUND(AI1325/G1325,2)," each"))))</f>
        <v/>
      </c>
      <c r="AK1325" s="828"/>
      <c r="AL1325" s="313" t="str">
        <f t="shared" si="3242"/>
        <v/>
      </c>
      <c r="AM1325" s="312"/>
      <c r="AN1325" s="101"/>
      <c r="AO1325" s="101"/>
      <c r="AP1325" s="101"/>
      <c r="AQ1325" s="101"/>
      <c r="AR1325" s="101"/>
      <c r="AS1325" s="101"/>
      <c r="AT1325" s="101"/>
    </row>
    <row r="1326" spans="1:48" ht="12.95" customHeight="1">
      <c r="A1326" s="383">
        <v>3</v>
      </c>
      <c r="B1326" s="158" t="s">
        <v>50</v>
      </c>
      <c r="C1326" s="168" t="s">
        <v>136</v>
      </c>
      <c r="D1326" s="161" t="s">
        <v>63</v>
      </c>
      <c r="E1326" s="162">
        <v>40.950000000000003</v>
      </c>
      <c r="F1326" s="713" t="s">
        <v>1306</v>
      </c>
      <c r="G1326" s="357">
        <v>0</v>
      </c>
      <c r="H1326" s="748" t="str">
        <f t="shared" ref="H1326" si="3303">IF(G1326=0,"",IF(F1326="Qty=",IF(G1326=1,"plant","plants"),IF(F1326&gt;0.0001,"warranty","Error")))</f>
        <v/>
      </c>
      <c r="I1326" s="592">
        <f t="shared" ref="I1326" si="3304">IF(F1326="Qty=",(E1326*G1326),((E1326*(1-F1326))*G1326))</f>
        <v>0</v>
      </c>
      <c r="J1326" s="592">
        <f>IF(H1326="warranty",0,(I1326*($J$1782)))</f>
        <v>0</v>
      </c>
      <c r="K1326" s="834">
        <f t="shared" ref="K1326" si="3305">I1326+J1326</f>
        <v>0</v>
      </c>
      <c r="L1326" s="834"/>
      <c r="M1326" s="832" t="str">
        <f>IF($H$1784=0,"",IF(G1326=0,"",IF(F1326="Qty=",CONCATENATE("$",ROUND(K1326*(1-$H$1784),2)," with ",($H$1784*100),"% discount"),CONCATENATE("$",ROUND(K1326*(1-$H$1784),2)," with ",(($H$1784*100+F1326*100)-($H$1784*100*F1326)),IF(F1326&gt;0,"% discounts",IF($H$1781&gt;0,"% discounts","% discount"))))))</f>
        <v/>
      </c>
      <c r="N1326" s="832"/>
      <c r="O1326" s="832"/>
      <c r="P1326" s="832"/>
      <c r="Q1326" s="832"/>
      <c r="R1326" s="832"/>
      <c r="S1326" s="303">
        <f t="shared" ref="S1326" si="3306">E1326*G1326</f>
        <v>0</v>
      </c>
      <c r="T1326" s="541">
        <f>VLOOKUP(A1326,'Discount Lookup'!D:E,2,FALSE)*G1326</f>
        <v>0</v>
      </c>
      <c r="U1326" s="83">
        <f>VLOOKUP(A1326,'Discount Lookup'!G:H,2,FALSE)*G1326</f>
        <v>0</v>
      </c>
      <c r="V1326" s="100">
        <f>E1326*($J$1782)*G1326</f>
        <v>0</v>
      </c>
      <c r="W1326" s="100">
        <f t="shared" ref="W1326" si="3307">I1326</f>
        <v>0</v>
      </c>
      <c r="X1326" s="100" t="b">
        <f>IF(G1326&gt;0,IF(AD1326="me","",G1326))</f>
        <v>0</v>
      </c>
      <c r="Y1326" s="201"/>
      <c r="Z1326" s="829" t="str">
        <f t="shared" si="3301"/>
        <v/>
      </c>
      <c r="AA1326" s="829"/>
      <c r="AB1326" s="830" t="str">
        <f>IF(G1326=0,"",IF(AD1326="free","re-planting",IF(AD1326="me","not NVP, by",IF($AD$8="yes",(VLOOKUP(A1326,'Discount Lookup'!J:K,2)*G1326*(1-$AC$1786)*(1+$AC$1788)),IF(AD1326="NVP",(VLOOKUP(A1326,'Discount Lookup'!J:K,2)*G1326*(1-$AC$1786)*(1+$AC$1788)),IF(AD1326="free","re-planting",IF(G1326=0,"",IF($AD$8="",IF(AD1326="me","not NVP, by",IF(AD1326="",IF(G1326&gt;0,(VLOOKUP(A1326,'Discount Lookup'!J:K,2)*G1326*(1-$AC$1786)*(1+$AC$1788)),""),"")),"not NVP, by"))))))))</f>
        <v/>
      </c>
      <c r="AC1326" s="830"/>
      <c r="AD1326" s="375" t="str">
        <f t="shared" si="3205"/>
        <v/>
      </c>
      <c r="AE1326" s="833" t="str">
        <f t="shared" si="3277"/>
        <v/>
      </c>
      <c r="AF1326" s="833"/>
      <c r="AG1326" s="833"/>
      <c r="AH1326" s="91">
        <f>IF(AD1326="free",0,IF(AD1326="me",0,IF(G1326&gt;0,(VLOOKUP(A1326,'Discount Lookup'!J:K,2)*G1326),0)))</f>
        <v>0</v>
      </c>
      <c r="AI1326" s="92" t="str">
        <f t="shared" si="3250"/>
        <v/>
      </c>
      <c r="AJ1326" s="828" t="str">
        <f t="shared" si="3302"/>
        <v/>
      </c>
      <c r="AK1326" s="828"/>
      <c r="AL1326" s="313" t="str">
        <f t="shared" si="3242"/>
        <v/>
      </c>
      <c r="AM1326" s="312"/>
      <c r="AN1326" s="101"/>
      <c r="AO1326" s="101"/>
      <c r="AP1326" s="101"/>
      <c r="AQ1326" s="101"/>
      <c r="AR1326" s="101"/>
      <c r="AS1326" s="101"/>
      <c r="AT1326" s="101"/>
    </row>
    <row r="1327" spans="1:48" ht="12.95" customHeight="1">
      <c r="A1327" s="479"/>
      <c r="B1327" s="149" t="s">
        <v>727</v>
      </c>
      <c r="C1327" s="104"/>
      <c r="D1327" s="104"/>
      <c r="E1327" s="105"/>
      <c r="F1327" s="709"/>
      <c r="G1327" s="358"/>
      <c r="H1327" s="743"/>
      <c r="I1327" s="102"/>
      <c r="J1327" s="102"/>
      <c r="K1327" s="607"/>
      <c r="L1327" s="607"/>
      <c r="M1327" s="121"/>
      <c r="N1327" s="888"/>
      <c r="O1327" s="888">
        <f>VLOOKUP(A1327,'Discount Lookup'!D:E,2,FALSE)*G1327</f>
        <v>0</v>
      </c>
      <c r="P1327" s="888">
        <f>VLOOKUP(A1327,'Discount Lookup'!G:H,2,FALSE)*G1327</f>
        <v>0</v>
      </c>
      <c r="Q1327" s="124"/>
      <c r="R1327" s="83">
        <f>IF(F1327=0,E1327*($J$1782)*G1327,0)</f>
        <v>0</v>
      </c>
      <c r="S1327" s="82">
        <f>E1327*G1327</f>
        <v>0</v>
      </c>
      <c r="T1327" s="540"/>
      <c r="U1327" s="83"/>
      <c r="V1327" s="100" t="b">
        <f>IF(G1327&gt;0,IF(AD1327="me","",G1327))</f>
        <v>0</v>
      </c>
      <c r="W1327" s="100"/>
      <c r="X1327" s="100"/>
      <c r="Y1327" s="201"/>
      <c r="Z1327" s="829" t="str">
        <f t="shared" si="3301"/>
        <v/>
      </c>
      <c r="AA1327" s="829"/>
      <c r="AB1327" s="830" t="str">
        <f>IF(G1327=0,"",IF(AD1327="free","re-planting",IF(AD1327="me","not NVP, by",IF($AD$8="yes",(VLOOKUP(A1327,'Discount Lookup'!J:K,2)*G1327*(1-$AC$1786)*(1+$AC$1788)),IF(AD1327="NVP",(VLOOKUP(A1327,'Discount Lookup'!J:K,2)*G1327*(1-$AC$1786)*(1+$AC$1788)),IF(AD1327="free","re-planting",IF(G1327=0,"",IF($AD$8="",IF(AD1327="me","not NVP, by",IF(AD1327="",IF(G1327&gt;0,(VLOOKUP(A1327,'Discount Lookup'!J:K,2)*G1327*(1-$AC$1786)*(1+$AC$1788)),""),"")),"not NVP, by"))))))))</f>
        <v/>
      </c>
      <c r="AC1327" s="830"/>
      <c r="AD1327" s="375" t="str">
        <f t="shared" si="3205"/>
        <v/>
      </c>
      <c r="AE1327" s="833" t="str">
        <f t="shared" si="3277"/>
        <v/>
      </c>
      <c r="AF1327" s="833"/>
      <c r="AG1327" s="833"/>
      <c r="AH1327" s="91">
        <f>IF(AD1327="free",0,IF(AD1327="me",0,IF(G1327&gt;0,(VLOOKUP(A1327,'Discount Lookup'!J:K,2)*G1327),0)))</f>
        <v>0</v>
      </c>
      <c r="AI1327" s="92" t="str">
        <f t="shared" si="3250"/>
        <v/>
      </c>
      <c r="AJ1327" s="828" t="str">
        <f t="shared" si="3302"/>
        <v/>
      </c>
      <c r="AK1327" s="828"/>
      <c r="AL1327" s="313" t="str">
        <f t="shared" si="3242"/>
        <v/>
      </c>
      <c r="AM1327" s="312"/>
      <c r="AN1327" s="101"/>
      <c r="AO1327" s="101"/>
      <c r="AP1327" s="101"/>
      <c r="AQ1327" s="101"/>
      <c r="AR1327" s="101"/>
      <c r="AS1327" s="101"/>
      <c r="AT1327" s="101"/>
    </row>
    <row r="1328" spans="1:48" ht="12.95" customHeight="1">
      <c r="A1328" s="488"/>
      <c r="B1328" s="190"/>
      <c r="C1328" s="104"/>
      <c r="D1328" s="104"/>
      <c r="E1328" s="105"/>
      <c r="F1328" s="709"/>
      <c r="G1328" s="358"/>
      <c r="H1328" s="743"/>
      <c r="K1328" s="607"/>
      <c r="L1328" s="607"/>
      <c r="M1328" s="121"/>
      <c r="N1328" s="840"/>
      <c r="O1328" s="840"/>
      <c r="P1328" s="124"/>
      <c r="Q1328" s="841" t="s">
        <v>125</v>
      </c>
      <c r="R1328" s="841"/>
      <c r="S1328" s="841"/>
      <c r="T1328" s="841"/>
      <c r="U1328" s="841"/>
      <c r="V1328" s="841"/>
      <c r="Y1328" s="132"/>
      <c r="Z1328" s="829" t="str">
        <f t="shared" si="3301"/>
        <v/>
      </c>
      <c r="AA1328" s="829"/>
      <c r="AB1328" s="830" t="str">
        <f>IF(G1328=0,"",IF(AD1328="free","re-planting",IF(AD1328="me","not NVP, by",IF($AD$8="yes",(VLOOKUP(A1328,'Discount Lookup'!J:K,2)*G1328*(1-$AC$1786)*(1+$AC$1788)),IF(AD1328="NVP",(VLOOKUP(A1328,'Discount Lookup'!J:K,2)*G1328*(1-$AC$1786)*(1+$AC$1788)),IF(AD1328="free","re-planting",IF(G1328=0,"",IF($AD$8="",IF(AD1328="me","not NVP, by",IF(AD1328="",IF(G1328&gt;0,(VLOOKUP(A1328,'Discount Lookup'!J:K,2)*G1328*(1-$AC$1786)*(1+$AC$1788)),""),"")),"not NVP, by"))))))))</f>
        <v/>
      </c>
      <c r="AC1328" s="830"/>
      <c r="AD1328" s="375" t="str">
        <f t="shared" si="3205"/>
        <v/>
      </c>
      <c r="AE1328" s="833" t="str">
        <f t="shared" si="3277"/>
        <v/>
      </c>
      <c r="AF1328" s="833"/>
      <c r="AG1328" s="833"/>
      <c r="AH1328" s="91">
        <f>IF(AD1328="free",0,IF(AD1328="me",0,IF(G1328&gt;0,(VLOOKUP(A1328,'Discount Lookup'!J:K,2)*G1328),0)))</f>
        <v>0</v>
      </c>
      <c r="AI1328" s="92" t="str">
        <f t="shared" si="3250"/>
        <v/>
      </c>
      <c r="AJ1328" s="828" t="str">
        <f t="shared" si="3302"/>
        <v/>
      </c>
      <c r="AK1328" s="828"/>
      <c r="AL1328" s="313" t="str">
        <f t="shared" si="3242"/>
        <v/>
      </c>
      <c r="AM1328" s="312"/>
      <c r="AN1328" s="101"/>
      <c r="AO1328" s="101"/>
      <c r="AP1328" s="101"/>
      <c r="AQ1328" s="101"/>
      <c r="AR1328" s="101"/>
      <c r="AS1328" s="101"/>
      <c r="AT1328" s="101"/>
    </row>
    <row r="1329" spans="1:46" ht="12.95" customHeight="1">
      <c r="A1329" s="1028" t="s">
        <v>728</v>
      </c>
      <c r="B1329" s="1029"/>
      <c r="C1329" s="1029"/>
      <c r="D1329" s="1029"/>
      <c r="E1329" s="1029"/>
      <c r="F1329" s="718"/>
      <c r="G1329" s="382"/>
      <c r="H1329" s="752"/>
      <c r="I1329" s="523" t="str">
        <f>IF($A$8="show",COUNTIF($G$1329:$G$1384,"&gt;0"),IF($E$1="Quote","",IF($E$1="Order","",IF($E$1="Delivered","",IF($E$1="Completed","",IF(SUM($G$1329:$G$1384)=0,"",COUNTIF($G$1329:$G$1384,"&gt;0")))))))</f>
        <v/>
      </c>
      <c r="J1329" s="524" t="str">
        <f>IF($A$8="show",CONCATENATE("WP picked, ",SUM($G$1329:$G$1384)," WP plants total"),IF($E$1="Quote","",IF($E$1="Order","",IF($E$1="Delivered","",IF($E$1="Completed","",IF(SUM($G$1329:$G$1384)&gt;0,CONCATENATE("WP picked, ",SUM($G$1329:$G$1384)," WP plants total"),""))))))</f>
        <v/>
      </c>
      <c r="K1329" s="618"/>
      <c r="L1329" s="618"/>
      <c r="M1329" s="856" t="s">
        <v>258</v>
      </c>
      <c r="N1329" s="857"/>
      <c r="O1329" s="858"/>
      <c r="P1329" s="873" t="s">
        <v>259</v>
      </c>
      <c r="Q1329" s="874"/>
      <c r="R1329" s="874"/>
      <c r="S1329" s="874"/>
      <c r="T1329" s="874"/>
      <c r="U1329" s="874"/>
      <c r="V1329" s="100"/>
      <c r="W1329" s="100"/>
      <c r="X1329" s="100"/>
      <c r="Y1329" s="201"/>
      <c r="Z1329" s="829" t="str">
        <f t="shared" si="3301"/>
        <v/>
      </c>
      <c r="AA1329" s="829"/>
      <c r="AB1329" s="830" t="str">
        <f>IF(G1329=0,"",IF(AD1329="free","re-planting",IF(AD1329="me","not NVP, by",IF($AD$8="yes",(VLOOKUP(A1329,'Discount Lookup'!J:K,2)*G1329*(1-$AC$1786)*(1+$AC$1788)),IF(AD1329="NVP",(VLOOKUP(A1329,'Discount Lookup'!J:K,2)*G1329*(1-$AC$1786)*(1+$AC$1788)),IF(AD1329="free","re-planting",IF(G1329=0,"",IF($AD$8="",IF(AD1329="me","not NVP, by",IF(AD1329="",IF(G1329&gt;0,(VLOOKUP(A1329,'Discount Lookup'!J:K,2)*G1329*(1-$AC$1786)*(1+$AC$1788)),""),"")),"not NVP, by"))))))))</f>
        <v/>
      </c>
      <c r="AC1329" s="830"/>
      <c r="AD1329" s="375" t="str">
        <f t="shared" si="3205"/>
        <v/>
      </c>
      <c r="AE1329" s="833" t="str">
        <f t="shared" si="3277"/>
        <v/>
      </c>
      <c r="AF1329" s="833"/>
      <c r="AG1329" s="833"/>
      <c r="AH1329" s="91">
        <f>IF(AD1329="free",0,IF(AD1329="me",0,IF(G1329&gt;0,(VLOOKUP(A1329,'Discount Lookup'!J:K,2)*G1329),0)))</f>
        <v>0</v>
      </c>
      <c r="AI1329" s="92" t="str">
        <f t="shared" si="3250"/>
        <v/>
      </c>
      <c r="AJ1329" s="828" t="str">
        <f t="shared" si="3302"/>
        <v/>
      </c>
      <c r="AK1329" s="828"/>
      <c r="AL1329" s="313" t="str">
        <f t="shared" si="3242"/>
        <v/>
      </c>
      <c r="AM1329" s="312"/>
      <c r="AN1329" s="101"/>
      <c r="AO1329" s="101"/>
      <c r="AP1329" s="101"/>
      <c r="AQ1329" s="101"/>
      <c r="AR1329" s="101"/>
      <c r="AS1329" s="101"/>
      <c r="AT1329" s="101"/>
    </row>
    <row r="1330" spans="1:46" ht="12.95" customHeight="1">
      <c r="A1330" s="913" t="s">
        <v>729</v>
      </c>
      <c r="B1330" s="895"/>
      <c r="C1330" s="895"/>
      <c r="D1330" s="895"/>
      <c r="E1330" s="895"/>
      <c r="F1330" s="895"/>
      <c r="G1330" s="895"/>
      <c r="H1330" s="775" t="s">
        <v>730</v>
      </c>
      <c r="I1330" s="164" t="s">
        <v>79</v>
      </c>
      <c r="J1330" s="157"/>
      <c r="K1330" s="611" t="s">
        <v>45</v>
      </c>
      <c r="L1330" s="630" t="s">
        <v>46</v>
      </c>
      <c r="M1330" s="157"/>
      <c r="N1330" s="352" t="s">
        <v>262</v>
      </c>
      <c r="O1330" s="158"/>
      <c r="P1330" s="158"/>
      <c r="Q1330" s="804" t="s">
        <v>1626</v>
      </c>
      <c r="R1330" s="157"/>
      <c r="S1330" s="170"/>
      <c r="T1330" s="547"/>
      <c r="U1330" s="171"/>
      <c r="V1330" s="100" t="b">
        <f>IF(G1330&gt;0,IF(AD1330="me","",G1330))</f>
        <v>0</v>
      </c>
      <c r="W1330" s="100"/>
      <c r="X1330" s="100"/>
      <c r="Y1330" s="201"/>
      <c r="Z1330" s="829" t="str">
        <f t="shared" si="3301"/>
        <v/>
      </c>
      <c r="AA1330" s="829"/>
      <c r="AB1330" s="830" t="str">
        <f>IF(G1330=0,"",IF(AD1330="free","re-planting",IF(AD1330="me","not NVP, by",IF($AD$8="yes",(VLOOKUP(A1330,'Discount Lookup'!J:K,2)*G1330*(1-$AC$1786)*(1+$AC$1788)),IF(AD1330="NVP",(VLOOKUP(A1330,'Discount Lookup'!J:K,2)*G1330*(1-$AC$1786)*(1+$AC$1788)),IF(AD1330="free","re-planting",IF(G1330=0,"",IF($AD$8="",IF(AD1330="me","not NVP, by",IF(AD1330="",IF(G1330&gt;0,(VLOOKUP(A1330,'Discount Lookup'!J:K,2)*G1330*(1-$AC$1786)*(1+$AC$1788)),""),"")),"not NVP, by"))))))))</f>
        <v/>
      </c>
      <c r="AC1330" s="830"/>
      <c r="AD1330" s="375" t="str">
        <f t="shared" si="3205"/>
        <v/>
      </c>
      <c r="AE1330" s="833" t="str">
        <f>IF(G1330&gt;0,(CONCATENATE((G1330)," quantity, ",(A1330)," ",B1330)),"")</f>
        <v/>
      </c>
      <c r="AF1330" s="833"/>
      <c r="AG1330" s="833"/>
      <c r="AH1330" s="91">
        <f>IF(AD1330="free",0,IF(AD1330="me",0,IF(G1330&gt;0,(VLOOKUP(A1330,'Discount Lookup'!J:K,2)*G1330),0)))</f>
        <v>0</v>
      </c>
      <c r="AI1330" s="92" t="str">
        <f t="shared" si="3250"/>
        <v/>
      </c>
      <c r="AJ1330" s="828" t="str">
        <f t="shared" si="3302"/>
        <v/>
      </c>
      <c r="AK1330" s="828"/>
      <c r="AL1330" s="313" t="str">
        <f t="shared" si="3242"/>
        <v/>
      </c>
      <c r="AM1330" s="312"/>
      <c r="AN1330" s="101"/>
      <c r="AO1330" s="101"/>
      <c r="AP1330" s="101"/>
      <c r="AQ1330" s="101"/>
      <c r="AR1330" s="101"/>
      <c r="AS1330" s="101"/>
      <c r="AT1330" s="101"/>
    </row>
    <row r="1331" spans="1:46" ht="12.95" customHeight="1">
      <c r="A1331" s="388">
        <v>15</v>
      </c>
      <c r="B1331" s="158" t="s">
        <v>50</v>
      </c>
      <c r="C1331" s="172" t="s">
        <v>1586</v>
      </c>
      <c r="D1331" s="161" t="s">
        <v>54</v>
      </c>
      <c r="E1331" s="162">
        <v>160.94999999999999</v>
      </c>
      <c r="F1331" s="713" t="s">
        <v>1306</v>
      </c>
      <c r="G1331" s="357">
        <v>0</v>
      </c>
      <c r="H1331" s="748" t="str">
        <f t="shared" ref="H1331" si="3308">IF(G1331=0,"",IF(F1331="Qty=",IF(G1331=1,"plant","plants"),IF(F1331&gt;0.0001,"warranty","Error")))</f>
        <v/>
      </c>
      <c r="I1331" s="592">
        <f t="shared" ref="I1331" si="3309">IF(F1331="Qty=",(E1331*G1331),((E1331*(1-F1331))*G1331))</f>
        <v>0</v>
      </c>
      <c r="J1331" s="592">
        <f>IF(H1331="warranty",0,(I1331*($J$1782)))</f>
        <v>0</v>
      </c>
      <c r="K1331" s="834">
        <f t="shared" ref="K1331:K1332" si="3310">I1331+J1331</f>
        <v>0</v>
      </c>
      <c r="L1331" s="834"/>
      <c r="M1331" s="832" t="str">
        <f>IF($H$1784=0,"",IF(G1331=0,"",IF(F1331="Qty=",CONCATENATE("$",ROUND(K1331*(1-$H$1784),2)," with ",($H$1784*100),"% discount"),CONCATENATE("$",ROUND(K1331*(1-$H$1784),2)," with ",(($H$1784*100+F1331*100)-($H$1784*100*F1331)),IF(F1331&gt;0,"% discounts",IF($H$1781&gt;0,"% discounts","% discount"))))))</f>
        <v/>
      </c>
      <c r="N1331" s="832"/>
      <c r="O1331" s="832"/>
      <c r="P1331" s="832"/>
      <c r="Q1331" s="832"/>
      <c r="R1331" s="832"/>
      <c r="S1331" s="303">
        <f t="shared" ref="S1331" si="3311">E1331*G1331</f>
        <v>0</v>
      </c>
      <c r="T1331" s="541">
        <f>VLOOKUP(A1331,'Discount Lookup'!D:E,2,FALSE)*G1331</f>
        <v>0</v>
      </c>
      <c r="U1331" s="83">
        <f>VLOOKUP(A1331,'Discount Lookup'!G:H,2,FALSE)*G1331</f>
        <v>0</v>
      </c>
      <c r="V1331" s="100">
        <f>E1331*($J$1782)*G1331</f>
        <v>0</v>
      </c>
      <c r="W1331" s="100">
        <f t="shared" ref="W1331" si="3312">I1331</f>
        <v>0</v>
      </c>
      <c r="X1331" s="100" t="b">
        <f>IF(G1331&gt;0,IF(AD1331="me","",G1331))</f>
        <v>0</v>
      </c>
      <c r="Y1331" s="201"/>
      <c r="Z1331" s="829" t="str">
        <f t="shared" si="3301"/>
        <v/>
      </c>
      <c r="AA1331" s="829"/>
      <c r="AB1331" s="830" t="str">
        <f>IF(G1331=0,"",IF(AD1331="free","re-planting",IF(AD1331="me","not NVP, by",IF($AD$8="yes",(VLOOKUP(A1331,'Discount Lookup'!J:K,2)*G1331*(1-$AC$1786)*(1+$AC$1788)),IF(AD1331="NVP",(VLOOKUP(A1331,'Discount Lookup'!J:K,2)*G1331*(1-$AC$1786)*(1+$AC$1788)),IF(AD1331="free","re-planting",IF(G1331=0,"",IF($AD$8="",IF(AD1331="me","not NVP, by",IF(AD1331="",IF(G1331&gt;0,(VLOOKUP(A1331,'Discount Lookup'!J:K,2)*G1331*(1-$AC$1786)*(1+$AC$1788)),""),"")),"not NVP, by"))))))))</f>
        <v/>
      </c>
      <c r="AC1331" s="830"/>
      <c r="AD1331" s="375" t="str">
        <f t="shared" si="3205"/>
        <v/>
      </c>
      <c r="AE1331" s="833" t="str">
        <f>IF(G1331&gt;0,(CONCATENATE((G1331)," quantity, ",(A1331)," ",B1331)),"")</f>
        <v/>
      </c>
      <c r="AF1331" s="833"/>
      <c r="AG1331" s="833"/>
      <c r="AH1331" s="91">
        <f>IF(AD1331="free",0,IF(AD1331="me",0,IF(G1331&gt;0,(VLOOKUP(A1331,'Discount Lookup'!J:K,2)*G1331),0)))</f>
        <v>0</v>
      </c>
      <c r="AI1331" s="92" t="str">
        <f t="shared" si="3250"/>
        <v/>
      </c>
      <c r="AJ1331" s="828" t="str">
        <f t="shared" si="3302"/>
        <v/>
      </c>
      <c r="AK1331" s="828"/>
      <c r="AL1331" s="313" t="str">
        <f t="shared" si="3242"/>
        <v/>
      </c>
      <c r="AM1331" s="312"/>
      <c r="AN1331" s="101"/>
      <c r="AO1331" s="101"/>
      <c r="AP1331" s="101"/>
      <c r="AQ1331" s="101"/>
      <c r="AR1331" s="101"/>
      <c r="AS1331" s="101"/>
      <c r="AT1331" s="101"/>
    </row>
    <row r="1332" spans="1:46" ht="12.95" customHeight="1">
      <c r="A1332" s="388">
        <v>25</v>
      </c>
      <c r="B1332" s="158" t="s">
        <v>50</v>
      </c>
      <c r="C1332" s="172" t="s">
        <v>1432</v>
      </c>
      <c r="D1332" s="161" t="s">
        <v>54</v>
      </c>
      <c r="E1332" s="162">
        <v>284.95</v>
      </c>
      <c r="F1332" s="713" t="s">
        <v>1306</v>
      </c>
      <c r="G1332" s="357">
        <v>0</v>
      </c>
      <c r="H1332" s="748" t="str">
        <f t="shared" ref="H1332" si="3313">IF(G1332=0,"",IF(F1332="Qty=",IF(G1332=1,"plant","plants"),IF(F1332&gt;0.0001,"warranty","Error")))</f>
        <v/>
      </c>
      <c r="I1332" s="592">
        <f t="shared" ref="I1332" si="3314">IF(F1332="Qty=",(E1332*G1332),((E1332*(1-F1332))*G1332))</f>
        <v>0</v>
      </c>
      <c r="J1332" s="592">
        <f>IF(H1332="warranty",0,(I1332*($J$1782)))</f>
        <v>0</v>
      </c>
      <c r="K1332" s="834">
        <f t="shared" si="3310"/>
        <v>0</v>
      </c>
      <c r="L1332" s="834"/>
      <c r="M1332" s="832" t="str">
        <f>IF($H$1784=0,"",IF(G1332=0,"",IF(F1332="Qty=",CONCATENATE("$",ROUND(K1332*(1-$H$1784),2)," with ",($H$1784*100),"% discount"),CONCATENATE("$",ROUND(K1332*(1-$H$1784),2)," with ",(($H$1784*100+F1332*100)-($H$1784*100*F1332)),IF(F1332&gt;0,"% discounts",IF($H$1781&gt;0,"% discounts","% discount"))))))</f>
        <v/>
      </c>
      <c r="N1332" s="832"/>
      <c r="O1332" s="832"/>
      <c r="P1332" s="832"/>
      <c r="Q1332" s="832"/>
      <c r="R1332" s="832"/>
      <c r="S1332" s="303">
        <f t="shared" ref="S1332" si="3315">E1332*G1332</f>
        <v>0</v>
      </c>
      <c r="T1332" s="541">
        <f>VLOOKUP(A1332,'Discount Lookup'!D:E,2,FALSE)*G1332</f>
        <v>0</v>
      </c>
      <c r="U1332" s="83">
        <f>VLOOKUP(A1332,'Discount Lookup'!G:H,2,FALSE)*G1332</f>
        <v>0</v>
      </c>
      <c r="V1332" s="100">
        <f>E1332*($J$1782)*G1332</f>
        <v>0</v>
      </c>
      <c r="W1332" s="100">
        <f t="shared" ref="W1332" si="3316">I1332</f>
        <v>0</v>
      </c>
      <c r="X1332" s="100" t="b">
        <f>IF(G1332&gt;0,IF(AD1332="me","",G1332))</f>
        <v>0</v>
      </c>
      <c r="Y1332" s="201"/>
      <c r="Z1332" s="829" t="str">
        <f t="shared" si="3301"/>
        <v/>
      </c>
      <c r="AA1332" s="829"/>
      <c r="AB1332" s="830" t="str">
        <f>IF(G1332=0,"",IF(AD1332="free","re-planting",IF(AD1332="me","not NVP, by",IF($AD$8="yes",(VLOOKUP(A1332,'Discount Lookup'!J:K,2)*G1332*(1-$AC$1786)*(1+$AC$1788)),IF(AD1332="NVP",(VLOOKUP(A1332,'Discount Lookup'!J:K,2)*G1332*(1-$AC$1786)*(1+$AC$1788)),IF(AD1332="free","re-planting",IF(G1332=0,"",IF($AD$8="",IF(AD1332="me","not NVP, by",IF(AD1332="",IF(G1332&gt;0,(VLOOKUP(A1332,'Discount Lookup'!J:K,2)*G1332*(1-$AC$1786)*(1+$AC$1788)),""),"")),"not NVP, by"))))))))</f>
        <v/>
      </c>
      <c r="AC1332" s="830"/>
      <c r="AD1332" s="375" t="str">
        <f t="shared" si="3205"/>
        <v/>
      </c>
      <c r="AE1332" s="833" t="str">
        <f>IF(G1332&gt;0,(CONCATENATE((G1332)," quantity, ",(A1332)," ",B1332)),"")</f>
        <v/>
      </c>
      <c r="AF1332" s="833"/>
      <c r="AG1332" s="833"/>
      <c r="AH1332" s="91">
        <f>IF(AD1332="free",0,IF(AD1332="me",0,IF(G1332&gt;0,(VLOOKUP(A1332,'Discount Lookup'!J:K,2)*G1332),0)))</f>
        <v>0</v>
      </c>
      <c r="AI1332" s="92" t="str">
        <f t="shared" si="3250"/>
        <v/>
      </c>
      <c r="AJ1332" s="828" t="str">
        <f t="shared" si="3302"/>
        <v/>
      </c>
      <c r="AK1332" s="828"/>
      <c r="AL1332" s="313" t="str">
        <f t="shared" si="3242"/>
        <v/>
      </c>
      <c r="AM1332" s="312"/>
      <c r="AN1332" s="101"/>
      <c r="AO1332" s="101"/>
      <c r="AP1332" s="101"/>
      <c r="AQ1332" s="101"/>
      <c r="AR1332" s="101"/>
      <c r="AS1332" s="101"/>
      <c r="AT1332" s="101"/>
    </row>
    <row r="1333" spans="1:46" ht="12.95" customHeight="1">
      <c r="A1333" s="489"/>
      <c r="B1333" s="173" t="s">
        <v>731</v>
      </c>
      <c r="C1333" s="384"/>
      <c r="D1333" s="384"/>
      <c r="E1333" s="202"/>
      <c r="F1333" s="719"/>
      <c r="G1333" s="385"/>
      <c r="H1333" s="753"/>
      <c r="I1333" s="202"/>
      <c r="J1333" s="202"/>
      <c r="K1333" s="587"/>
      <c r="L1333" s="587"/>
      <c r="M1333" s="169"/>
      <c r="N1333" s="203"/>
      <c r="O1333" s="169"/>
      <c r="P1333" s="195"/>
      <c r="Q1333" s="195"/>
      <c r="R1333" s="169"/>
      <c r="S1333" s="82">
        <f>E1333*G1333</f>
        <v>0</v>
      </c>
      <c r="T1333" s="540"/>
      <c r="U1333" s="83"/>
      <c r="V1333" s="100" t="b">
        <f>IF(G1333&gt;0,IF(AD1333="me","",G1333))</f>
        <v>0</v>
      </c>
      <c r="W1333" s="100"/>
      <c r="X1333" s="100"/>
      <c r="Y1333" s="201"/>
      <c r="Z1333" s="829" t="str">
        <f t="shared" si="3301"/>
        <v/>
      </c>
      <c r="AA1333" s="829"/>
      <c r="AB1333" s="830" t="str">
        <f>IF(G1333=0,"",IF(AD1333="free","re-planting",IF(AD1333="me","not NVP, by",IF($AD$8="yes",(VLOOKUP(A1333,'Discount Lookup'!J:K,2)*G1333*(1-$AC$1786)*(1+$AC$1788)),IF(AD1333="NVP",(VLOOKUP(A1333,'Discount Lookup'!J:K,2)*G1333*(1-$AC$1786)*(1+$AC$1788)),IF(AD1333="free","re-planting",IF(G1333=0,"",IF($AD$8="",IF(AD1333="me","not NVP, by",IF(AD1333="",IF(G1333&gt;0,(VLOOKUP(A1333,'Discount Lookup'!J:K,2)*G1333*(1-$AC$1786)*(1+$AC$1788)),""),"")),"not NVP, by"))))))))</f>
        <v/>
      </c>
      <c r="AC1333" s="830"/>
      <c r="AD1333" s="375" t="str">
        <f t="shared" si="3205"/>
        <v/>
      </c>
      <c r="AE1333" s="833" t="str">
        <f>IF(G1333&gt;0,(CONCATENATE((G1333)," quantity, ",(A1333)," ",B1333)),"")</f>
        <v/>
      </c>
      <c r="AF1333" s="833"/>
      <c r="AG1333" s="833"/>
      <c r="AH1333" s="91">
        <f>IF(AD1333="free",0,IF(AD1333="me",0,IF(G1333&gt;0,(VLOOKUP(A1333,'Discount Lookup'!J:K,2)*G1333),0)))</f>
        <v>0</v>
      </c>
      <c r="AI1333" s="92" t="str">
        <f t="shared" si="3250"/>
        <v/>
      </c>
      <c r="AJ1333" s="828" t="str">
        <f t="shared" si="3302"/>
        <v/>
      </c>
      <c r="AK1333" s="828"/>
      <c r="AL1333" s="313" t="str">
        <f t="shared" si="3242"/>
        <v/>
      </c>
      <c r="AM1333" s="312"/>
      <c r="AN1333" s="101"/>
      <c r="AO1333" s="101"/>
      <c r="AP1333" s="101"/>
      <c r="AQ1333" s="101"/>
      <c r="AR1333" s="101"/>
      <c r="AS1333" s="101"/>
      <c r="AT1333" s="101"/>
    </row>
    <row r="1334" spans="1:46" ht="12.95" customHeight="1">
      <c r="A1334" s="963" t="s">
        <v>732</v>
      </c>
      <c r="B1334" s="837"/>
      <c r="C1334" s="837"/>
      <c r="D1334" s="837"/>
      <c r="E1334" s="837"/>
      <c r="F1334" s="837"/>
      <c r="G1334" s="837"/>
      <c r="H1334" s="775" t="s">
        <v>106</v>
      </c>
      <c r="I1334" s="349" t="s">
        <v>280</v>
      </c>
      <c r="J1334" s="157"/>
      <c r="K1334" s="611" t="s">
        <v>45</v>
      </c>
      <c r="L1334" s="630" t="s">
        <v>46</v>
      </c>
      <c r="M1334" s="157"/>
      <c r="N1334" s="158" t="s">
        <v>47</v>
      </c>
      <c r="O1334" s="158"/>
      <c r="P1334" s="158"/>
      <c r="Q1334" s="804" t="s">
        <v>1626</v>
      </c>
      <c r="R1334" s="157"/>
      <c r="S1334" s="170"/>
      <c r="T1334" s="547"/>
      <c r="U1334" s="171"/>
      <c r="V1334" s="100" t="b">
        <f>IF(G1334&gt;0,IF(AD1334="me","",G1334))</f>
        <v>0</v>
      </c>
      <c r="W1334" s="100"/>
      <c r="X1334" s="100"/>
      <c r="Y1334" s="201"/>
      <c r="Z1334" s="829" t="str">
        <f t="shared" si="3301"/>
        <v/>
      </c>
      <c r="AA1334" s="829"/>
      <c r="AB1334" s="830" t="str">
        <f>IF(G1334=0,"",IF(AD1334="free","re-planting",IF(AD1334="me","not NVP, by",IF($AD$8="yes",(VLOOKUP(A1334,'Discount Lookup'!J:K,2)*G1334*(1-$AC$1786)*(1+$AC$1788)),IF(AD1334="NVP",(VLOOKUP(A1334,'Discount Lookup'!J:K,2)*G1334*(1-$AC$1786)*(1+$AC$1788)),IF(AD1334="free","re-planting",IF(G1334=0,"",IF($AD$8="",IF(AD1334="me","not NVP, by",IF(AD1334="",IF(G1334&gt;0,(VLOOKUP(A1334,'Discount Lookup'!J:K,2)*G1334*(1-$AC$1786)*(1+$AC$1788)),""),"")),"not NVP, by"))))))))</f>
        <v/>
      </c>
      <c r="AC1334" s="830"/>
      <c r="AD1334" s="375" t="str">
        <f t="shared" si="3205"/>
        <v/>
      </c>
      <c r="AE1334" s="833" t="str">
        <f t="shared" si="3277"/>
        <v/>
      </c>
      <c r="AF1334" s="833"/>
      <c r="AG1334" s="833"/>
      <c r="AH1334" s="91">
        <f>IF(AD1334="free",0,IF(AD1334="me",0,IF(G1334&gt;0,(VLOOKUP(A1334,'Discount Lookup'!J:K,2)*G1334),0)))</f>
        <v>0</v>
      </c>
      <c r="AI1334" s="92" t="str">
        <f t="shared" si="3250"/>
        <v/>
      </c>
      <c r="AJ1334" s="828" t="str">
        <f t="shared" si="3302"/>
        <v/>
      </c>
      <c r="AK1334" s="828"/>
      <c r="AL1334" s="313" t="str">
        <f t="shared" si="3242"/>
        <v/>
      </c>
      <c r="AM1334" s="312"/>
      <c r="AN1334" s="101"/>
      <c r="AO1334" s="101"/>
      <c r="AP1334" s="101"/>
      <c r="AQ1334" s="101"/>
      <c r="AR1334" s="101"/>
      <c r="AS1334" s="101"/>
      <c r="AT1334" s="101"/>
    </row>
    <row r="1335" spans="1:46" ht="12.95" customHeight="1">
      <c r="A1335" s="388">
        <v>7</v>
      </c>
      <c r="B1335" s="158" t="s">
        <v>50</v>
      </c>
      <c r="C1335" s="172" t="s">
        <v>1631</v>
      </c>
      <c r="D1335" s="161" t="s">
        <v>54</v>
      </c>
      <c r="E1335" s="162">
        <v>81.95</v>
      </c>
      <c r="F1335" s="713" t="s">
        <v>1306</v>
      </c>
      <c r="G1335" s="357">
        <v>0</v>
      </c>
      <c r="H1335" s="748" t="str">
        <f t="shared" ref="H1335" si="3317">IF(G1335=0,"",IF(F1335="Qty=",IF(G1335=1,"plant","plants"),IF(F1335&gt;0.0001,"warranty","Error")))</f>
        <v/>
      </c>
      <c r="I1335" s="592">
        <f t="shared" ref="I1335" si="3318">IF(F1335="Qty=",(E1335*G1335),((E1335*(1-F1335))*G1335))</f>
        <v>0</v>
      </c>
      <c r="J1335" s="592">
        <f>IF(H1335="warranty",0,(I1335*($J$1782)))</f>
        <v>0</v>
      </c>
      <c r="K1335" s="834">
        <f t="shared" ref="K1335" si="3319">I1335+J1335</f>
        <v>0</v>
      </c>
      <c r="L1335" s="834"/>
      <c r="M1335" s="832" t="str">
        <f>IF($H$1784=0,"",IF(G1335=0,"",IF(F1335="Qty=",CONCATENATE("$",ROUND(K1335*(1-$H$1784),2)," with ",($H$1784*100),"% discount"),CONCATENATE("$",ROUND(K1335*(1-$H$1784),2)," with ",(($H$1784*100+F1335*100)-($H$1784*100*F1335)),IF(F1335&gt;0,"% discounts",IF($H$1781&gt;0,"% discounts","% discount"))))))</f>
        <v/>
      </c>
      <c r="N1335" s="832"/>
      <c r="O1335" s="832"/>
      <c r="P1335" s="832"/>
      <c r="Q1335" s="832"/>
      <c r="R1335" s="832"/>
      <c r="S1335" s="303">
        <f t="shared" ref="S1335" si="3320">E1335*G1335</f>
        <v>0</v>
      </c>
      <c r="T1335" s="541">
        <f>VLOOKUP(A1335,'Discount Lookup'!D:E,2,FALSE)*G1335</f>
        <v>0</v>
      </c>
      <c r="U1335" s="83">
        <f>VLOOKUP(A1335,'Discount Lookup'!G:H,2,FALSE)*G1335</f>
        <v>0</v>
      </c>
      <c r="V1335" s="100">
        <f>E1335*($J$1782)*G1335</f>
        <v>0</v>
      </c>
      <c r="W1335" s="100">
        <f t="shared" ref="W1335" si="3321">I1335</f>
        <v>0</v>
      </c>
      <c r="X1335" s="100" t="b">
        <f>IF(G1335&gt;0,IF(AD1335="me","",G1335))</f>
        <v>0</v>
      </c>
      <c r="Y1335" s="201"/>
      <c r="Z1335" s="829" t="str">
        <f t="shared" si="3301"/>
        <v/>
      </c>
      <c r="AA1335" s="829"/>
      <c r="AB1335" s="830" t="str">
        <f>IF(G1335=0,"",IF(AD1335="free","re-planting",IF(AD1335="me","not NVP, by",IF($AD$8="yes",(VLOOKUP(A1335,'Discount Lookup'!J:K,2)*G1335*(1-$AC$1786)*(1+$AC$1788)),IF(AD1335="NVP",(VLOOKUP(A1335,'Discount Lookup'!J:K,2)*G1335*(1-$AC$1786)*(1+$AC$1788)),IF(AD1335="free","re-planting",IF(G1335=0,"",IF($AD$8="",IF(AD1335="me","not NVP, by",IF(AD1335="",IF(G1335&gt;0,(VLOOKUP(A1335,'Discount Lookup'!J:K,2)*G1335*(1-$AC$1786)*(1+$AC$1788)),""),"")),"not NVP, by"))))))))</f>
        <v/>
      </c>
      <c r="AC1335" s="830"/>
      <c r="AD1335" s="375" t="str">
        <f t="shared" ref="AD1335:AD1385" si="3322">IF(G1335=0,"",IF($AD$8="me","me",IF(H1335="warranty","free",IF($AD$8="yes","NVP",""))))</f>
        <v/>
      </c>
      <c r="AE1335" s="833" t="str">
        <f>IF(G1335&gt;0,(CONCATENATE((G1335)," quantity, ",(A1335)," ",B1335)),"")</f>
        <v/>
      </c>
      <c r="AF1335" s="833"/>
      <c r="AG1335" s="833"/>
      <c r="AH1335" s="91">
        <f>IF(AD1335="free",0,IF(AD1335="me",0,IF(G1335&gt;0,(VLOOKUP(A1335,'Discount Lookup'!J:K,2)*G1335),0)))</f>
        <v>0</v>
      </c>
      <c r="AI1335" s="92" t="str">
        <f t="shared" si="3250"/>
        <v/>
      </c>
      <c r="AJ1335" s="828" t="str">
        <f t="shared" si="3302"/>
        <v/>
      </c>
      <c r="AK1335" s="828"/>
      <c r="AL1335" s="313" t="str">
        <f t="shared" si="3242"/>
        <v/>
      </c>
      <c r="AM1335" s="312"/>
      <c r="AN1335" s="101"/>
      <c r="AO1335" s="101"/>
      <c r="AP1335" s="101"/>
      <c r="AQ1335" s="101"/>
      <c r="AR1335" s="101"/>
      <c r="AS1335" s="101"/>
      <c r="AT1335" s="101"/>
    </row>
    <row r="1336" spans="1:46" ht="12.75" customHeight="1">
      <c r="A1336" s="490"/>
      <c r="B1336" s="173" t="s">
        <v>734</v>
      </c>
      <c r="C1336" s="117"/>
      <c r="D1336" s="118"/>
      <c r="E1336" s="119"/>
      <c r="F1336" s="711"/>
      <c r="G1336" s="356"/>
      <c r="H1336" s="745"/>
      <c r="I1336" s="119"/>
      <c r="J1336" s="119"/>
      <c r="K1336" s="609"/>
      <c r="L1336" s="609"/>
      <c r="M1336" s="121"/>
      <c r="N1336" s="121"/>
      <c r="O1336" s="123"/>
      <c r="P1336" s="124"/>
      <c r="Q1336" s="124"/>
      <c r="R1336" s="83"/>
      <c r="S1336" s="82">
        <f>E1336*G1336</f>
        <v>0</v>
      </c>
      <c r="T1336" s="540"/>
      <c r="U1336" s="83"/>
      <c r="V1336" s="100" t="b">
        <f>IF(G1336&gt;0,IF(AD1336="me","",G1336))</f>
        <v>0</v>
      </c>
      <c r="W1336" s="100"/>
      <c r="X1336" s="100"/>
      <c r="Y1336" s="201"/>
      <c r="Z1336" s="829" t="str">
        <f t="shared" si="3301"/>
        <v/>
      </c>
      <c r="AA1336" s="829"/>
      <c r="AB1336" s="830" t="str">
        <f>IF(G1336=0,"",IF(AD1336="free","re-planting",IF(AD1336="me","not NVP, by",IF($AD$8="yes",(VLOOKUP(A1336,'Discount Lookup'!J:K,2)*G1336*(1-$AC$1786)*(1+$AC$1788)),IF(AD1336="NVP",(VLOOKUP(A1336,'Discount Lookup'!J:K,2)*G1336*(1-$AC$1786)*(1+$AC$1788)),IF(AD1336="free","re-planting",IF(G1336=0,"",IF($AD$8="",IF(AD1336="me","not NVP, by",IF(AD1336="",IF(G1336&gt;0,(VLOOKUP(A1336,'Discount Lookup'!J:K,2)*G1336*(1-$AC$1786)*(1+$AC$1788)),""),"")),"not NVP, by"))))))))</f>
        <v/>
      </c>
      <c r="AC1336" s="830"/>
      <c r="AD1336" s="375" t="str">
        <f t="shared" si="3322"/>
        <v/>
      </c>
      <c r="AE1336" s="833" t="str">
        <f t="shared" si="3277"/>
        <v/>
      </c>
      <c r="AF1336" s="833"/>
      <c r="AG1336" s="833"/>
      <c r="AH1336" s="91">
        <f>IF(AD1336="free",0,IF(AD1336="me",0,IF(G1336&gt;0,(VLOOKUP(A1336,'Discount Lookup'!J:K,2)*G1336),0)))</f>
        <v>0</v>
      </c>
      <c r="AI1336" s="92" t="str">
        <f t="shared" si="3250"/>
        <v/>
      </c>
      <c r="AJ1336" s="828" t="str">
        <f t="shared" si="3302"/>
        <v/>
      </c>
      <c r="AK1336" s="828"/>
      <c r="AL1336" s="313" t="str">
        <f t="shared" si="3242"/>
        <v/>
      </c>
      <c r="AM1336" s="312"/>
      <c r="AN1336" s="101"/>
      <c r="AO1336" s="101"/>
      <c r="AP1336" s="101"/>
      <c r="AQ1336" s="101"/>
      <c r="AR1336" s="101"/>
      <c r="AS1336" s="101"/>
      <c r="AT1336" s="101"/>
    </row>
    <row r="1337" spans="1:46" ht="12.95" customHeight="1">
      <c r="A1337" s="963" t="s">
        <v>1029</v>
      </c>
      <c r="B1337" s="837"/>
      <c r="C1337" s="837"/>
      <c r="D1337" s="837"/>
      <c r="E1337" s="837"/>
      <c r="F1337" s="837"/>
      <c r="G1337" s="837"/>
      <c r="H1337" s="775" t="s">
        <v>360</v>
      </c>
      <c r="I1337" s="349" t="s">
        <v>280</v>
      </c>
      <c r="J1337" s="157"/>
      <c r="K1337" s="611" t="s">
        <v>45</v>
      </c>
      <c r="L1337" s="630" t="s">
        <v>46</v>
      </c>
      <c r="M1337" s="157"/>
      <c r="N1337" s="175" t="s">
        <v>157</v>
      </c>
      <c r="O1337" s="175"/>
      <c r="P1337" s="175"/>
      <c r="Q1337" s="175"/>
      <c r="R1337" s="157"/>
      <c r="S1337" s="170"/>
      <c r="T1337" s="547"/>
      <c r="U1337" s="171"/>
      <c r="V1337" s="100" t="b">
        <f>IF(G1337&gt;0,IF(AD1337="me","",G1337))</f>
        <v>0</v>
      </c>
      <c r="W1337" s="100"/>
      <c r="X1337" s="100"/>
      <c r="Y1337" s="201"/>
      <c r="Z1337" s="838" t="str">
        <f>IF(G1337=0,"",IF(AD1337="me","",IF($AD$8="me","",IF(AD1337="free","warranty",IF($AD$8="yes","NVP planting:","to NVP install:")))))</f>
        <v/>
      </c>
      <c r="AA1337" s="838"/>
      <c r="AB1337" s="830" t="str">
        <f>IF(G1337=0,"",IF(AD1337="free","re-planting",IF(AD1337="me","not NVP, by",IF($AD$8="yes",(VLOOKUP(A1337,'Discount Lookup'!J:K,2)*G1337*(1-$AC$1786)*(1+$AC$1788)),IF(AD1337="NVP",(VLOOKUP(A1337,'Discount Lookup'!J:K,2)*G1337*(1-$AC$1786)*(1+$AC$1788)),IF(AD1337="free","re-planting",IF(G1337=0,"",IF($AD$8="",IF(AD1337="me","not NVP, by",IF(AD1337="",IF(G1337&gt;0,(VLOOKUP(A1337,'Discount Lookup'!J:K,2)*G1337*(1-$AC$1786)*(1+$AC$1788)),""),"")),"not NVP, by"))))))))</f>
        <v/>
      </c>
      <c r="AC1337" s="830"/>
      <c r="AD1337" s="375" t="str">
        <f t="shared" si="3322"/>
        <v/>
      </c>
      <c r="AE1337" s="833" t="str">
        <f>IF(G1337&gt;0,(CONCATENATE((G1337)," quantity, ",(A1337)," ",B1337)),"")</f>
        <v/>
      </c>
      <c r="AF1337" s="833"/>
      <c r="AG1337" s="833"/>
      <c r="AH1337" s="91" t="str">
        <f>IF(AD1337="free",0,IF(AD1337="me","",IF(G1337&gt;0,(VLOOKUP(A1337,'Discount Lookup'!J:K,2)*G1337),"")))</f>
        <v/>
      </c>
      <c r="AI1337" s="92" t="str">
        <f t="shared" si="3250"/>
        <v/>
      </c>
      <c r="AJ1337" s="828" t="str">
        <f>IF(G1337=0,"",IF(AD1337="me","  delivery-only",CONCATENATE(" $",ROUND(AI1337/G1337,2)," each")))</f>
        <v/>
      </c>
      <c r="AK1337" s="828"/>
      <c r="AL1337" s="313" t="str">
        <f t="shared" si="3242"/>
        <v/>
      </c>
      <c r="AM1337" s="312"/>
      <c r="AN1337" s="101"/>
      <c r="AO1337" s="101"/>
      <c r="AP1337" s="101"/>
      <c r="AQ1337" s="101"/>
      <c r="AR1337" s="101"/>
      <c r="AS1337" s="101"/>
      <c r="AT1337" s="101"/>
    </row>
    <row r="1338" spans="1:46" ht="12.95" customHeight="1">
      <c r="A1338" s="388">
        <v>15</v>
      </c>
      <c r="B1338" s="158" t="s">
        <v>50</v>
      </c>
      <c r="C1338" s="160" t="s">
        <v>387</v>
      </c>
      <c r="D1338" s="161" t="s">
        <v>54</v>
      </c>
      <c r="E1338" s="162">
        <v>219.95</v>
      </c>
      <c r="F1338" s="713" t="s">
        <v>1306</v>
      </c>
      <c r="G1338" s="357">
        <v>0</v>
      </c>
      <c r="H1338" s="748" t="str">
        <f>IF(G1338=0,"",IF(F1338="Qty=",IF(G1338=1,"plant","plants"),IF(F1338&gt;0.0001,"warranty","Error")))</f>
        <v/>
      </c>
      <c r="I1338" s="592">
        <f>IF(F1338="Qty=",(E1338*G1338),((E1338*(1-F1338))*G1338))</f>
        <v>0</v>
      </c>
      <c r="J1338" s="592">
        <f>IF(H1338="warranty",0,(I1338*($J$1782)))</f>
        <v>0</v>
      </c>
      <c r="K1338" s="834">
        <f t="shared" ref="K1338" si="3323">I1338+J1338</f>
        <v>0</v>
      </c>
      <c r="L1338" s="834"/>
      <c r="M1338" s="832" t="str">
        <f>IF($H$1784=0,"",IF(G1338=0,"",IF(F1338="Qty=",CONCATENATE("$",ROUND(K1338*(1-$H$1784),2)," with ",($H$1784*100),"% discount"),CONCATENATE("$",ROUND(K1338*(1-$H$1784),2)," with ",(($H$1784*100+F1338*100)-($H$1784*100*F1338)),IF(F1338&gt;0,"% discounts",IF($H$1781&gt;0,"% discounts","% discount"))))))</f>
        <v/>
      </c>
      <c r="N1338" s="832"/>
      <c r="O1338" s="832"/>
      <c r="P1338" s="832"/>
      <c r="Q1338" s="832"/>
      <c r="R1338" s="832"/>
      <c r="S1338" s="303">
        <f>E1338*G1338</f>
        <v>0</v>
      </c>
      <c r="T1338" s="541">
        <f>VLOOKUP(A1338,'Discount Lookup'!D:E,2,FALSE)*G1338</f>
        <v>0</v>
      </c>
      <c r="U1338" s="83">
        <f>VLOOKUP(A1338,'Discount Lookup'!G:H,2,FALSE)*G1338</f>
        <v>0</v>
      </c>
      <c r="V1338" s="100">
        <f>E1338*($J$1782)*G1338</f>
        <v>0</v>
      </c>
      <c r="W1338" s="100">
        <f>I1338</f>
        <v>0</v>
      </c>
      <c r="X1338" s="100" t="b">
        <f>IF(G1338&gt;0,IF(AD1338="me","",G1338))</f>
        <v>0</v>
      </c>
      <c r="Y1338" s="201"/>
      <c r="Z1338" s="838" t="str">
        <f>IF(G1338=0,"",IF(AD1338="me","",IF($AD$8="me","",IF(AD1338="free","warranty",IF($AD$8="yes","NVP planting:","to NVP install:")))))</f>
        <v/>
      </c>
      <c r="AA1338" s="838"/>
      <c r="AB1338" s="830" t="str">
        <f>IF(G1338=0,"",IF(AD1338="free","re-planting",IF(AD1338="me","not NVP, by",IF($AD$8="yes",(VLOOKUP(A1338,'Discount Lookup'!J:K,2)*G1338*(1-$AC$1786)*(1+$AC$1788)),IF(AD1338="NVP",(VLOOKUP(A1338,'Discount Lookup'!J:K,2)*G1338*(1-$AC$1786)*(1+$AC$1788)),IF(AD1338="free","re-planting",IF(G1338=0,"",IF($AD$8="",IF(AD1338="me","not NVP, by",IF(AD1338="",IF(G1338&gt;0,(VLOOKUP(A1338,'Discount Lookup'!J:K,2)*G1338*(1-$AC$1786)*(1+$AC$1788)),""),"")),"not NVP, by"))))))))</f>
        <v/>
      </c>
      <c r="AC1338" s="830"/>
      <c r="AD1338" s="375" t="str">
        <f t="shared" si="3322"/>
        <v/>
      </c>
      <c r="AE1338" s="833" t="str">
        <f>IF(G1338&gt;0,(CONCATENATE((G1338)," quantity, ",(A1338)," ",B1338)),"")</f>
        <v/>
      </c>
      <c r="AF1338" s="833"/>
      <c r="AG1338" s="833"/>
      <c r="AH1338" s="91" t="str">
        <f>IF(AD1338="free",0,IF(AD1338="me","",IF(G1338&gt;0,(VLOOKUP(A1338,'Discount Lookup'!J:K,2)*G1338),"")))</f>
        <v/>
      </c>
      <c r="AI1338" s="92" t="str">
        <f t="shared" si="3250"/>
        <v/>
      </c>
      <c r="AJ1338" s="828" t="str">
        <f>IF(G1338=0,"",IF(AD1338="me","  delivery-only",CONCATENATE(" $",ROUND(AI1338/G1338,2)," each")))</f>
        <v/>
      </c>
      <c r="AK1338" s="828"/>
      <c r="AL1338" s="313" t="str">
        <f t="shared" si="3242"/>
        <v/>
      </c>
      <c r="AM1338" s="312"/>
      <c r="AN1338" s="101"/>
      <c r="AO1338" s="101"/>
      <c r="AP1338" s="101"/>
      <c r="AQ1338" s="101"/>
      <c r="AR1338" s="101"/>
      <c r="AS1338" s="101"/>
      <c r="AT1338" s="101"/>
    </row>
    <row r="1339" spans="1:46" ht="12.95" customHeight="1">
      <c r="A1339" s="490"/>
      <c r="B1339" s="173" t="s">
        <v>1030</v>
      </c>
      <c r="C1339" s="117"/>
      <c r="D1339" s="118"/>
      <c r="E1339" s="119"/>
      <c r="F1339" s="711"/>
      <c r="G1339" s="356"/>
      <c r="H1339" s="745"/>
      <c r="I1339" s="119"/>
      <c r="J1339" s="119"/>
      <c r="K1339" s="609"/>
      <c r="L1339" s="609"/>
      <c r="M1339" s="110"/>
      <c r="N1339" s="122" t="s">
        <v>277</v>
      </c>
      <c r="O1339" s="48"/>
      <c r="P1339" s="111"/>
      <c r="Q1339" s="111"/>
      <c r="R1339" s="48"/>
      <c r="V1339" s="100" t="b">
        <f>IF(G1339&gt;0,IF(AD1339="me","",G1339))</f>
        <v>0</v>
      </c>
      <c r="W1339" s="100"/>
      <c r="X1339" s="100"/>
      <c r="Y1339" s="201"/>
      <c r="Z1339" s="838" t="str">
        <f>IF(G1339=0,"",IF(AD1339="me","",IF($AD$8="me","",IF(AD1339="free","warranty",IF($AD$8="yes","NVP planting:","to NVP install:")))))</f>
        <v/>
      </c>
      <c r="AA1339" s="838"/>
      <c r="AB1339" s="830" t="str">
        <f>IF(G1339=0,"",IF(AD1339="free","re-planting",IF(AD1339="me","not NVP, by",IF($AD$8="yes",(VLOOKUP(A1339,'Discount Lookup'!J:K,2)*G1339*(1-$AC$1786)*(1+$AC$1788)),IF(AD1339="NVP",(VLOOKUP(A1339,'Discount Lookup'!J:K,2)*G1339*(1-$AC$1786)*(1+$AC$1788)),IF(AD1339="free","re-planting",IF(G1339=0,"",IF($AD$8="",IF(AD1339="me","not NVP, by",IF(AD1339="",IF(G1339&gt;0,(VLOOKUP(A1339,'Discount Lookup'!J:K,2)*G1339*(1-$AC$1786)*(1+$AC$1788)),""),"")),"not NVP, by"))))))))</f>
        <v/>
      </c>
      <c r="AC1339" s="830"/>
      <c r="AD1339" s="375" t="str">
        <f t="shared" si="3322"/>
        <v/>
      </c>
      <c r="AE1339" s="833" t="str">
        <f>IF(G1339&gt;0,(CONCATENATE((G1339)," quantity, ",(A1339)," ",B1339)),"")</f>
        <v/>
      </c>
      <c r="AF1339" s="833"/>
      <c r="AG1339" s="833"/>
      <c r="AH1339" s="91" t="str">
        <f>IF(AD1339="free",0,IF(AD1339="me","",IF(G1339&gt;0,(VLOOKUP(A1339,'Discount Lookup'!J:K,2)*G1339),"")))</f>
        <v/>
      </c>
      <c r="AI1339" s="92" t="str">
        <f t="shared" si="3250"/>
        <v/>
      </c>
      <c r="AJ1339" s="828" t="str">
        <f>IF(G1339=0,"",IF(AD1339="me","  delivery-only",CONCATENATE(" $",ROUND(AI1339/G1339,2)," each")))</f>
        <v/>
      </c>
      <c r="AK1339" s="828"/>
      <c r="AL1339" s="313" t="str">
        <f t="shared" si="3242"/>
        <v/>
      </c>
      <c r="AM1339" s="312"/>
      <c r="AN1339" s="101"/>
      <c r="AO1339" s="101"/>
      <c r="AP1339" s="101"/>
      <c r="AQ1339" s="101"/>
      <c r="AR1339" s="101"/>
      <c r="AS1339" s="101"/>
      <c r="AT1339" s="101"/>
    </row>
    <row r="1340" spans="1:46" ht="12.95" customHeight="1">
      <c r="A1340" s="913" t="s">
        <v>735</v>
      </c>
      <c r="B1340" s="895"/>
      <c r="C1340" s="895"/>
      <c r="D1340" s="895"/>
      <c r="E1340" s="895"/>
      <c r="F1340" s="895"/>
      <c r="G1340" s="895"/>
      <c r="H1340" s="775" t="s">
        <v>167</v>
      </c>
      <c r="I1340" s="349" t="s">
        <v>280</v>
      </c>
      <c r="J1340" s="157"/>
      <c r="K1340" s="611" t="s">
        <v>45</v>
      </c>
      <c r="L1340" s="630" t="s">
        <v>46</v>
      </c>
      <c r="M1340" s="157"/>
      <c r="N1340" s="158" t="s">
        <v>98</v>
      </c>
      <c r="O1340" s="158"/>
      <c r="P1340" s="158"/>
      <c r="Q1340" s="158"/>
      <c r="R1340" s="157"/>
      <c r="S1340" s="170">
        <f>E1340*G1340</f>
        <v>0</v>
      </c>
      <c r="T1340" s="547"/>
      <c r="U1340" s="171"/>
      <c r="V1340" s="100" t="b">
        <f>IF(G1340&gt;0,IF(AD1340="me","",G1340))</f>
        <v>0</v>
      </c>
      <c r="W1340" s="100"/>
      <c r="X1340" s="100"/>
      <c r="Y1340" s="201"/>
      <c r="Z1340" s="829" t="str">
        <f t="shared" si="3301"/>
        <v/>
      </c>
      <c r="AA1340" s="829"/>
      <c r="AB1340" s="830" t="str">
        <f>IF(G1340=0,"",IF(AD1340="free","re-planting",IF(AD1340="me","not NVP, by",IF($AD$8="yes",(VLOOKUP(A1340,'Discount Lookup'!J:K,2)*G1340*(1-$AC$1786)*(1+$AC$1788)),IF(AD1340="NVP",(VLOOKUP(A1340,'Discount Lookup'!J:K,2)*G1340*(1-$AC$1786)*(1+$AC$1788)),IF(AD1340="free","re-planting",IF(G1340=0,"",IF($AD$8="",IF(AD1340="me","not NVP, by",IF(AD1340="",IF(G1340&gt;0,(VLOOKUP(A1340,'Discount Lookup'!J:K,2)*G1340*(1-$AC$1786)*(1+$AC$1788)),""),"")),"not NVP, by"))))))))</f>
        <v/>
      </c>
      <c r="AC1340" s="830"/>
      <c r="AD1340" s="375" t="str">
        <f t="shared" si="3322"/>
        <v/>
      </c>
      <c r="AE1340" s="833" t="str">
        <f t="shared" si="3277"/>
        <v/>
      </c>
      <c r="AF1340" s="833"/>
      <c r="AG1340" s="833"/>
      <c r="AH1340" s="91">
        <f>IF(AD1340="free",0,IF(AD1340="me",0,IF(G1340&gt;0,(VLOOKUP(A1340,'Discount Lookup'!J:K,2)*G1340),0)))</f>
        <v>0</v>
      </c>
      <c r="AI1340" s="92" t="str">
        <f t="shared" si="3250"/>
        <v/>
      </c>
      <c r="AJ1340" s="828" t="str">
        <f t="shared" si="3302"/>
        <v/>
      </c>
      <c r="AK1340" s="828"/>
      <c r="AL1340" s="313" t="str">
        <f t="shared" si="3242"/>
        <v/>
      </c>
      <c r="AM1340" s="312"/>
      <c r="AN1340" s="101"/>
      <c r="AO1340" s="101"/>
      <c r="AP1340" s="101"/>
      <c r="AQ1340" s="101"/>
      <c r="AR1340" s="101"/>
      <c r="AS1340" s="101"/>
      <c r="AT1340" s="101"/>
    </row>
    <row r="1341" spans="1:46" ht="12.95" customHeight="1">
      <c r="A1341" s="388">
        <v>7</v>
      </c>
      <c r="B1341" s="158" t="s">
        <v>50</v>
      </c>
      <c r="C1341" s="160" t="s">
        <v>1233</v>
      </c>
      <c r="D1341" s="161" t="s">
        <v>54</v>
      </c>
      <c r="E1341" s="162">
        <v>109.95</v>
      </c>
      <c r="F1341" s="713" t="s">
        <v>1306</v>
      </c>
      <c r="G1341" s="357">
        <v>0</v>
      </c>
      <c r="H1341" s="748" t="str">
        <f t="shared" ref="H1341" si="3324">IF(G1341=0,"",IF(F1341="Qty=",IF(G1341=1,"plant","plants"),IF(F1341&gt;0.0001,"warranty","Error")))</f>
        <v/>
      </c>
      <c r="I1341" s="592">
        <f t="shared" ref="I1341" si="3325">IF(F1341="Qty=",(E1341*G1341),((E1341*(1-F1341))*G1341))</f>
        <v>0</v>
      </c>
      <c r="J1341" s="592">
        <f>IF(H1341="warranty",0,(I1341*($J$1782)))</f>
        <v>0</v>
      </c>
      <c r="K1341" s="834">
        <f t="shared" ref="K1341" si="3326">I1341+J1341</f>
        <v>0</v>
      </c>
      <c r="L1341" s="834"/>
      <c r="M1341" s="832" t="str">
        <f>IF($H$1784=0,"",IF(G1341=0,"",IF(F1341="Qty=",CONCATENATE("$",ROUND(K1341*(1-$H$1784),2)," with ",($H$1784*100),"% discount"),CONCATENATE("$",ROUND(K1341*(1-$H$1784),2)," with ",(($H$1784*100+F1341*100)-($H$1784*100*F1341)),IF(F1341&gt;0,"% discounts",IF($H$1781&gt;0,"% discounts","% discount"))))))</f>
        <v/>
      </c>
      <c r="N1341" s="832"/>
      <c r="O1341" s="832"/>
      <c r="P1341" s="832"/>
      <c r="Q1341" s="832"/>
      <c r="R1341" s="832"/>
      <c r="S1341" s="303">
        <f t="shared" ref="S1341" si="3327">E1341*G1341</f>
        <v>0</v>
      </c>
      <c r="T1341" s="541">
        <f>VLOOKUP(A1341,'Discount Lookup'!D:E,2,FALSE)*G1341</f>
        <v>0</v>
      </c>
      <c r="U1341" s="83">
        <f>VLOOKUP(A1341,'Discount Lookup'!G:H,2,FALSE)*G1341</f>
        <v>0</v>
      </c>
      <c r="V1341" s="100">
        <f>E1341*($J$1782)*G1341</f>
        <v>0</v>
      </c>
      <c r="W1341" s="100">
        <f t="shared" ref="W1341" si="3328">I1341</f>
        <v>0</v>
      </c>
      <c r="X1341" s="100" t="b">
        <f>IF(G1341&gt;0,IF(AD1341="me","",G1341))</f>
        <v>0</v>
      </c>
      <c r="Y1341" s="201"/>
      <c r="Z1341" s="829" t="str">
        <f t="shared" si="3301"/>
        <v/>
      </c>
      <c r="AA1341" s="829"/>
      <c r="AB1341" s="830" t="str">
        <f>IF(G1341=0,"",IF(AD1341="free","re-planting",IF(AD1341="me","not NVP, by",IF($AD$8="yes",(VLOOKUP(A1341,'Discount Lookup'!J:K,2)*G1341*(1-$AC$1786)*(1+$AC$1788)),IF(AD1341="NVP",(VLOOKUP(A1341,'Discount Lookup'!J:K,2)*G1341*(1-$AC$1786)*(1+$AC$1788)),IF(AD1341="free","re-planting",IF(G1341=0,"",IF($AD$8="",IF(AD1341="me","not NVP, by",IF(AD1341="",IF(G1341&gt;0,(VLOOKUP(A1341,'Discount Lookup'!J:K,2)*G1341*(1-$AC$1786)*(1+$AC$1788)),""),"")),"not NVP, by"))))))))</f>
        <v/>
      </c>
      <c r="AC1341" s="830"/>
      <c r="AD1341" s="375" t="str">
        <f t="shared" si="3322"/>
        <v/>
      </c>
      <c r="AE1341" s="833" t="str">
        <f t="shared" si="3277"/>
        <v/>
      </c>
      <c r="AF1341" s="833"/>
      <c r="AG1341" s="833"/>
      <c r="AH1341" s="91">
        <f>IF(AD1341="free",0,IF(AD1341="me",0,IF(G1341&gt;0,(VLOOKUP(A1341,'Discount Lookup'!J:K,2)*G1341),0)))</f>
        <v>0</v>
      </c>
      <c r="AI1341" s="92" t="str">
        <f t="shared" si="3250"/>
        <v/>
      </c>
      <c r="AJ1341" s="828" t="str">
        <f t="shared" si="3302"/>
        <v/>
      </c>
      <c r="AK1341" s="828"/>
      <c r="AL1341" s="313" t="str">
        <f t="shared" si="3242"/>
        <v/>
      </c>
      <c r="AM1341" s="312"/>
      <c r="AN1341" s="101"/>
      <c r="AO1341" s="101"/>
      <c r="AP1341" s="101"/>
      <c r="AQ1341" s="101"/>
      <c r="AR1341" s="101"/>
      <c r="AS1341" s="101"/>
      <c r="AT1341" s="101"/>
    </row>
    <row r="1342" spans="1:46" ht="12.95" customHeight="1">
      <c r="A1342" s="490"/>
      <c r="B1342" s="173" t="s">
        <v>736</v>
      </c>
      <c r="C1342" s="117"/>
      <c r="D1342" s="118"/>
      <c r="E1342" s="119"/>
      <c r="F1342" s="711"/>
      <c r="G1342" s="356"/>
      <c r="H1342" s="745"/>
      <c r="I1342" s="119"/>
      <c r="J1342" s="119"/>
      <c r="K1342" s="609"/>
      <c r="L1342" s="609"/>
      <c r="M1342" s="121"/>
      <c r="N1342" s="122" t="s">
        <v>176</v>
      </c>
      <c r="O1342" s="123"/>
      <c r="P1342" s="124"/>
      <c r="Q1342" s="124"/>
      <c r="R1342" s="83"/>
      <c r="S1342" s="82">
        <f>E1342*G1342</f>
        <v>0</v>
      </c>
      <c r="T1342" s="540"/>
      <c r="U1342" s="83"/>
      <c r="V1342" s="100" t="b">
        <f>IF(G1342&gt;0,IF(AD1342="me","",G1342))</f>
        <v>0</v>
      </c>
      <c r="W1342" s="100"/>
      <c r="X1342" s="100"/>
      <c r="Y1342" s="201"/>
      <c r="Z1342" s="829" t="str">
        <f t="shared" si="3301"/>
        <v/>
      </c>
      <c r="AA1342" s="829"/>
      <c r="AB1342" s="830" t="str">
        <f>IF(G1342=0,"",IF(AD1342="free","re-planting",IF(AD1342="me","not NVP, by",IF($AD$8="yes",(VLOOKUP(A1342,'Discount Lookup'!J:K,2)*G1342*(1-$AC$1786)*(1+$AC$1788)),IF(AD1342="NVP",(VLOOKUP(A1342,'Discount Lookup'!J:K,2)*G1342*(1-$AC$1786)*(1+$AC$1788)),IF(AD1342="free","re-planting",IF(G1342=0,"",IF($AD$8="",IF(AD1342="me","not NVP, by",IF(AD1342="",IF(G1342&gt;0,(VLOOKUP(A1342,'Discount Lookup'!J:K,2)*G1342*(1-$AC$1786)*(1+$AC$1788)),""),"")),"not NVP, by"))))))))</f>
        <v/>
      </c>
      <c r="AC1342" s="830"/>
      <c r="AD1342" s="375" t="str">
        <f t="shared" si="3322"/>
        <v/>
      </c>
      <c r="AE1342" s="833" t="str">
        <f t="shared" si="3277"/>
        <v/>
      </c>
      <c r="AF1342" s="833"/>
      <c r="AG1342" s="833"/>
      <c r="AH1342" s="91">
        <f>IF(AD1342="free",0,IF(AD1342="me",0,IF(G1342&gt;0,(VLOOKUP(A1342,'Discount Lookup'!J:K,2)*G1342),0)))</f>
        <v>0</v>
      </c>
      <c r="AI1342" s="92" t="str">
        <f t="shared" si="3250"/>
        <v/>
      </c>
      <c r="AJ1342" s="828" t="str">
        <f t="shared" si="3302"/>
        <v/>
      </c>
      <c r="AK1342" s="828"/>
      <c r="AL1342" s="313" t="str">
        <f t="shared" si="3242"/>
        <v/>
      </c>
      <c r="AM1342" s="312"/>
      <c r="AN1342" s="101"/>
      <c r="AO1342" s="101"/>
      <c r="AP1342" s="101"/>
      <c r="AQ1342" s="101"/>
      <c r="AR1342" s="101"/>
      <c r="AS1342" s="101"/>
      <c r="AT1342" s="101"/>
    </row>
    <row r="1343" spans="1:46" ht="12.95" customHeight="1">
      <c r="A1343" s="913" t="s">
        <v>1027</v>
      </c>
      <c r="B1343" s="895"/>
      <c r="C1343" s="895"/>
      <c r="D1343" s="895"/>
      <c r="E1343" s="895"/>
      <c r="F1343" s="895"/>
      <c r="G1343" s="895"/>
      <c r="H1343" s="775" t="s">
        <v>178</v>
      </c>
      <c r="I1343" s="164" t="s">
        <v>79</v>
      </c>
      <c r="J1343" s="157"/>
      <c r="K1343" s="611" t="s">
        <v>45</v>
      </c>
      <c r="L1343" s="630" t="s">
        <v>46</v>
      </c>
      <c r="M1343" s="302"/>
      <c r="N1343" s="352" t="s">
        <v>262</v>
      </c>
      <c r="O1343" s="158"/>
      <c r="P1343" s="158"/>
      <c r="Q1343" s="804" t="s">
        <v>1626</v>
      </c>
      <c r="R1343" s="157"/>
      <c r="S1343" s="170"/>
      <c r="T1343" s="547"/>
      <c r="U1343" s="171"/>
      <c r="V1343" s="100" t="b">
        <f>IF(G1343&gt;0,IF(AD1343="me","",G1343))</f>
        <v>0</v>
      </c>
      <c r="W1343" s="100"/>
      <c r="X1343" s="100"/>
      <c r="Y1343" s="201"/>
      <c r="Z1343" s="829" t="str">
        <f t="shared" ref="Z1343" si="3329">IF(G1343=0,"",IF(AD1343="me","",IF($AD$8="me","",IF(AD1343="free","warranty",IF($AD$8="yes","NVP planting:","to NVP install:")))))</f>
        <v/>
      </c>
      <c r="AA1343" s="829"/>
      <c r="AB1343" s="830" t="str">
        <f>IF(G1343=0,"",IF(AD1343="free","re-planting",IF(AD1343="me","not NVP, by",IF($AD$8="yes",(VLOOKUP(A1343,'Discount Lookup'!J:K,2)*G1343*(1-$AC$1786)*(1+$AC$1788)),IF(AD1343="NVP",(VLOOKUP(A1343,'Discount Lookup'!J:K,2)*G1343*(1-$AC$1786)*(1+$AC$1788)),IF(AD1343="free","re-planting",IF(G1343=0,"",IF($AD$8="",IF(AD1343="me","not NVP, by",IF(AD1343="",IF(G1343&gt;0,(VLOOKUP(A1343,'Discount Lookup'!J:K,2)*G1343*(1-$AC$1786)*(1+$AC$1788)),""),"")),"not NVP, by"))))))))</f>
        <v/>
      </c>
      <c r="AC1343" s="830"/>
      <c r="AD1343" s="375" t="str">
        <f t="shared" si="3322"/>
        <v/>
      </c>
      <c r="AE1343" s="833" t="str">
        <f t="shared" ref="AE1343:AE1348" si="3330">IF(G1343&gt;0,(CONCATENATE((G1343)," quantity, ",(A1343)," ",B1343)),"")</f>
        <v/>
      </c>
      <c r="AF1343" s="833"/>
      <c r="AG1343" s="833"/>
      <c r="AH1343" s="91">
        <f>IF(AD1343="free",0,IF(AD1343="me",0,IF(G1343&gt;0,(VLOOKUP(A1343,'Discount Lookup'!J:K,2)*G1343),0)))</f>
        <v>0</v>
      </c>
      <c r="AI1343" s="92" t="str">
        <f t="shared" si="3250"/>
        <v/>
      </c>
      <c r="AJ1343" s="828" t="str">
        <f t="shared" si="3302"/>
        <v/>
      </c>
      <c r="AK1343" s="828"/>
      <c r="AL1343" s="313" t="str">
        <f t="shared" si="3242"/>
        <v/>
      </c>
      <c r="AM1343" s="312"/>
      <c r="AN1343" s="101"/>
      <c r="AO1343" s="101"/>
      <c r="AP1343" s="101"/>
      <c r="AQ1343" s="101"/>
      <c r="AR1343" s="101"/>
      <c r="AS1343" s="101"/>
      <c r="AT1343" s="101"/>
    </row>
    <row r="1344" spans="1:46" ht="12.95" customHeight="1">
      <c r="A1344" s="388">
        <v>7</v>
      </c>
      <c r="B1344" s="158" t="s">
        <v>50</v>
      </c>
      <c r="C1344" s="160" t="s">
        <v>137</v>
      </c>
      <c r="D1344" s="161" t="s">
        <v>54</v>
      </c>
      <c r="E1344" s="162">
        <v>155.94999999999999</v>
      </c>
      <c r="F1344" s="713" t="s">
        <v>1306</v>
      </c>
      <c r="G1344" s="357">
        <v>0</v>
      </c>
      <c r="H1344" s="748" t="str">
        <f t="shared" ref="H1344" si="3331">IF(G1344=0,"",IF(F1344="Qty=",IF(G1344=1,"plant","plants"),IF(F1344&gt;0.0001,"warranty","Error")))</f>
        <v/>
      </c>
      <c r="I1344" s="592">
        <f t="shared" ref="I1344" si="3332">IF(F1344="Qty=",(E1344*G1344),((E1344*(1-F1344))*G1344))</f>
        <v>0</v>
      </c>
      <c r="J1344" s="592">
        <f>IF(H1344="warranty",0,(I1344*($J$1782)))</f>
        <v>0</v>
      </c>
      <c r="K1344" s="834">
        <f t="shared" ref="K1344" si="3333">I1344+J1344</f>
        <v>0</v>
      </c>
      <c r="L1344" s="834"/>
      <c r="M1344" s="832" t="str">
        <f>IF($H$1784=0,"",IF(G1344=0,"",IF(F1344="Qty=",CONCATENATE("$",ROUND(K1344*(1-$H$1784),2)," with ",($H$1784*100),"% discount"),CONCATENATE("$",ROUND(K1344*(1-$H$1784),2)," with ",(($H$1784*100+F1344*100)-($H$1784*100*F1344)),IF(F1344&gt;0,"% discounts",IF($H$1781&gt;0,"% discounts","% discount"))))))</f>
        <v/>
      </c>
      <c r="N1344" s="832"/>
      <c r="O1344" s="832"/>
      <c r="P1344" s="832"/>
      <c r="Q1344" s="832"/>
      <c r="R1344" s="832"/>
      <c r="S1344" s="303">
        <f t="shared" ref="S1344" si="3334">E1344*G1344</f>
        <v>0</v>
      </c>
      <c r="T1344" s="541">
        <f>VLOOKUP(A1344,'Discount Lookup'!D:E,2,FALSE)*G1344</f>
        <v>0</v>
      </c>
      <c r="U1344" s="83">
        <f>VLOOKUP(A1344,'Discount Lookup'!G:H,2,FALSE)*G1344</f>
        <v>0</v>
      </c>
      <c r="V1344" s="100">
        <f>E1344*($J$1782)*G1344</f>
        <v>0</v>
      </c>
      <c r="W1344" s="100">
        <f t="shared" ref="W1344" si="3335">I1344</f>
        <v>0</v>
      </c>
      <c r="X1344" s="100" t="b">
        <f>IF(G1344&gt;0,IF(AD1344="me","",G1344))</f>
        <v>0</v>
      </c>
      <c r="Y1344" s="201"/>
      <c r="Z1344" s="829" t="str">
        <f t="shared" si="3301"/>
        <v/>
      </c>
      <c r="AA1344" s="829"/>
      <c r="AB1344" s="830" t="str">
        <f>IF(G1344=0,"",IF(AD1344="free","re-planting",IF(AD1344="me","not NVP, by",IF($AD$8="yes",(VLOOKUP(A1344,'Discount Lookup'!J:K,2)*G1344*(1-$AC$1786)*(1+$AC$1788)),IF(AD1344="NVP",(VLOOKUP(A1344,'Discount Lookup'!J:K,2)*G1344*(1-$AC$1786)*(1+$AC$1788)),IF(AD1344="free","re-planting",IF(G1344=0,"",IF($AD$8="",IF(AD1344="me","not NVP, by",IF(AD1344="",IF(G1344&gt;0,(VLOOKUP(A1344,'Discount Lookup'!J:K,2)*G1344*(1-$AC$1786)*(1+$AC$1788)),""),"")),"not NVP, by"))))))))</f>
        <v/>
      </c>
      <c r="AC1344" s="830"/>
      <c r="AD1344" s="375" t="str">
        <f t="shared" si="3322"/>
        <v/>
      </c>
      <c r="AE1344" s="833" t="str">
        <f t="shared" si="3330"/>
        <v/>
      </c>
      <c r="AF1344" s="833"/>
      <c r="AG1344" s="833"/>
      <c r="AH1344" s="91">
        <f>IF(AD1344="free",0,IF(AD1344="me",0,IF(G1344&gt;0,(VLOOKUP(A1344,'Discount Lookup'!J:K,2)*G1344),0)))</f>
        <v>0</v>
      </c>
      <c r="AI1344" s="92" t="str">
        <f t="shared" si="3250"/>
        <v/>
      </c>
      <c r="AJ1344" s="828" t="str">
        <f t="shared" si="3302"/>
        <v/>
      </c>
      <c r="AK1344" s="828"/>
      <c r="AL1344" s="313" t="str">
        <f t="shared" si="3242"/>
        <v/>
      </c>
      <c r="AM1344" s="312"/>
      <c r="AN1344" s="101"/>
      <c r="AO1344" s="101"/>
      <c r="AP1344" s="101"/>
      <c r="AQ1344" s="101"/>
      <c r="AR1344" s="101"/>
      <c r="AS1344" s="101"/>
      <c r="AT1344" s="101"/>
    </row>
    <row r="1345" spans="1:46" ht="12.95" customHeight="1">
      <c r="A1345" s="510"/>
      <c r="B1345" s="173" t="s">
        <v>1028</v>
      </c>
      <c r="C1345" s="117"/>
      <c r="D1345" s="118"/>
      <c r="E1345" s="119"/>
      <c r="F1345" s="711"/>
      <c r="G1345" s="356"/>
      <c r="H1345" s="745"/>
      <c r="I1345" s="119"/>
      <c r="J1345" s="119"/>
      <c r="K1345" s="609"/>
      <c r="L1345" s="609"/>
      <c r="M1345" s="121"/>
      <c r="N1345" s="121"/>
      <c r="O1345" s="123"/>
      <c r="P1345" s="124"/>
      <c r="Q1345" s="124"/>
      <c r="R1345" s="83"/>
      <c r="S1345" s="82"/>
      <c r="T1345" s="540"/>
      <c r="U1345" s="83"/>
      <c r="V1345" s="100" t="b">
        <f>IF(G1345&gt;0,IF(AD1345="me","",G1345))</f>
        <v>0</v>
      </c>
      <c r="W1345" s="100"/>
      <c r="X1345" s="100"/>
      <c r="Y1345" s="201"/>
      <c r="Z1345" s="829" t="str">
        <f t="shared" si="3301"/>
        <v/>
      </c>
      <c r="AA1345" s="829"/>
      <c r="AB1345" s="830" t="str">
        <f>IF(G1345=0,"",IF(AD1345="free","re-planting",IF(AD1345="me","not NVP, by",IF($AD$8="yes",(VLOOKUP(A1345,'Discount Lookup'!J:K,2)*G1345*(1-$AC$1786)*(1+$AC$1788)),IF(AD1345="NVP",(VLOOKUP(A1345,'Discount Lookup'!J:K,2)*G1345*(1-$AC$1786)*(1+$AC$1788)),IF(AD1345="free","re-planting",IF(G1345=0,"",IF($AD$8="",IF(AD1345="me","not NVP, by",IF(AD1345="",IF(G1345&gt;0,(VLOOKUP(A1345,'Discount Lookup'!J:K,2)*G1345*(1-$AC$1786)*(1+$AC$1788)),""),"")),"not NVP, by"))))))))</f>
        <v/>
      </c>
      <c r="AC1345" s="830"/>
      <c r="AD1345" s="375" t="str">
        <f t="shared" si="3322"/>
        <v/>
      </c>
      <c r="AE1345" s="833" t="str">
        <f t="shared" si="3330"/>
        <v/>
      </c>
      <c r="AF1345" s="833"/>
      <c r="AG1345" s="833"/>
      <c r="AH1345" s="91">
        <f>IF(AD1345="free",0,IF(AD1345="me",0,IF(G1345&gt;0,(VLOOKUP(A1345,'Discount Lookup'!J:K,2)*G1345),0)))</f>
        <v>0</v>
      </c>
      <c r="AI1345" s="92" t="str">
        <f t="shared" si="3250"/>
        <v/>
      </c>
      <c r="AJ1345" s="828" t="str">
        <f t="shared" si="3302"/>
        <v/>
      </c>
      <c r="AK1345" s="828"/>
      <c r="AL1345" s="313" t="str">
        <f t="shared" si="3242"/>
        <v/>
      </c>
      <c r="AM1345" s="312"/>
      <c r="AN1345" s="101"/>
      <c r="AO1345" s="101"/>
      <c r="AP1345" s="101"/>
      <c r="AQ1345" s="101"/>
      <c r="AR1345" s="101"/>
      <c r="AS1345" s="101"/>
      <c r="AT1345" s="101"/>
    </row>
    <row r="1346" spans="1:46" ht="12.95" customHeight="1">
      <c r="A1346" s="946" t="s">
        <v>737</v>
      </c>
      <c r="B1346" s="890"/>
      <c r="C1346" s="890"/>
      <c r="D1346" s="890"/>
      <c r="E1346" s="890"/>
      <c r="F1346" s="890"/>
      <c r="G1346" s="890"/>
      <c r="H1346" s="775" t="s">
        <v>458</v>
      </c>
      <c r="I1346" s="349" t="s">
        <v>280</v>
      </c>
      <c r="J1346" s="157"/>
      <c r="K1346" s="611" t="s">
        <v>45</v>
      </c>
      <c r="L1346" s="630" t="s">
        <v>46</v>
      </c>
      <c r="M1346" s="157"/>
      <c r="N1346" s="175" t="s">
        <v>157</v>
      </c>
      <c r="O1346" s="175"/>
      <c r="P1346" s="175"/>
      <c r="Q1346" s="175"/>
      <c r="R1346" s="157"/>
      <c r="S1346" s="170"/>
      <c r="T1346" s="547"/>
      <c r="U1346" s="171"/>
      <c r="V1346" s="100" t="b">
        <f>IF(G1346&gt;0,IF(AD1346="me","",G1346))</f>
        <v>0</v>
      </c>
      <c r="W1346" s="100"/>
      <c r="X1346" s="100"/>
      <c r="Y1346" s="201"/>
      <c r="Z1346" s="829" t="str">
        <f t="shared" si="3301"/>
        <v/>
      </c>
      <c r="AA1346" s="829"/>
      <c r="AB1346" s="830" t="str">
        <f>IF(G1346=0,"",IF(AD1346="free","re-planting",IF(AD1346="me","not NVP, by",IF($AD$8="yes",(VLOOKUP(A1346,'Discount Lookup'!J:K,2)*G1346*(1-$AC$1786)*(1+$AC$1788)),IF(AD1346="NVP",(VLOOKUP(A1346,'Discount Lookup'!J:K,2)*G1346*(1-$AC$1786)*(1+$AC$1788)),IF(AD1346="free","re-planting",IF(G1346=0,"",IF($AD$8="",IF(AD1346="me","not NVP, by",IF(AD1346="",IF(G1346&gt;0,(VLOOKUP(A1346,'Discount Lookup'!J:K,2)*G1346*(1-$AC$1786)*(1+$AC$1788)),""),"")),"not NVP, by"))))))))</f>
        <v/>
      </c>
      <c r="AC1346" s="830"/>
      <c r="AD1346" s="375" t="str">
        <f t="shared" si="3322"/>
        <v/>
      </c>
      <c r="AE1346" s="833" t="str">
        <f t="shared" si="3330"/>
        <v/>
      </c>
      <c r="AF1346" s="833"/>
      <c r="AG1346" s="833"/>
      <c r="AH1346" s="91" t="str">
        <f>IF(AD1346="free",0,IF(AD1346="me","",IF(G1346&gt;0,(VLOOKUP(A1346,'Discount Lookup'!J:K,2)*G1346),"")))</f>
        <v/>
      </c>
      <c r="AI1346" s="92" t="str">
        <f t="shared" si="3250"/>
        <v/>
      </c>
      <c r="AJ1346" s="828" t="str">
        <f t="shared" si="3302"/>
        <v/>
      </c>
      <c r="AK1346" s="828"/>
      <c r="AL1346" s="313" t="str">
        <f t="shared" si="3242"/>
        <v/>
      </c>
      <c r="AM1346" s="312"/>
      <c r="AN1346" s="101"/>
      <c r="AO1346" s="101"/>
      <c r="AP1346" s="101"/>
      <c r="AQ1346" s="101"/>
      <c r="AR1346" s="101"/>
      <c r="AS1346" s="101"/>
      <c r="AT1346" s="101"/>
    </row>
    <row r="1347" spans="1:46" ht="12.95" customHeight="1">
      <c r="A1347" s="388">
        <v>15</v>
      </c>
      <c r="B1347" s="158" t="s">
        <v>50</v>
      </c>
      <c r="C1347" s="160" t="s">
        <v>1319</v>
      </c>
      <c r="D1347" s="161" t="s">
        <v>54</v>
      </c>
      <c r="E1347" s="162">
        <v>219.95</v>
      </c>
      <c r="F1347" s="713" t="s">
        <v>1306</v>
      </c>
      <c r="G1347" s="357">
        <v>0</v>
      </c>
      <c r="H1347" s="748" t="str">
        <f t="shared" ref="H1347" si="3336">IF(G1347=0,"",IF(F1347="Qty=",IF(G1347=1,"plant","plants"),IF(F1347&gt;0.0001,"warranty","Error")))</f>
        <v/>
      </c>
      <c r="I1347" s="592">
        <f t="shared" ref="I1347" si="3337">IF(F1347="Qty=",(E1347*G1347),((E1347*(1-F1347))*G1347))</f>
        <v>0</v>
      </c>
      <c r="J1347" s="592">
        <f>IF(H1347="warranty",0,(I1347*($J$1782)))</f>
        <v>0</v>
      </c>
      <c r="K1347" s="834">
        <f t="shared" ref="K1347" si="3338">I1347+J1347</f>
        <v>0</v>
      </c>
      <c r="L1347" s="834"/>
      <c r="M1347" s="832" t="str">
        <f>IF($H$1784=0,"",IF(G1347=0,"",IF(F1347="Qty=",CONCATENATE("$",ROUND(K1347*(1-$H$1784),2)," with ",($H$1784*100),"% discount"),CONCATENATE("$",ROUND(K1347*(1-$H$1784),2)," with ",(($H$1784*100+F1347*100)-($H$1784*100*F1347)),IF(F1347&gt;0,"% discounts",IF($H$1781&gt;0,"% discounts","% discount"))))))</f>
        <v/>
      </c>
      <c r="N1347" s="832"/>
      <c r="O1347" s="832"/>
      <c r="P1347" s="832"/>
      <c r="Q1347" s="832"/>
      <c r="R1347" s="832"/>
      <c r="S1347" s="303">
        <f t="shared" ref="S1347" si="3339">E1347*G1347</f>
        <v>0</v>
      </c>
      <c r="T1347" s="541">
        <f>VLOOKUP(A1347,'Discount Lookup'!D:E,2,FALSE)*G1347</f>
        <v>0</v>
      </c>
      <c r="U1347" s="83">
        <f>VLOOKUP(A1347,'Discount Lookup'!G:H,2,FALSE)*G1347</f>
        <v>0</v>
      </c>
      <c r="V1347" s="100">
        <f>E1347*($J$1782)*G1347</f>
        <v>0</v>
      </c>
      <c r="W1347" s="100">
        <f t="shared" ref="W1347" si="3340">I1347</f>
        <v>0</v>
      </c>
      <c r="X1347" s="100" t="b">
        <f>IF(G1347&gt;0,IF(AD1347="me","",G1347))</f>
        <v>0</v>
      </c>
      <c r="Y1347" s="201"/>
      <c r="Z1347" s="829" t="str">
        <f t="shared" si="3301"/>
        <v/>
      </c>
      <c r="AA1347" s="829"/>
      <c r="AB1347" s="830" t="str">
        <f>IF(G1347=0,"",IF(AD1347="free","re-planting",IF(AD1347="me","not NVP, by",IF($AD$8="yes",(VLOOKUP(A1347,'Discount Lookup'!J:K,2)*G1347*(1-$AC$1786)*(1+$AC$1788)),IF(AD1347="NVP",(VLOOKUP(A1347,'Discount Lookup'!J:K,2)*G1347*(1-$AC$1786)*(1+$AC$1788)),IF(AD1347="free","re-planting",IF(G1347=0,"",IF($AD$8="",IF(AD1347="me","not NVP, by",IF(AD1347="",IF(G1347&gt;0,(VLOOKUP(A1347,'Discount Lookup'!J:K,2)*G1347*(1-$AC$1786)*(1+$AC$1788)),""),"")),"not NVP, by"))))))))</f>
        <v/>
      </c>
      <c r="AC1347" s="830"/>
      <c r="AD1347" s="375" t="str">
        <f t="shared" si="3322"/>
        <v/>
      </c>
      <c r="AE1347" s="833" t="str">
        <f t="shared" si="3330"/>
        <v/>
      </c>
      <c r="AF1347" s="833"/>
      <c r="AG1347" s="833"/>
      <c r="AH1347" s="91" t="str">
        <f>IF(AD1347="free",0,IF(AD1347="me","",IF(G1347&gt;0,(VLOOKUP(A1347,'Discount Lookup'!J:K,2)*G1347),"")))</f>
        <v/>
      </c>
      <c r="AI1347" s="92" t="str">
        <f t="shared" si="3250"/>
        <v/>
      </c>
      <c r="AJ1347" s="828" t="str">
        <f t="shared" si="3302"/>
        <v/>
      </c>
      <c r="AK1347" s="828"/>
      <c r="AL1347" s="313" t="str">
        <f t="shared" si="3242"/>
        <v/>
      </c>
      <c r="AM1347" s="312"/>
      <c r="AN1347" s="101"/>
      <c r="AO1347" s="101"/>
      <c r="AP1347" s="101"/>
      <c r="AQ1347" s="101"/>
      <c r="AR1347" s="101"/>
      <c r="AS1347" s="101"/>
      <c r="AT1347" s="101"/>
    </row>
    <row r="1348" spans="1:46" ht="12.95" customHeight="1">
      <c r="A1348" s="490"/>
      <c r="B1348" s="198" t="s">
        <v>738</v>
      </c>
      <c r="C1348" s="117"/>
      <c r="D1348" s="118"/>
      <c r="E1348" s="119"/>
      <c r="F1348" s="711"/>
      <c r="G1348" s="356"/>
      <c r="H1348" s="745"/>
      <c r="I1348" s="119"/>
      <c r="J1348" s="119"/>
      <c r="K1348" s="609"/>
      <c r="L1348" s="609"/>
      <c r="M1348" s="121"/>
      <c r="N1348" s="122" t="s">
        <v>277</v>
      </c>
      <c r="O1348" s="48"/>
      <c r="P1348" s="124"/>
      <c r="Q1348" s="124"/>
      <c r="R1348" s="83"/>
      <c r="S1348" s="82">
        <f>E1348*G1348</f>
        <v>0</v>
      </c>
      <c r="T1348" s="540"/>
      <c r="U1348" s="83"/>
      <c r="V1348" s="100" t="b">
        <f>IF(G1348&gt;0,IF(AD1348="me","",G1348))</f>
        <v>0</v>
      </c>
      <c r="W1348" s="100"/>
      <c r="X1348" s="100"/>
      <c r="Y1348" s="201"/>
      <c r="Z1348" s="829" t="str">
        <f t="shared" si="3301"/>
        <v/>
      </c>
      <c r="AA1348" s="829"/>
      <c r="AB1348" s="830" t="str">
        <f>IF(G1348=0,"",IF(AD1348="free","re-planting",IF(AD1348="me","not NVP, by",IF($AD$8="yes",(VLOOKUP(A1348,'Discount Lookup'!J:K,2)*G1348*(1-$AC$1786)*(1+$AC$1788)),IF(AD1348="NVP",(VLOOKUP(A1348,'Discount Lookup'!J:K,2)*G1348*(1-$AC$1786)*(1+$AC$1788)),IF(AD1348="free","re-planting",IF(G1348=0,"",IF($AD$8="",IF(AD1348="me","not NVP, by",IF(AD1348="",IF(G1348&gt;0,(VLOOKUP(A1348,'Discount Lookup'!J:K,2)*G1348*(1-$AC$1786)*(1+$AC$1788)),""),"")),"not NVP, by"))))))))</f>
        <v/>
      </c>
      <c r="AC1348" s="830"/>
      <c r="AD1348" s="375" t="str">
        <f t="shared" si="3322"/>
        <v/>
      </c>
      <c r="AE1348" s="833" t="str">
        <f t="shared" si="3330"/>
        <v/>
      </c>
      <c r="AF1348" s="833"/>
      <c r="AG1348" s="833"/>
      <c r="AH1348" s="91" t="str">
        <f>IF(AD1348="free",0,IF(AD1348="me","",IF(G1348&gt;0,(VLOOKUP(A1348,'Discount Lookup'!J:K,2)*G1348),"")))</f>
        <v/>
      </c>
      <c r="AI1348" s="92" t="str">
        <f t="shared" si="3250"/>
        <v/>
      </c>
      <c r="AJ1348" s="828" t="str">
        <f t="shared" si="3302"/>
        <v/>
      </c>
      <c r="AK1348" s="828"/>
      <c r="AL1348" s="313" t="str">
        <f t="shared" si="3242"/>
        <v/>
      </c>
      <c r="AM1348" s="312"/>
      <c r="AN1348" s="101"/>
      <c r="AO1348" s="101"/>
      <c r="AP1348" s="101"/>
      <c r="AQ1348" s="101"/>
      <c r="AR1348" s="101"/>
      <c r="AS1348" s="101"/>
      <c r="AT1348" s="101"/>
    </row>
    <row r="1349" spans="1:46" ht="12.95" customHeight="1">
      <c r="A1349" s="913" t="s">
        <v>1345</v>
      </c>
      <c r="B1349" s="895"/>
      <c r="C1349" s="895"/>
      <c r="D1349" s="895"/>
      <c r="E1349" s="895"/>
      <c r="F1349" s="895"/>
      <c r="G1349" s="895"/>
      <c r="H1349" s="775" t="s">
        <v>958</v>
      </c>
      <c r="I1349" s="164" t="s">
        <v>79</v>
      </c>
      <c r="J1349" s="157"/>
      <c r="K1349" s="611" t="s">
        <v>45</v>
      </c>
      <c r="L1349" s="630" t="s">
        <v>46</v>
      </c>
      <c r="M1349" s="167"/>
      <c r="N1349" s="352" t="s">
        <v>75</v>
      </c>
      <c r="O1349" s="158"/>
      <c r="P1349" s="158"/>
      <c r="Q1349" s="175"/>
      <c r="R1349" s="157"/>
      <c r="S1349" s="170"/>
      <c r="T1349" s="547"/>
      <c r="U1349" s="171"/>
      <c r="V1349" s="100" t="b">
        <f>IF(G1349&gt;0,IF(AD1349="me","",G1349))</f>
        <v>0</v>
      </c>
      <c r="W1349" s="100"/>
      <c r="X1349" s="100"/>
      <c r="Y1349" s="201"/>
      <c r="Z1349" s="829" t="str">
        <f t="shared" ref="Z1349:Z1350" si="3341">IF(G1349=0,"",IF(AD1349="me","",IF($AD$8="me","",IF(AD1349="free","warranty",IF($AD$8="yes","NVP planting:","to NVP install:")))))</f>
        <v/>
      </c>
      <c r="AA1349" s="829"/>
      <c r="AB1349" s="830" t="str">
        <f>IF(G1349=0,"",IF(AD1349="free","re-planting",IF(AD1349="me","not NVP, by",IF($AD$8="yes",(VLOOKUP(A1349,'Discount Lookup'!J:K,2)*G1349*(1-$AC$1786)*(1+$AC$1788)),IF(AD1349="NVP",(VLOOKUP(A1349,'Discount Lookup'!J:K,2)*G1349*(1-$AC$1786)*(1+$AC$1788)),IF(AD1349="free","re-planting",IF(G1349=0,"",IF($AD$8="",IF(AD1349="me","not NVP, by",IF(AD1349="",IF(G1349&gt;0,(VLOOKUP(A1349,'Discount Lookup'!J:K,2)*G1349*(1-$AC$1786)*(1+$AC$1788)),""),"")),"not NVP, by"))))))))</f>
        <v/>
      </c>
      <c r="AC1349" s="830"/>
      <c r="AD1349" s="375" t="str">
        <f t="shared" si="3322"/>
        <v/>
      </c>
      <c r="AE1349" s="833" t="str">
        <f t="shared" ref="AE1349:AE1351" si="3342">IF(G1349&gt;0,(CONCATENATE((G1349)," quantity, ",(A1349)," ",B1349)),"")</f>
        <v/>
      </c>
      <c r="AF1349" s="833"/>
      <c r="AG1349" s="833"/>
      <c r="AH1349" s="91" t="str">
        <f>IF(AD1349="free",0,IF(AD1349="me","",IF(G1349&gt;0,(VLOOKUP(A1349,'Discount Lookup'!J:K,2)*G1349),"")))</f>
        <v/>
      </c>
      <c r="AI1349" s="92" t="str">
        <f t="shared" si="3250"/>
        <v/>
      </c>
      <c r="AJ1349" s="828" t="str">
        <f t="shared" ref="AJ1349:AJ1351" si="3343">IF(G1349=0,"",IF(AD1349="me","  delivery-only",IF($AD$8="me","  delivery-only",CONCATENATE(" $",ROUND(AI1349/G1349,2)," each"))))</f>
        <v/>
      </c>
      <c r="AK1349" s="828"/>
      <c r="AL1349" s="313" t="str">
        <f t="shared" si="3242"/>
        <v/>
      </c>
      <c r="AM1349" s="312"/>
      <c r="AN1349" s="101"/>
      <c r="AO1349" s="101"/>
      <c r="AP1349" s="101"/>
      <c r="AQ1349" s="101"/>
      <c r="AR1349" s="101"/>
      <c r="AS1349" s="101"/>
      <c r="AT1349" s="101"/>
    </row>
    <row r="1350" spans="1:46" ht="12.95" customHeight="1">
      <c r="A1350" s="388">
        <v>7</v>
      </c>
      <c r="B1350" s="158" t="s">
        <v>50</v>
      </c>
      <c r="C1350" s="168" t="s">
        <v>91</v>
      </c>
      <c r="D1350" s="161" t="s">
        <v>87</v>
      </c>
      <c r="E1350" s="162">
        <v>115.95</v>
      </c>
      <c r="F1350" s="713" t="s">
        <v>1306</v>
      </c>
      <c r="G1350" s="357">
        <v>0</v>
      </c>
      <c r="H1350" s="748" t="str">
        <f t="shared" ref="H1350" si="3344">IF(G1350=0,"",IF(F1350="Qty=",IF(G1350=1,"plant","plants"),IF(F1350&gt;0.0001,"warranty","Error")))</f>
        <v/>
      </c>
      <c r="I1350" s="592">
        <f t="shared" ref="I1350" si="3345">IF(F1350="Qty=",(E1350*G1350),((E1350*(1-F1350))*G1350))</f>
        <v>0</v>
      </c>
      <c r="J1350" s="592">
        <f>IF(H1350="warranty",0,(I1350*($J$1782)))</f>
        <v>0</v>
      </c>
      <c r="K1350" s="834">
        <f t="shared" ref="K1350" si="3346">I1350+J1350</f>
        <v>0</v>
      </c>
      <c r="L1350" s="834"/>
      <c r="M1350" s="832" t="str">
        <f>IF($H$1784=0,"",IF(G1350=0,"",IF(F1350="Qty=",CONCATENATE("$",ROUND(K1350*(1-$H$1784),2)," with ",($H$1784*100),"% discount"),CONCATENATE("$",ROUND(K1350*(1-$H$1784),2)," with ",(($H$1784*100+F1350*100)-($H$1784*100*F1350)),IF(F1350&gt;0,"% discounts",IF($H$1781&gt;0,"% discounts","% discount"))))))</f>
        <v/>
      </c>
      <c r="N1350" s="832"/>
      <c r="O1350" s="832"/>
      <c r="P1350" s="832"/>
      <c r="Q1350" s="832"/>
      <c r="R1350" s="832"/>
      <c r="S1350" s="303">
        <f>E1350*G1350</f>
        <v>0</v>
      </c>
      <c r="T1350" s="541">
        <f>VLOOKUP(A1350,'Discount Lookup'!D:E,2,FALSE)*G1350</f>
        <v>0</v>
      </c>
      <c r="U1350" s="83">
        <f>VLOOKUP(A1350,'Discount Lookup'!G:H,2,FALSE)*G1350</f>
        <v>0</v>
      </c>
      <c r="V1350" s="100">
        <f>E1350*($J$1782)*G1350</f>
        <v>0</v>
      </c>
      <c r="W1350" s="100">
        <f>I1350</f>
        <v>0</v>
      </c>
      <c r="X1350" s="100" t="b">
        <f>IF(G1350&gt;0,IF(AD1350="me","",G1350))</f>
        <v>0</v>
      </c>
      <c r="Y1350" s="201"/>
      <c r="Z1350" s="829" t="str">
        <f t="shared" si="3341"/>
        <v/>
      </c>
      <c r="AA1350" s="829"/>
      <c r="AB1350" s="830" t="str">
        <f>IF(G1350=0,"",IF(AD1350="free","re-planting",IF(AD1350="me","not NVP, by",IF($AD$8="yes",(VLOOKUP(A1350,'Discount Lookup'!J:K,2)*G1350*(1-$AC$1786)*(1+$AC$1788)),IF(AD1350="NVP",(VLOOKUP(A1350,'Discount Lookup'!J:K,2)*G1350*(1-$AC$1786)*(1+$AC$1788)),IF(AD1350="free","re-planting",IF(G1350=0,"",IF($AD$8="",IF(AD1350="me","not NVP, by",IF(AD1350="",IF(G1350&gt;0,(VLOOKUP(A1350,'Discount Lookup'!J:K,2)*G1350*(1-$AC$1786)*(1+$AC$1788)),""),"")),"not NVP, by"))))))))</f>
        <v/>
      </c>
      <c r="AC1350" s="830"/>
      <c r="AD1350" s="375" t="str">
        <f t="shared" ref="AD1350" si="3347">IF(G1350=0,"",IF($AD$8="me","me",IF(H1350="warranty","free",IF($AD$8="yes","NVP",""))))</f>
        <v/>
      </c>
      <c r="AE1350" s="833" t="str">
        <f t="shared" ref="AE1350" si="3348">IF(G1350&gt;0,(CONCATENATE((G1350)," quantity, ",(A1350)," ",B1350)),"")</f>
        <v/>
      </c>
      <c r="AF1350" s="833"/>
      <c r="AG1350" s="833"/>
      <c r="AH1350" s="91" t="str">
        <f>IF(AD1350="free",0,IF(AD1350="me","",IF(G1350&gt;0,(VLOOKUP(A1350,'Discount Lookup'!J:K,2)*G1350),"")))</f>
        <v/>
      </c>
      <c r="AI1350" s="92" t="str">
        <f t="shared" si="3250"/>
        <v/>
      </c>
      <c r="AJ1350" s="828" t="str">
        <f t="shared" ref="AJ1350" si="3349">IF(G1350=0,"",IF(AD1350="me","  delivery-only",IF($AD$8="me","  delivery-only",CONCATENATE(" $",ROUND(AI1350/G1350,2)," each"))))</f>
        <v/>
      </c>
      <c r="AK1350" s="828"/>
      <c r="AL1350" s="313" t="str">
        <f t="shared" si="3242"/>
        <v/>
      </c>
      <c r="AM1350" s="312"/>
      <c r="AN1350" s="101"/>
      <c r="AO1350" s="101"/>
      <c r="AP1350" s="101"/>
      <c r="AQ1350" s="101"/>
      <c r="AR1350" s="101"/>
      <c r="AS1350" s="101"/>
      <c r="AT1350" s="101"/>
    </row>
    <row r="1351" spans="1:46" ht="12.95" customHeight="1">
      <c r="A1351" s="492"/>
      <c r="B1351" s="198" t="s">
        <v>1344</v>
      </c>
      <c r="C1351" s="85"/>
      <c r="D1351" s="85"/>
      <c r="E1351" s="132"/>
      <c r="F1351" s="369"/>
      <c r="H1351" s="753"/>
      <c r="I1351" s="132"/>
      <c r="J1351" s="132"/>
      <c r="K1351" s="588"/>
      <c r="L1351" s="163" t="s">
        <v>1342</v>
      </c>
      <c r="M1351" s="48"/>
      <c r="N1351" s="48"/>
      <c r="O1351" s="48"/>
      <c r="P1351" s="48"/>
      <c r="Q1351" s="48"/>
      <c r="R1351" s="48"/>
      <c r="S1351" s="48"/>
      <c r="T1351" s="546"/>
      <c r="Y1351" s="132"/>
      <c r="Z1351" s="829" t="str">
        <f t="shared" ref="Z1351" si="3350">IF(G1351=0,"",IF(AD1351="me","",IF($AD$8="me","",IF(AD1351="free","warranty",IF($AD$8="yes","NVP planting:","to NVP install:")))))</f>
        <v/>
      </c>
      <c r="AA1351" s="829"/>
      <c r="AB1351" s="830" t="str">
        <f>IF(G1351=0,"",IF(AD1351="free","re-planting",IF(AD1351="me","not NVP, by",IF($AD$8="yes",(VLOOKUP(A1351,'Discount Lookup'!J:K,2)*G1351*(1-$AC$1786)*(1+$AC$1788)),IF(AD1351="NVP",(VLOOKUP(A1351,'Discount Lookup'!J:K,2)*G1351*(1-$AC$1786)*(1+$AC$1788)),IF(AD1351="free","re-planting",IF(G1351=0,"",IF($AD$8="",IF(AD1351="me","not NVP, by",IF(AD1351="",IF(G1351&gt;0,(VLOOKUP(A1351,'Discount Lookup'!J:K,2)*G1351*(1-$AC$1786)*(1+$AC$1788)),""),"")),"not NVP, by"))))))))</f>
        <v/>
      </c>
      <c r="AC1351" s="830"/>
      <c r="AD1351" s="375" t="str">
        <f t="shared" si="3322"/>
        <v/>
      </c>
      <c r="AE1351" s="833" t="str">
        <f t="shared" si="3342"/>
        <v/>
      </c>
      <c r="AF1351" s="833"/>
      <c r="AG1351" s="833"/>
      <c r="AH1351" s="91" t="str">
        <f>IF(AD1351="free",0,IF(AD1351="me","",IF(G1351&gt;0,(VLOOKUP(A1351,'Discount Lookup'!J:K,2)*G1351),"")))</f>
        <v/>
      </c>
      <c r="AI1351" s="92" t="str">
        <f t="shared" si="3250"/>
        <v/>
      </c>
      <c r="AJ1351" s="828" t="str">
        <f t="shared" si="3343"/>
        <v/>
      </c>
      <c r="AK1351" s="828"/>
      <c r="AL1351" s="313" t="str">
        <f t="shared" si="3242"/>
        <v/>
      </c>
      <c r="AM1351" s="312"/>
      <c r="AN1351" s="101"/>
      <c r="AO1351" s="101"/>
      <c r="AP1351" s="101"/>
      <c r="AQ1351" s="101"/>
      <c r="AR1351" s="101"/>
      <c r="AS1351" s="101"/>
      <c r="AT1351" s="101"/>
    </row>
    <row r="1352" spans="1:46" ht="12.95" customHeight="1">
      <c r="A1352" s="946" t="s">
        <v>739</v>
      </c>
      <c r="B1352" s="890"/>
      <c r="C1352" s="890"/>
      <c r="D1352" s="890"/>
      <c r="E1352" s="890"/>
      <c r="F1352" s="890"/>
      <c r="G1352" s="890"/>
      <c r="H1352" s="775" t="s">
        <v>740</v>
      </c>
      <c r="I1352" s="349" t="s">
        <v>280</v>
      </c>
      <c r="J1352" s="157"/>
      <c r="K1352" s="611" t="s">
        <v>45</v>
      </c>
      <c r="L1352" s="630" t="s">
        <v>46</v>
      </c>
      <c r="M1352" s="157"/>
      <c r="N1352" s="158" t="s">
        <v>69</v>
      </c>
      <c r="O1352" s="158"/>
      <c r="P1352" s="158"/>
      <c r="Q1352" s="158"/>
      <c r="R1352" s="835" t="s">
        <v>49</v>
      </c>
      <c r="S1352" s="835"/>
      <c r="T1352" s="835"/>
      <c r="U1352" s="835"/>
      <c r="V1352" s="100" t="b">
        <f>IF(G1352&gt;0,IF(AD1352="me","",G1352))</f>
        <v>0</v>
      </c>
      <c r="W1352" s="100"/>
      <c r="X1352" s="100"/>
      <c r="Y1352" s="201"/>
      <c r="Z1352" s="829" t="str">
        <f t="shared" si="3301"/>
        <v/>
      </c>
      <c r="AA1352" s="829"/>
      <c r="AB1352" s="830" t="str">
        <f>IF(G1352=0,"",IF(AD1352="free","re-planting",IF(AD1352="me","not NVP, by",IF($AD$8="yes",(VLOOKUP(A1352,'Discount Lookup'!J:K,2)*G1352*(1-$AC$1786)*(1+$AC$1788)),IF(AD1352="NVP",(VLOOKUP(A1352,'Discount Lookup'!J:K,2)*G1352*(1-$AC$1786)*(1+$AC$1788)),IF(AD1352="free","re-planting",IF(G1352=0,"",IF($AD$8="",IF(AD1352="me","not NVP, by",IF(AD1352="",IF(G1352&gt;0,(VLOOKUP(A1352,'Discount Lookup'!J:K,2)*G1352*(1-$AC$1786)*(1+$AC$1788)),""),"")),"not NVP, by"))))))))</f>
        <v/>
      </c>
      <c r="AC1352" s="830"/>
      <c r="AD1352" s="375" t="str">
        <f t="shared" si="3322"/>
        <v/>
      </c>
      <c r="AE1352" s="833" t="str">
        <f t="shared" si="3277"/>
        <v/>
      </c>
      <c r="AF1352" s="833"/>
      <c r="AG1352" s="833"/>
      <c r="AH1352" s="91">
        <f>IF(AD1352="free",0,IF(AD1352="me",0,IF(G1352&gt;0,(VLOOKUP(A1352,'Discount Lookup'!J:K,2)*G1352),0)))</f>
        <v>0</v>
      </c>
      <c r="AI1352" s="92" t="str">
        <f t="shared" si="3250"/>
        <v/>
      </c>
      <c r="AJ1352" s="828" t="str">
        <f t="shared" si="3302"/>
        <v/>
      </c>
      <c r="AK1352" s="828"/>
      <c r="AL1352" s="313" t="str">
        <f t="shared" si="3242"/>
        <v/>
      </c>
      <c r="AM1352" s="312"/>
      <c r="AN1352" s="101"/>
      <c r="AO1352" s="101"/>
      <c r="AP1352" s="101"/>
      <c r="AQ1352" s="101"/>
      <c r="AR1352" s="101"/>
      <c r="AS1352" s="101"/>
      <c r="AT1352" s="101"/>
    </row>
    <row r="1353" spans="1:46" ht="12.95" customHeight="1">
      <c r="A1353" s="388">
        <v>65</v>
      </c>
      <c r="B1353" s="158" t="s">
        <v>50</v>
      </c>
      <c r="C1353" s="160" t="s">
        <v>741</v>
      </c>
      <c r="D1353" s="161" t="s">
        <v>54</v>
      </c>
      <c r="E1353" s="162">
        <v>1044.95</v>
      </c>
      <c r="F1353" s="713" t="s">
        <v>1306</v>
      </c>
      <c r="G1353" s="357">
        <v>0</v>
      </c>
      <c r="H1353" s="748" t="str">
        <f t="shared" ref="H1353" si="3351">IF(G1353=0,"",IF(F1353="Qty=",IF(G1353=1,"plant","plants"),IF(F1353&gt;0.0001,"warranty","Error")))</f>
        <v/>
      </c>
      <c r="I1353" s="592">
        <f t="shared" ref="I1353" si="3352">IF(F1353="Qty=",(E1353*G1353),((E1353*(1-F1353))*G1353))</f>
        <v>0</v>
      </c>
      <c r="J1353" s="592">
        <f>IF(H1353="warranty",0,(I1353*($J$1782)))</f>
        <v>0</v>
      </c>
      <c r="K1353" s="834">
        <f t="shared" ref="K1353" si="3353">I1353+J1353</f>
        <v>0</v>
      </c>
      <c r="L1353" s="834"/>
      <c r="M1353" s="832" t="str">
        <f>IF($H$1784=0,"",IF(G1353=0,"",IF(F1353="Qty=",CONCATENATE("$",ROUND(K1353*(1-$H$1784),2)," with ",($H$1784*100),"% discount"),CONCATENATE("$",ROUND(K1353*(1-$H$1784),2)," with ",(($H$1784*100+F1353*100)-($H$1784*100*F1353)),IF(F1353&gt;0,"% discounts",IF($H$1781&gt;0,"% discounts","% discount"))))))</f>
        <v/>
      </c>
      <c r="N1353" s="832"/>
      <c r="O1353" s="832"/>
      <c r="P1353" s="832"/>
      <c r="Q1353" s="832"/>
      <c r="R1353" s="832"/>
      <c r="S1353" s="303">
        <f t="shared" ref="S1353" si="3354">E1353*G1353</f>
        <v>0</v>
      </c>
      <c r="T1353" s="541">
        <f>VLOOKUP(A1353,'Discount Lookup'!D:E,2,FALSE)*G1353</f>
        <v>0</v>
      </c>
      <c r="U1353" s="83">
        <f>VLOOKUP(A1353,'Discount Lookup'!G:H,2,FALSE)*G1353</f>
        <v>0</v>
      </c>
      <c r="V1353" s="100">
        <f>E1353*($J$1782)*G1353</f>
        <v>0</v>
      </c>
      <c r="W1353" s="100">
        <f t="shared" ref="W1353" si="3355">I1353</f>
        <v>0</v>
      </c>
      <c r="X1353" s="100" t="b">
        <f>IF(G1353&gt;0,IF(AD1353="me","",G1353))</f>
        <v>0</v>
      </c>
      <c r="Y1353" s="201"/>
      <c r="Z1353" s="829" t="str">
        <f t="shared" si="3301"/>
        <v/>
      </c>
      <c r="AA1353" s="829"/>
      <c r="AB1353" s="830" t="str">
        <f>IF(G1353=0,"",IF(AD1353="free","re-planting",IF(AD1353="me","not NVP, by",IF($AD$8="yes",(VLOOKUP(A1353,'Discount Lookup'!J:K,2)*G1353*(1-$AC$1786)*(1+$AC$1788)),IF(AD1353="NVP",(VLOOKUP(A1353,'Discount Lookup'!J:K,2)*G1353*(1-$AC$1786)*(1+$AC$1788)),IF(AD1353="free","re-planting",IF(G1353=0,"",IF($AD$8="",IF(AD1353="me","not NVP, by",IF(AD1353="",IF(G1353&gt;0,(VLOOKUP(A1353,'Discount Lookup'!J:K,2)*G1353*(1-$AC$1786)*(1+$AC$1788)),""),"")),"not NVP, by"))))))))</f>
        <v/>
      </c>
      <c r="AC1353" s="830"/>
      <c r="AD1353" s="375" t="str">
        <f t="shared" si="3322"/>
        <v/>
      </c>
      <c r="AE1353" s="833" t="str">
        <f t="shared" si="3277"/>
        <v/>
      </c>
      <c r="AF1353" s="833"/>
      <c r="AG1353" s="833"/>
      <c r="AH1353" s="91">
        <f>IF(AD1353="free",0,IF(AD1353="me",0,IF(G1353&gt;0,(VLOOKUP(A1353,'Discount Lookup'!J:K,2)*G1353),0)))</f>
        <v>0</v>
      </c>
      <c r="AI1353" s="92" t="str">
        <f t="shared" si="3250"/>
        <v/>
      </c>
      <c r="AJ1353" s="828" t="str">
        <f t="shared" si="3302"/>
        <v/>
      </c>
      <c r="AK1353" s="828"/>
      <c r="AL1353" s="313" t="str">
        <f t="shared" si="3242"/>
        <v/>
      </c>
      <c r="AM1353" s="312"/>
      <c r="AN1353" s="101"/>
      <c r="AO1353" s="101"/>
      <c r="AP1353" s="101"/>
      <c r="AQ1353" s="101"/>
      <c r="AR1353" s="101"/>
      <c r="AS1353" s="101"/>
      <c r="AT1353" s="101"/>
    </row>
    <row r="1354" spans="1:46" ht="12.75" customHeight="1">
      <c r="A1354" s="490"/>
      <c r="B1354" s="198" t="s">
        <v>742</v>
      </c>
      <c r="C1354" s="117"/>
      <c r="D1354" s="118"/>
      <c r="E1354" s="119"/>
      <c r="F1354" s="711"/>
      <c r="G1354" s="356"/>
      <c r="H1354" s="745"/>
      <c r="I1354" s="119"/>
      <c r="J1354" s="934"/>
      <c r="K1354" s="934"/>
      <c r="L1354" s="934"/>
      <c r="M1354" s="121"/>
      <c r="N1354" s="122" t="s">
        <v>176</v>
      </c>
      <c r="O1354" s="48"/>
      <c r="P1354" s="124"/>
      <c r="Q1354" s="124"/>
      <c r="R1354" s="83"/>
      <c r="S1354" s="82">
        <f>E1354*G1354</f>
        <v>0</v>
      </c>
      <c r="T1354" s="540"/>
      <c r="U1354" s="83"/>
      <c r="V1354" s="100" t="b">
        <f>IF(G1354&gt;0,IF(AD1354="me","",G1354))</f>
        <v>0</v>
      </c>
      <c r="W1354" s="100"/>
      <c r="X1354" s="100"/>
      <c r="Y1354" s="201"/>
      <c r="Z1354" s="829" t="str">
        <f t="shared" si="3301"/>
        <v/>
      </c>
      <c r="AA1354" s="829"/>
      <c r="AB1354" s="830" t="str">
        <f>IF(G1354=0,"",IF(AD1354="free","re-planting",IF(AD1354="me","not NVP, by",IF($AD$8="yes",(VLOOKUP(A1354,'Discount Lookup'!J:K,2)*G1354*(1-$AC$1786)*(1+$AC$1788)),IF(AD1354="NVP",(VLOOKUP(A1354,'Discount Lookup'!J:K,2)*G1354*(1-$AC$1786)*(1+$AC$1788)),IF(AD1354="free","re-planting",IF(G1354=0,"",IF($AD$8="",IF(AD1354="me","not NVP, by",IF(AD1354="",IF(G1354&gt;0,(VLOOKUP(A1354,'Discount Lookup'!J:K,2)*G1354*(1-$AC$1786)*(1+$AC$1788)),""),"")),"not NVP, by"))))))))</f>
        <v/>
      </c>
      <c r="AC1354" s="830"/>
      <c r="AD1354" s="375" t="str">
        <f t="shared" si="3322"/>
        <v/>
      </c>
      <c r="AE1354" s="833" t="str">
        <f t="shared" si="3277"/>
        <v/>
      </c>
      <c r="AF1354" s="833"/>
      <c r="AG1354" s="833"/>
      <c r="AH1354" s="91">
        <f>IF(AD1354="free",0,IF(AD1354="me",0,IF(G1354&gt;0,(VLOOKUP(A1354,'Discount Lookup'!J:K,2)*G1354),0)))</f>
        <v>0</v>
      </c>
      <c r="AI1354" s="92" t="str">
        <f t="shared" si="3250"/>
        <v/>
      </c>
      <c r="AJ1354" s="828" t="str">
        <f t="shared" si="3302"/>
        <v/>
      </c>
      <c r="AK1354" s="828"/>
      <c r="AL1354" s="313" t="str">
        <f t="shared" si="3242"/>
        <v/>
      </c>
      <c r="AM1354" s="312"/>
      <c r="AN1354" s="101"/>
      <c r="AO1354" s="101"/>
      <c r="AP1354" s="101"/>
      <c r="AQ1354" s="101"/>
      <c r="AR1354" s="101"/>
      <c r="AS1354" s="101"/>
      <c r="AT1354" s="101"/>
    </row>
    <row r="1355" spans="1:46" ht="12.95" customHeight="1">
      <c r="A1355" s="949" t="s">
        <v>1011</v>
      </c>
      <c r="B1355" s="895"/>
      <c r="C1355" s="895"/>
      <c r="D1355" s="895"/>
      <c r="E1355" s="895"/>
      <c r="F1355" s="895"/>
      <c r="G1355" s="895"/>
      <c r="H1355" s="775" t="s">
        <v>1012</v>
      </c>
      <c r="I1355" s="164" t="s">
        <v>79</v>
      </c>
      <c r="J1355" s="157"/>
      <c r="K1355" s="611" t="s">
        <v>45</v>
      </c>
      <c r="L1355" s="630" t="s">
        <v>46</v>
      </c>
      <c r="M1355" s="157"/>
      <c r="N1355" s="158" t="s">
        <v>1615</v>
      </c>
      <c r="O1355" s="158"/>
      <c r="P1355" s="158"/>
      <c r="Q1355" s="804"/>
      <c r="R1355" s="157"/>
      <c r="S1355" s="170"/>
      <c r="T1355" s="547"/>
      <c r="U1355" s="159"/>
      <c r="V1355" s="100" t="b">
        <f>IF(G1355&gt;0,IF(AD1355="me","",G1355))</f>
        <v>0</v>
      </c>
      <c r="W1355" s="100"/>
      <c r="X1355" s="100"/>
      <c r="Y1355" s="201"/>
      <c r="Z1355" s="829" t="str">
        <f t="shared" si="3301"/>
        <v/>
      </c>
      <c r="AA1355" s="829"/>
      <c r="AB1355" s="830" t="str">
        <f>IF(G1355=0,"",IF(AD1355="free","re-planting",IF(AD1355="me","not NVP, by",IF($AD$8="yes",(VLOOKUP(A1355,'Discount Lookup'!J:K,2)*G1355*(1-$AC$1786)*(1+$AC$1788)),IF(AD1355="NVP",(VLOOKUP(A1355,'Discount Lookup'!J:K,2)*G1355*(1-$AC$1786)*(1+$AC$1788)),IF(AD1355="free","re-planting",IF(G1355=0,"",IF($AD$8="",IF(AD1355="me","not NVP, by",IF(AD1355="",IF(G1355&gt;0,(VLOOKUP(A1355,'Discount Lookup'!J:K,2)*G1355*(1-$AC$1786)*(1+$AC$1788)),""),"")),"not NVP, by"))))))))</f>
        <v/>
      </c>
      <c r="AC1355" s="830"/>
      <c r="AD1355" s="375" t="str">
        <f t="shared" si="3322"/>
        <v/>
      </c>
      <c r="AE1355" s="833" t="str">
        <f>IF(G1355&gt;0,(CONCATENATE((G1355)," quantity, ",(A1355)," ",B1355)),"")</f>
        <v/>
      </c>
      <c r="AF1355" s="833"/>
      <c r="AG1355" s="833"/>
      <c r="AH1355" s="91" t="str">
        <f>IF(AD1355="free",0,IF(AD1355="me","",IF(G1355&gt;0,(VLOOKUP(A1355,'Discount Lookup'!J:K,2)*G1355),"")))</f>
        <v/>
      </c>
      <c r="AI1355" s="92" t="str">
        <f t="shared" si="3250"/>
        <v/>
      </c>
      <c r="AJ1355" s="828" t="str">
        <f>IF(G1355=0,"",IF(AD1355="me","  delivery-only",IF($AD$8="me","  delivery-only",CONCATENATE(" $",ROUND(AI1355/G1355,2)," each"))))</f>
        <v/>
      </c>
      <c r="AK1355" s="828"/>
      <c r="AL1355" s="313" t="str">
        <f t="shared" ref="AL1355:AL1418" si="3356">IF(AD1355="free","      ~ discounts included, no tax or planting fee applies ~",IF(G1355=0,"",IF($AD$8="me",CONCATENATE(" $",ROUND(AI1355/G1355,2)," per plant, with tax &amp; discount"),IF(AD1355="me",CONCATENATE(" $",ROUND(AI1355/G1355,2)," per plant, with tax &amp; discount"),CONCATENATE("= $",ROUND((K1355*(1-$H$1784))/G1355,2)," per plant + $",AB1355/G1355,(" per planting      ~ includes tax &amp; discounts ~"))))))</f>
        <v/>
      </c>
      <c r="AM1355" s="312"/>
      <c r="AN1355" s="101"/>
      <c r="AO1355" s="101"/>
      <c r="AP1355" s="101"/>
      <c r="AQ1355" s="101"/>
      <c r="AR1355" s="101"/>
      <c r="AS1355" s="101"/>
      <c r="AT1355" s="101"/>
    </row>
    <row r="1356" spans="1:46" ht="12.95" customHeight="1">
      <c r="A1356" s="452">
        <v>7</v>
      </c>
      <c r="B1356" s="158" t="s">
        <v>50</v>
      </c>
      <c r="C1356" s="160" t="s">
        <v>85</v>
      </c>
      <c r="D1356" s="161" t="s">
        <v>54</v>
      </c>
      <c r="E1356" s="162">
        <v>219.95</v>
      </c>
      <c r="F1356" s="713" t="s">
        <v>1306</v>
      </c>
      <c r="G1356" s="357">
        <v>0</v>
      </c>
      <c r="H1356" s="748" t="str">
        <f t="shared" ref="H1356" si="3357">IF(G1356=0,"",IF(F1356="Qty=",IF(G1356=1,"plant","plants"),IF(F1356&gt;0.0001,"warranty","Error")))</f>
        <v/>
      </c>
      <c r="I1356" s="592">
        <f t="shared" ref="I1356" si="3358">IF(F1356="Qty=",(E1356*G1356),((E1356*(1-F1356))*G1356))</f>
        <v>0</v>
      </c>
      <c r="J1356" s="592">
        <f>IF(H1356="warranty",0,(I1356*($J$1782)))</f>
        <v>0</v>
      </c>
      <c r="K1356" s="834">
        <f t="shared" ref="K1356" si="3359">I1356+J1356</f>
        <v>0</v>
      </c>
      <c r="L1356" s="834"/>
      <c r="M1356" s="832" t="str">
        <f>IF($H$1784=0,"",IF(G1356=0,"",IF(F1356="Qty=",CONCATENATE("$",ROUND(K1356*(1-$H$1784),2)," with ",($H$1784*100),"% discount"),CONCATENATE("$",ROUND(K1356*(1-$H$1784),2)," with ",(($H$1784*100+F1356*100)-($H$1784*100*F1356)),IF(F1356&gt;0,"% discounts",IF($H$1781&gt;0,"% discounts","% discount"))))))</f>
        <v/>
      </c>
      <c r="N1356" s="832"/>
      <c r="O1356" s="832"/>
      <c r="P1356" s="832"/>
      <c r="Q1356" s="832"/>
      <c r="R1356" s="832"/>
      <c r="S1356" s="303">
        <f t="shared" ref="S1356" si="3360">E1356*G1356</f>
        <v>0</v>
      </c>
      <c r="T1356" s="541">
        <f>VLOOKUP(A1356,'Discount Lookup'!D:E,2,FALSE)*G1356</f>
        <v>0</v>
      </c>
      <c r="U1356" s="83">
        <f>VLOOKUP(A1356,'Discount Lookup'!G:H,2,FALSE)*G1356</f>
        <v>0</v>
      </c>
      <c r="V1356" s="100">
        <f>E1356*($J$1782)*G1356</f>
        <v>0</v>
      </c>
      <c r="W1356" s="100">
        <f t="shared" ref="W1356" si="3361">I1356</f>
        <v>0</v>
      </c>
      <c r="X1356" s="100" t="b">
        <f t="shared" ref="X1356" si="3362">IF(G1356&gt;0,IF(AD1356="me","",G1356))</f>
        <v>0</v>
      </c>
      <c r="Y1356" s="201"/>
      <c r="Z1356" s="829" t="str">
        <f t="shared" ref="Z1356" si="3363">IF(G1356=0,"",IF(AD1356="me","",IF($AD$8="me","",IF(AD1356="free","warranty",IF($AD$8="yes","NVP planting:","to NVP install:")))))</f>
        <v/>
      </c>
      <c r="AA1356" s="829"/>
      <c r="AB1356" s="830" t="str">
        <f>IF(G1356=0,"",IF(AD1356="free","re-planting",IF(AD1356="me","not NVP, by",IF($AD$8="yes",(VLOOKUP(A1356,'Discount Lookup'!J:K,2)*G1356*(1-$AC$1786)*(1+$AC$1788)),IF(AD1356="NVP",(VLOOKUP(A1356,'Discount Lookup'!J:K,2)*G1356*(1-$AC$1786)*(1+$AC$1788)),IF(AD1356="free","re-planting",IF(G1356=0,"",IF($AD$8="",IF(AD1356="me","not NVP, by",IF(AD1356="",IF(G1356&gt;0,(VLOOKUP(A1356,'Discount Lookup'!J:K,2)*G1356*(1-$AC$1786)*(1+$AC$1788)),""),"")),"not NVP, by"))))))))</f>
        <v/>
      </c>
      <c r="AC1356" s="830"/>
      <c r="AD1356" s="375" t="str">
        <f t="shared" si="3322"/>
        <v/>
      </c>
      <c r="AE1356" s="833" t="str">
        <f t="shared" ref="AE1356" si="3364">IF(G1356&gt;0,(CONCATENATE((G1356)," quantity, ",(A1356)," ",B1356)),"")</f>
        <v/>
      </c>
      <c r="AF1356" s="833"/>
      <c r="AG1356" s="833"/>
      <c r="AH1356" s="91" t="str">
        <f>IF(AD1356="free",0,IF(AD1356="me","",IF(G1356&gt;0,(VLOOKUP(A1356,'Discount Lookup'!J:K,2)*G1356),"")))</f>
        <v/>
      </c>
      <c r="AI1356" s="92" t="str">
        <f t="shared" si="3250"/>
        <v/>
      </c>
      <c r="AJ1356" s="828" t="str">
        <f t="shared" ref="AJ1356" si="3365">IF(G1356=0,"",IF(AD1356="me","  delivery-only",IF($AD$8="me","  delivery-only",CONCATENATE(" $",ROUND(AI1356/G1356,2)," each"))))</f>
        <v/>
      </c>
      <c r="AK1356" s="828"/>
      <c r="AL1356" s="313" t="str">
        <f t="shared" si="3356"/>
        <v/>
      </c>
      <c r="AM1356" s="312"/>
      <c r="AN1356" s="101"/>
      <c r="AO1356" s="101"/>
      <c r="AP1356" s="101"/>
      <c r="AQ1356" s="101"/>
      <c r="AR1356" s="101"/>
      <c r="AS1356" s="101"/>
      <c r="AT1356" s="101"/>
    </row>
    <row r="1357" spans="1:46" ht="12.95" customHeight="1">
      <c r="A1357" s="491"/>
      <c r="B1357" s="198" t="s">
        <v>1013</v>
      </c>
      <c r="C1357" s="117"/>
      <c r="D1357" s="118"/>
      <c r="E1357" s="119"/>
      <c r="F1357" s="711"/>
      <c r="G1357" s="356"/>
      <c r="H1357" s="745"/>
      <c r="I1357" s="119"/>
      <c r="J1357" s="119"/>
      <c r="K1357" s="609"/>
      <c r="L1357" s="609"/>
      <c r="M1357" s="121"/>
      <c r="N1357" s="121"/>
      <c r="O1357" s="123"/>
      <c r="P1357" s="124"/>
      <c r="Q1357" s="841" t="s">
        <v>125</v>
      </c>
      <c r="R1357" s="841"/>
      <c r="S1357" s="841"/>
      <c r="T1357" s="841"/>
      <c r="U1357" s="841"/>
      <c r="V1357" s="841"/>
      <c r="W1357" s="100"/>
      <c r="X1357" s="100"/>
      <c r="Y1357" s="201"/>
      <c r="Z1357" s="829" t="str">
        <f>IF(G1357=0,"",IF(AD1357="me","",IF($AD$8="me","",IF(AD1357="free","warranty",IF($AD$8="yes","NVP planting:","to NVP install:")))))</f>
        <v/>
      </c>
      <c r="AA1357" s="829"/>
      <c r="AB1357" s="830" t="str">
        <f>IF(G1357=0,"",IF(AD1357="free","re-planting",IF(AD1357="me","not NVP, by",IF($AD$8="yes",(VLOOKUP(A1357,'Discount Lookup'!J:K,2)*G1357*(1-$AC$1786)*(1+$AC$1788)),IF(AD1357="NVP",(VLOOKUP(A1357,'Discount Lookup'!J:K,2)*G1357*(1-$AC$1786)*(1+$AC$1788)),IF(AD1357="free","re-planting",IF(G1357=0,"",IF($AD$8="",IF(AD1357="me","not NVP, by",IF(AD1357="",IF(G1357&gt;0,(VLOOKUP(A1357,'Discount Lookup'!J:K,2)*G1357*(1-$AC$1786)*(1+$AC$1788)),""),"")),"not NVP, by"))))))))</f>
        <v/>
      </c>
      <c r="AC1357" s="830"/>
      <c r="AD1357" s="375" t="str">
        <f t="shared" si="3322"/>
        <v/>
      </c>
      <c r="AE1357" s="833" t="str">
        <f>IF(G1357&gt;0,(CONCATENATE((G1357)," quantity, ",(A1357)," ",B1357)),"")</f>
        <v/>
      </c>
      <c r="AF1357" s="833"/>
      <c r="AG1357" s="833"/>
      <c r="AH1357" s="91" t="str">
        <f>IF(AD1357="free",0,IF(AD1357="me","",IF(G1357&gt;0,(VLOOKUP(A1357,'Discount Lookup'!J:K,2)*G1357),"")))</f>
        <v/>
      </c>
      <c r="AI1357" s="92" t="str">
        <f t="shared" si="3250"/>
        <v/>
      </c>
      <c r="AJ1357" s="828" t="str">
        <f>IF(G1357=0,"",IF(AD1357="me","  delivery-only",IF($AD$8="me","  delivery-only",CONCATENATE(" $",ROUND(AI1357/G1357,2)," each"))))</f>
        <v/>
      </c>
      <c r="AK1357" s="828"/>
      <c r="AL1357" s="313" t="str">
        <f t="shared" si="3356"/>
        <v/>
      </c>
      <c r="AM1357" s="312"/>
      <c r="AN1357" s="101"/>
      <c r="AO1357" s="101"/>
      <c r="AP1357" s="101"/>
      <c r="AQ1357" s="101"/>
      <c r="AR1357" s="101"/>
      <c r="AS1357" s="101"/>
      <c r="AT1357" s="101"/>
    </row>
    <row r="1358" spans="1:46" ht="13.5" customHeight="1">
      <c r="A1358" s="949" t="s">
        <v>988</v>
      </c>
      <c r="B1358" s="895"/>
      <c r="C1358" s="895"/>
      <c r="D1358" s="895"/>
      <c r="E1358" s="895"/>
      <c r="F1358" s="895"/>
      <c r="G1358" s="895"/>
      <c r="H1358" s="775" t="s">
        <v>245</v>
      </c>
      <c r="I1358" s="164" t="s">
        <v>79</v>
      </c>
      <c r="J1358" s="157"/>
      <c r="K1358" s="611" t="s">
        <v>45</v>
      </c>
      <c r="L1358" s="630" t="s">
        <v>46</v>
      </c>
      <c r="M1358" s="157"/>
      <c r="N1358" s="158" t="s">
        <v>98</v>
      </c>
      <c r="O1358" s="158"/>
      <c r="P1358" s="158"/>
      <c r="Q1358" s="158"/>
      <c r="R1358" s="157"/>
      <c r="S1358" s="170"/>
      <c r="T1358" s="547"/>
      <c r="U1358" s="171"/>
      <c r="V1358" s="100" t="b">
        <f>IF(G1358&gt;0,IF(AD1358="me","",G1358))</f>
        <v>0</v>
      </c>
      <c r="W1358" s="100"/>
      <c r="X1358" s="100"/>
      <c r="Y1358" s="201"/>
      <c r="Z1358" s="829" t="str">
        <f>IF(G1358=0,"",IF(AD1358="me","",IF($AD$8="me","",IF(AD1358="free","warranty",IF($AD$8="yes","NVP planting:","to NVP install:")))))</f>
        <v/>
      </c>
      <c r="AA1358" s="829"/>
      <c r="AB1358" s="830" t="str">
        <f>IF(G1358=0,"",IF(AD1358="free","re-planting",IF(AD1358="me","not NVP, by",IF($AD$8="yes",(VLOOKUP(A1358,'Discount Lookup'!J:K,2)*G1358*(1-$AC$1786)*(1+$AC$1788)),IF(AD1358="NVP",(VLOOKUP(A1358,'Discount Lookup'!J:K,2)*G1358*(1-$AC$1786)*(1+$AC$1788)),IF(AD1358="free","re-planting",IF(G1358=0,"",IF($AD$8="",IF(AD1358="me","not NVP, by",IF(AD1358="",IF(G1358&gt;0,(VLOOKUP(A1358,'Discount Lookup'!J:K,2)*G1358*(1-$AC$1786)*(1+$AC$1788)),""),"")),"not NVP, by"))))))))</f>
        <v/>
      </c>
      <c r="AC1358" s="830"/>
      <c r="AD1358" s="375" t="str">
        <f t="shared" si="3322"/>
        <v/>
      </c>
      <c r="AE1358" s="833" t="str">
        <f>IF(G1358&gt;0,(CONCATENATE((G1358)," quantity, ",(A1358)," ",B1358)),"")</f>
        <v/>
      </c>
      <c r="AF1358" s="833"/>
      <c r="AG1358" s="833"/>
      <c r="AH1358" s="91" t="s">
        <v>109</v>
      </c>
      <c r="AI1358" s="92" t="str">
        <f t="shared" si="3250"/>
        <v/>
      </c>
      <c r="AJ1358" s="828" t="str">
        <f>IF(G1358=0,"",IF(AD1358="me","  delivery-only",CONCATENATE(" $",ROUND(AI1358/G1358,2)," each")))</f>
        <v/>
      </c>
      <c r="AK1358" s="828"/>
      <c r="AL1358" s="313" t="str">
        <f t="shared" si="3356"/>
        <v/>
      </c>
      <c r="AM1358" s="312"/>
      <c r="AN1358" s="101"/>
      <c r="AO1358" s="101"/>
      <c r="AP1358" s="101"/>
      <c r="AQ1358" s="101"/>
      <c r="AR1358" s="101"/>
      <c r="AS1358" s="101"/>
      <c r="AT1358" s="101"/>
    </row>
    <row r="1359" spans="1:46" ht="13.5" customHeight="1">
      <c r="A1359" s="452">
        <v>25</v>
      </c>
      <c r="B1359" s="158" t="s">
        <v>50</v>
      </c>
      <c r="C1359" s="160" t="s">
        <v>1611</v>
      </c>
      <c r="D1359" s="161" t="s">
        <v>54</v>
      </c>
      <c r="E1359" s="162">
        <v>579.95000000000005</v>
      </c>
      <c r="F1359" s="713" t="s">
        <v>1306</v>
      </c>
      <c r="G1359" s="357">
        <v>0</v>
      </c>
      <c r="H1359" s="748" t="str">
        <f t="shared" ref="H1359" si="3366">IF(G1359=0,"",IF(F1359="Qty=",IF(G1359=1,"plant","plants"),IF(F1359&gt;0.0001,"warranty","Error")))</f>
        <v/>
      </c>
      <c r="I1359" s="592">
        <f t="shared" ref="I1359" si="3367">IF(F1359="Qty=",(E1359*G1359),((E1359*(1-F1359))*G1359))</f>
        <v>0</v>
      </c>
      <c r="J1359" s="592">
        <f>IF(H1359="warranty",0,(I1359*($J$1782)))</f>
        <v>0</v>
      </c>
      <c r="K1359" s="834">
        <f t="shared" ref="K1359" si="3368">I1359+J1359</f>
        <v>0</v>
      </c>
      <c r="L1359" s="834"/>
      <c r="M1359" s="832" t="str">
        <f>IF($H$1784=0,"",IF(G1359=0,"",IF(F1359="Qty=",CONCATENATE("$",ROUND(K1359*(1-$H$1784),2)," with ",($H$1784*100),"% discount"),CONCATENATE("$",ROUND(K1359*(1-$H$1784),2)," with ",(($H$1784*100+F1359*100)-($H$1784*100*F1359)),IF(F1359&gt;0,"% discounts",IF($H$1781&gt;0,"% discounts","% discount"))))))</f>
        <v/>
      </c>
      <c r="N1359" s="832"/>
      <c r="O1359" s="832"/>
      <c r="P1359" s="832"/>
      <c r="Q1359" s="832"/>
      <c r="R1359" s="832"/>
      <c r="S1359" s="303">
        <f t="shared" ref="S1359" si="3369">E1359*G1359</f>
        <v>0</v>
      </c>
      <c r="T1359" s="541">
        <f>VLOOKUP(A1359,'Discount Lookup'!D:E,2,FALSE)*G1359</f>
        <v>0</v>
      </c>
      <c r="U1359" s="83">
        <f>VLOOKUP(A1359,'Discount Lookup'!G:H,2,FALSE)*G1359</f>
        <v>0</v>
      </c>
      <c r="V1359" s="100">
        <f>E1359*($J$1782)*G1359</f>
        <v>0</v>
      </c>
      <c r="W1359" s="100">
        <f t="shared" ref="W1359" si="3370">I1359</f>
        <v>0</v>
      </c>
      <c r="X1359" s="100" t="b">
        <f>IF(G1359&gt;0,IF(AD1359="me","",G1359))</f>
        <v>0</v>
      </c>
      <c r="Y1359" s="201"/>
      <c r="Z1359" s="829" t="str">
        <f>IF(G1359=0,"",IF(AD1359="me","",IF($AD$8="me","",IF(AD1359="free","warranty",IF($AD$8="yes","NVP planting:","to NVP install:")))))</f>
        <v/>
      </c>
      <c r="AA1359" s="829"/>
      <c r="AB1359" s="830" t="str">
        <f>IF(G1359=0,"",IF(AD1359="free","re-planting",IF(AD1359="me","not NVP, by",IF($AD$8="yes",(VLOOKUP(A1359,'Discount Lookup'!J:K,2)*G1359*(1-$AC$1786)*(1+$AC$1788)),IF(AD1359="NVP",(VLOOKUP(A1359,'Discount Lookup'!J:K,2)*G1359*(1-$AC$1786)*(1+$AC$1788)),IF(AD1359="free","re-planting",IF(G1359=0,"",IF($AD$8="",IF(AD1359="me","not NVP, by",IF(AD1359="",IF(G1359&gt;0,(VLOOKUP(A1359,'Discount Lookup'!J:K,2)*G1359*(1-$AC$1786)*(1+$AC$1788)),""),"")),"not NVP, by"))))))))</f>
        <v/>
      </c>
      <c r="AC1359" s="830"/>
      <c r="AD1359" s="375" t="str">
        <f t="shared" si="3322"/>
        <v/>
      </c>
      <c r="AE1359" s="833" t="str">
        <f>IF(G1359&gt;0,(CONCATENATE((G1359)," quantity, ",(A1359)," ",B1359)),"")</f>
        <v/>
      </c>
      <c r="AF1359" s="833"/>
      <c r="AG1359" s="833"/>
      <c r="AH1359" s="91" t="str">
        <f>IF(AD1359="free",0,IF(AD1359="me","",IF(G1359&gt;0,(VLOOKUP(A1359,'Discount Lookup'!J:K,2)*G1359),"")))</f>
        <v/>
      </c>
      <c r="AI1359" s="92" t="str">
        <f t="shared" ref="AI1359:AI1403" si="3371">IF(G1359=0,"",IF(AD1359="free",(K1359*(1-$H$1784)),IF($AD$8="me",(K1359*(1-$H$1784)),IF(AD1359="me",(K1359*(1-$H$1784)),(K1359*(1-$H$1784))+AB1359))))</f>
        <v/>
      </c>
      <c r="AJ1359" s="828" t="str">
        <f>IF(G1359=0,"",IF(AD1359="me","  delivery-only",CONCATENATE(" $",ROUND(AI1359/G1359,2)," each")))</f>
        <v/>
      </c>
      <c r="AK1359" s="828"/>
      <c r="AL1359" s="313" t="str">
        <f t="shared" si="3356"/>
        <v/>
      </c>
      <c r="AM1359" s="312"/>
      <c r="AN1359" s="101"/>
      <c r="AO1359" s="101"/>
      <c r="AP1359" s="101"/>
      <c r="AQ1359" s="101"/>
      <c r="AR1359" s="101"/>
      <c r="AS1359" s="101"/>
      <c r="AT1359" s="101"/>
    </row>
    <row r="1360" spans="1:46" ht="13.5" customHeight="1">
      <c r="A1360" s="491"/>
      <c r="B1360" s="198" t="s">
        <v>989</v>
      </c>
      <c r="C1360" s="117"/>
      <c r="D1360" s="118"/>
      <c r="E1360" s="119"/>
      <c r="F1360" s="711"/>
      <c r="G1360" s="356"/>
      <c r="H1360" s="745"/>
      <c r="I1360" s="119"/>
      <c r="J1360" s="119"/>
      <c r="K1360" s="609"/>
      <c r="L1360" s="609"/>
      <c r="M1360" s="121"/>
      <c r="N1360" s="122" t="s">
        <v>277</v>
      </c>
      <c r="O1360" s="123"/>
      <c r="P1360" s="124"/>
      <c r="Q1360" s="124"/>
      <c r="R1360" s="83"/>
      <c r="S1360" s="82">
        <f>E1360*G1360</f>
        <v>0</v>
      </c>
      <c r="T1360" s="540"/>
      <c r="U1360" s="205"/>
      <c r="V1360" s="100" t="b">
        <f>IF(G1360&gt;0,IF(AD1360="me","",G1360))</f>
        <v>0</v>
      </c>
      <c r="W1360" s="100"/>
      <c r="X1360" s="100"/>
      <c r="Y1360" s="201"/>
      <c r="Z1360" s="829" t="str">
        <f>IF(G1360=0,"",IF(AD1360="me","",IF($AD$8="me","",IF(AD1360="free","warranty",IF($AD$8="yes","NVP planting:","to NVP install:")))))</f>
        <v/>
      </c>
      <c r="AA1360" s="829"/>
      <c r="AB1360" s="830" t="str">
        <f>IF(G1360=0,"",IF(AD1360="free","re-planting",IF(AD1360="me","not NVP, by",IF($AD$8="yes",(VLOOKUP(A1360,'Discount Lookup'!J:K,2)*G1360*(1-$AC$1786)*(1+$AC$1788)),IF(AD1360="NVP",(VLOOKUP(A1360,'Discount Lookup'!J:K,2)*G1360*(1-$AC$1786)*(1+$AC$1788)),IF(AD1360="free","re-planting",IF(G1360=0,"",IF($AD$8="",IF(AD1360="me","not NVP, by",IF(AD1360="",IF(G1360&gt;0,(VLOOKUP(A1360,'Discount Lookup'!J:K,2)*G1360*(1-$AC$1786)*(1+$AC$1788)),""),"")),"not NVP, by"))))))))</f>
        <v/>
      </c>
      <c r="AC1360" s="830"/>
      <c r="AD1360" s="375" t="str">
        <f t="shared" si="3322"/>
        <v/>
      </c>
      <c r="AE1360" s="833" t="str">
        <f>IF(G1360&gt;0,(CONCATENATE((G1360)," quantity, ",(A1360)," ",B1360)),"")</f>
        <v/>
      </c>
      <c r="AF1360" s="833"/>
      <c r="AG1360" s="833"/>
      <c r="AH1360" s="91" t="s">
        <v>109</v>
      </c>
      <c r="AI1360" s="92" t="str">
        <f t="shared" si="3371"/>
        <v/>
      </c>
      <c r="AJ1360" s="828" t="str">
        <f>IF(G1360=0,"",IF(AD1360="me","  delivery-only",CONCATENATE(" $",ROUND(AI1360/G1360,2)," each")))</f>
        <v/>
      </c>
      <c r="AK1360" s="828"/>
      <c r="AL1360" s="313" t="str">
        <f t="shared" si="3356"/>
        <v/>
      </c>
      <c r="AM1360" s="312"/>
      <c r="AN1360" s="101"/>
      <c r="AO1360" s="101"/>
      <c r="AP1360" s="101"/>
      <c r="AQ1360" s="101"/>
      <c r="AR1360" s="101"/>
      <c r="AS1360" s="101"/>
      <c r="AT1360" s="101"/>
    </row>
    <row r="1361" spans="1:46" ht="12.95" customHeight="1">
      <c r="A1361" s="913" t="s">
        <v>1441</v>
      </c>
      <c r="B1361" s="895"/>
      <c r="C1361" s="895"/>
      <c r="D1361" s="895"/>
      <c r="E1361" s="895"/>
      <c r="F1361" s="895"/>
      <c r="G1361" s="895"/>
      <c r="H1361" s="775" t="s">
        <v>250</v>
      </c>
      <c r="I1361" s="164" t="s">
        <v>79</v>
      </c>
      <c r="J1361" s="157"/>
      <c r="K1361" s="611" t="s">
        <v>45</v>
      </c>
      <c r="L1361" s="630" t="s">
        <v>46</v>
      </c>
      <c r="M1361" s="167"/>
      <c r="N1361" s="352" t="s">
        <v>75</v>
      </c>
      <c r="O1361" s="158"/>
      <c r="P1361" s="158"/>
      <c r="Q1361" s="158"/>
      <c r="R1361" s="835" t="s">
        <v>49</v>
      </c>
      <c r="S1361" s="835"/>
      <c r="T1361" s="835"/>
      <c r="U1361" s="835"/>
      <c r="V1361" s="100" t="b">
        <f>IF(G1361&gt;0,IF(AD1361="me","",G1361))</f>
        <v>0</v>
      </c>
      <c r="W1361" s="100"/>
      <c r="X1361" s="100"/>
      <c r="Y1361" s="201"/>
      <c r="Z1361" s="829" t="str">
        <f t="shared" si="3301"/>
        <v/>
      </c>
      <c r="AA1361" s="829"/>
      <c r="AB1361" s="830" t="str">
        <f>IF(G1361=0,"",IF(AD1361="free","re-planting",IF(AD1361="me","not NVP, by",IF($AD$8="yes",(VLOOKUP(A1361,'Discount Lookup'!J:K,2)*G1361*(1-$AC$1786)*(1+$AC$1788)),IF(AD1361="NVP",(VLOOKUP(A1361,'Discount Lookup'!J:K,2)*G1361*(1-$AC$1786)*(1+$AC$1788)),IF(AD1361="free","re-planting",IF(G1361=0,"",IF($AD$8="",IF(AD1361="me","not NVP, by",IF(AD1361="",IF(G1361&gt;0,(VLOOKUP(A1361,'Discount Lookup'!J:K,2)*G1361*(1-$AC$1786)*(1+$AC$1788)),""),"")),"not NVP, by"))))))))</f>
        <v/>
      </c>
      <c r="AC1361" s="830"/>
      <c r="AD1361" s="375" t="str">
        <f t="shared" si="3322"/>
        <v/>
      </c>
      <c r="AE1361" s="833" t="str">
        <f t="shared" ref="AE1361:AE1366" si="3372">IF(G1361&gt;0,(CONCATENATE((G1361)," quantity, ",(A1361)," ",B1361)),"")</f>
        <v/>
      </c>
      <c r="AF1361" s="833"/>
      <c r="AG1361" s="833"/>
      <c r="AH1361" s="91">
        <f>IF(AD1361="free",0,IF(AD1361="me",0,IF(G1361&gt;0,(VLOOKUP(A1361,'Discount Lookup'!J:K,2)*G1361),0)))</f>
        <v>0</v>
      </c>
      <c r="AI1361" s="92" t="str">
        <f t="shared" si="3371"/>
        <v/>
      </c>
      <c r="AJ1361" s="828" t="str">
        <f t="shared" si="3302"/>
        <v/>
      </c>
      <c r="AK1361" s="828"/>
      <c r="AL1361" s="313" t="str">
        <f t="shared" si="3356"/>
        <v/>
      </c>
      <c r="AM1361" s="312"/>
      <c r="AN1361" s="101"/>
      <c r="AO1361" s="101"/>
      <c r="AP1361" s="101"/>
      <c r="AQ1361" s="101"/>
      <c r="AR1361" s="101"/>
      <c r="AS1361" s="101"/>
      <c r="AT1361" s="101"/>
    </row>
    <row r="1362" spans="1:46" ht="12.95" customHeight="1">
      <c r="A1362" s="388">
        <v>7</v>
      </c>
      <c r="B1362" s="158" t="s">
        <v>50</v>
      </c>
      <c r="C1362" s="160" t="s">
        <v>211</v>
      </c>
      <c r="D1362" s="161" t="s">
        <v>87</v>
      </c>
      <c r="E1362" s="162">
        <v>115.95</v>
      </c>
      <c r="F1362" s="713" t="s">
        <v>1306</v>
      </c>
      <c r="G1362" s="357">
        <v>0</v>
      </c>
      <c r="H1362" s="748" t="str">
        <f t="shared" ref="H1362" si="3373">IF(G1362=0,"",IF(F1362="Qty=",IF(G1362=1,"plant","plants"),IF(F1362&gt;0.0001,"warranty","Error")))</f>
        <v/>
      </c>
      <c r="I1362" s="592">
        <f t="shared" ref="I1362" si="3374">IF(F1362="Qty=",(E1362*G1362),((E1362*(1-F1362))*G1362))</f>
        <v>0</v>
      </c>
      <c r="J1362" s="592">
        <f>IF(H1362="warranty",0,(I1362*($J$1782)))</f>
        <v>0</v>
      </c>
      <c r="K1362" s="834">
        <f t="shared" ref="K1362" si="3375">I1362+J1362</f>
        <v>0</v>
      </c>
      <c r="L1362" s="834"/>
      <c r="M1362" s="832" t="str">
        <f>IF($H$1784=0,"",IF(G1362=0,"",IF(F1362="Qty=",CONCATENATE("$",ROUND(K1362*(1-$H$1784),2)," with ",($H$1784*100),"% discount"),CONCATENATE("$",ROUND(K1362*(1-$H$1784),2)," with ",(($H$1784*100+F1362*100)-($H$1784*100*F1362)),IF(F1362&gt;0,"% discounts",IF($H$1781&gt;0,"% discounts","% discount"))))))</f>
        <v/>
      </c>
      <c r="N1362" s="832"/>
      <c r="O1362" s="832"/>
      <c r="P1362" s="832"/>
      <c r="Q1362" s="832"/>
      <c r="R1362" s="832"/>
      <c r="S1362" s="303">
        <f>E1362*G1362</f>
        <v>0</v>
      </c>
      <c r="T1362" s="541">
        <f>VLOOKUP(A1362,'Discount Lookup'!D:E,2,FALSE)*G1362</f>
        <v>0</v>
      </c>
      <c r="U1362" s="83">
        <f>VLOOKUP(A1362,'Discount Lookup'!G:H,2,FALSE)*G1362</f>
        <v>0</v>
      </c>
      <c r="V1362" s="100">
        <f>E1362*($J$1782)*G1362</f>
        <v>0</v>
      </c>
      <c r="W1362" s="100">
        <f>I1362</f>
        <v>0</v>
      </c>
      <c r="X1362" s="100" t="b">
        <f>IF(G1362&gt;0,IF(AD1362="me","",G1362))</f>
        <v>0</v>
      </c>
      <c r="Y1362" s="201"/>
      <c r="Z1362" s="829" t="str">
        <f t="shared" si="3301"/>
        <v/>
      </c>
      <c r="AA1362" s="829"/>
      <c r="AB1362" s="830" t="str">
        <f>IF(G1362=0,"",IF(AD1362="free","re-planting",IF(AD1362="me","not NVP, by",IF($AD$8="yes",(VLOOKUP(A1362,'Discount Lookup'!J:K,2)*G1362*(1-$AC$1786)*(1+$AC$1788)),IF(AD1362="NVP",(VLOOKUP(A1362,'Discount Lookup'!J:K,2)*G1362*(1-$AC$1786)*(1+$AC$1788)),IF(AD1362="free","re-planting",IF(G1362=0,"",IF($AD$8="",IF(AD1362="me","not NVP, by",IF(AD1362="",IF(G1362&gt;0,(VLOOKUP(A1362,'Discount Lookup'!J:K,2)*G1362*(1-$AC$1786)*(1+$AC$1788)),""),"")),"not NVP, by"))))))))</f>
        <v/>
      </c>
      <c r="AC1362" s="830"/>
      <c r="AD1362" s="375" t="str">
        <f t="shared" ref="AD1362" si="3376">IF(G1362=0,"",IF($AD$8="me","me",IF(H1362="warranty","free",IF($AD$8="yes","NVP",""))))</f>
        <v/>
      </c>
      <c r="AE1362" s="833" t="str">
        <f t="shared" si="3372"/>
        <v/>
      </c>
      <c r="AF1362" s="833"/>
      <c r="AG1362" s="833"/>
      <c r="AH1362" s="91">
        <f>IF(AD1362="free",0,IF(AD1362="me",0,IF(G1362&gt;0,(VLOOKUP(A1362,'Discount Lookup'!J:K,2)*G1362),0)))</f>
        <v>0</v>
      </c>
      <c r="AI1362" s="92" t="str">
        <f t="shared" si="3371"/>
        <v/>
      </c>
      <c r="AJ1362" s="828" t="str">
        <f t="shared" si="3302"/>
        <v/>
      </c>
      <c r="AK1362" s="828"/>
      <c r="AL1362" s="313" t="str">
        <f t="shared" si="3356"/>
        <v/>
      </c>
      <c r="AM1362" s="312"/>
      <c r="AN1362" s="101"/>
      <c r="AO1362" s="101"/>
      <c r="AP1362" s="101"/>
      <c r="AQ1362" s="101"/>
      <c r="AR1362" s="101"/>
      <c r="AS1362" s="101"/>
      <c r="AT1362" s="101"/>
    </row>
    <row r="1363" spans="1:46" ht="12.95" customHeight="1">
      <c r="A1363" s="388">
        <v>10</v>
      </c>
      <c r="B1363" s="158" t="s">
        <v>50</v>
      </c>
      <c r="C1363" s="160" t="s">
        <v>211</v>
      </c>
      <c r="D1363" s="161" t="s">
        <v>87</v>
      </c>
      <c r="E1363" s="162">
        <v>135.94999999999999</v>
      </c>
      <c r="F1363" s="713" t="s">
        <v>1306</v>
      </c>
      <c r="G1363" s="357">
        <v>0</v>
      </c>
      <c r="H1363" s="748" t="str">
        <f t="shared" ref="H1363:H1365" si="3377">IF(G1363=0,"",IF(F1363="Qty=",IF(G1363=1,"plant","plants"),IF(F1363&gt;0.0001,"warranty","Error")))</f>
        <v/>
      </c>
      <c r="I1363" s="592">
        <f t="shared" ref="I1363:I1365" si="3378">IF(F1363="Qty=",(E1363*G1363),((E1363*(1-F1363))*G1363))</f>
        <v>0</v>
      </c>
      <c r="J1363" s="592">
        <f>IF(H1363="warranty",0,(I1363*($J$1782)))</f>
        <v>0</v>
      </c>
      <c r="K1363" s="834">
        <f t="shared" ref="K1363:K1365" si="3379">I1363+J1363</f>
        <v>0</v>
      </c>
      <c r="L1363" s="834"/>
      <c r="M1363" s="832" t="str">
        <f>IF($H$1784=0,"",IF(G1363=0,"",IF(F1363="Qty=",CONCATENATE("$",ROUND(K1363*(1-$H$1784),2)," with ",($H$1784*100),"% discount"),CONCATENATE("$",ROUND(K1363*(1-$H$1784),2)," with ",(($H$1784*100+F1363*100)-($H$1784*100*F1363)),IF(F1363&gt;0,"% discounts",IF($H$1781&gt;0,"% discounts","% discount"))))))</f>
        <v/>
      </c>
      <c r="N1363" s="832"/>
      <c r="O1363" s="832"/>
      <c r="P1363" s="832"/>
      <c r="Q1363" s="832"/>
      <c r="R1363" s="832"/>
      <c r="S1363" s="303">
        <f t="shared" ref="S1363" si="3380">E1363*G1363</f>
        <v>0</v>
      </c>
      <c r="T1363" s="541">
        <f>VLOOKUP(A1363,'Discount Lookup'!D:E,2,FALSE)*G1363</f>
        <v>0</v>
      </c>
      <c r="U1363" s="83">
        <f>VLOOKUP(A1363,'Discount Lookup'!G:H,2,FALSE)*G1363</f>
        <v>0</v>
      </c>
      <c r="V1363" s="100">
        <f>E1363*($J$1782)*G1363</f>
        <v>0</v>
      </c>
      <c r="W1363" s="100">
        <f t="shared" ref="W1363" si="3381">I1363</f>
        <v>0</v>
      </c>
      <c r="X1363" s="100" t="b">
        <f t="shared" ref="X1363" si="3382">IF(G1363&gt;0,IF(AD1363="me","",G1363))</f>
        <v>0</v>
      </c>
      <c r="Y1363" s="201"/>
      <c r="Z1363" s="829" t="str">
        <f t="shared" ref="Z1363:Z1364" si="3383">IF(G1363=0,"",IF(AD1363="me","",IF($AD$8="me","",IF(AD1363="free","warranty",IF($AD$8="yes","NVP planting:","to NVP install:")))))</f>
        <v/>
      </c>
      <c r="AA1363" s="829"/>
      <c r="AB1363" s="830" t="str">
        <f>IF(G1363=0,"",IF(AD1363="free","re-planting",IF(AD1363="me","not NVP, by",IF($AD$8="yes",(VLOOKUP(A1363,'Discount Lookup'!J:K,2)*G1363*(1-$AC$1786)*(1+$AC$1788)),IF(AD1363="NVP",(VLOOKUP(A1363,'Discount Lookup'!J:K,2)*G1363*(1-$AC$1786)*(1+$AC$1788)),IF(AD1363="free","re-planting",IF(G1363=0,"",IF($AD$8="",IF(AD1363="me","not NVP, by",IF(AD1363="",IF(G1363&gt;0,(VLOOKUP(A1363,'Discount Lookup'!J:K,2)*G1363*(1-$AC$1786)*(1+$AC$1788)),""),"")),"not NVP, by"))))))))</f>
        <v/>
      </c>
      <c r="AC1363" s="830"/>
      <c r="AD1363" s="375" t="str">
        <f t="shared" si="3322"/>
        <v/>
      </c>
      <c r="AE1363" s="833" t="str">
        <f t="shared" ref="AE1363:AE1364" si="3384">IF(G1363&gt;0,(CONCATENATE((G1363)," quantity, ",(A1363)," ",B1363)),"")</f>
        <v/>
      </c>
      <c r="AF1363" s="833"/>
      <c r="AG1363" s="833"/>
      <c r="AH1363" s="91">
        <f>IF(AD1363="free",0,IF(AD1363="me",0,IF(G1363&gt;0,(VLOOKUP(A1363,'Discount Lookup'!J:K,2)*G1363),0)))</f>
        <v>0</v>
      </c>
      <c r="AI1363" s="92" t="str">
        <f t="shared" si="3371"/>
        <v/>
      </c>
      <c r="AJ1363" s="828" t="str">
        <f t="shared" ref="AJ1363:AJ1364" si="3385">IF(G1363=0,"",IF(AD1363="me","  delivery-only",IF($AD$8="me","  delivery-only",CONCATENATE(" $",ROUND(AI1363/G1363,2)," each"))))</f>
        <v/>
      </c>
      <c r="AK1363" s="828"/>
      <c r="AL1363" s="313" t="str">
        <f t="shared" si="3356"/>
        <v/>
      </c>
      <c r="AM1363" s="312"/>
      <c r="AN1363" s="101"/>
      <c r="AO1363" s="101"/>
      <c r="AP1363" s="101"/>
      <c r="AQ1363" s="101"/>
      <c r="AR1363" s="101"/>
      <c r="AS1363" s="101"/>
      <c r="AT1363" s="101"/>
    </row>
    <row r="1364" spans="1:46" ht="12.95" customHeight="1">
      <c r="A1364" s="388">
        <v>15</v>
      </c>
      <c r="B1364" s="158" t="s">
        <v>50</v>
      </c>
      <c r="C1364" s="160" t="s">
        <v>211</v>
      </c>
      <c r="D1364" s="161" t="s">
        <v>54</v>
      </c>
      <c r="E1364" s="162">
        <v>192.95</v>
      </c>
      <c r="F1364" s="713" t="s">
        <v>1306</v>
      </c>
      <c r="G1364" s="357">
        <v>0</v>
      </c>
      <c r="H1364" s="748" t="str">
        <f t="shared" ref="H1364" si="3386">IF(G1364=0,"",IF(F1364="Qty=",IF(G1364=1,"plant","plants"),IF(F1364&gt;0.0001,"warranty","Error")))</f>
        <v/>
      </c>
      <c r="I1364" s="592">
        <f t="shared" ref="I1364" si="3387">IF(F1364="Qty=",(E1364*G1364),((E1364*(1-F1364))*G1364))</f>
        <v>0</v>
      </c>
      <c r="J1364" s="592">
        <f>IF(H1364="warranty",0,(I1364*($J$1782)))</f>
        <v>0</v>
      </c>
      <c r="K1364" s="834">
        <f t="shared" ref="K1364" si="3388">I1364+J1364</f>
        <v>0</v>
      </c>
      <c r="L1364" s="834"/>
      <c r="M1364" s="832" t="str">
        <f>IF($H$1784=0,"",IF(G1364=0,"",IF(F1364="Qty=",CONCATENATE("$",ROUND(K1364*(1-$H$1784),2)," with ",($H$1784*100),"% discount"),CONCATENATE("$",ROUND(K1364*(1-$H$1784),2)," with ",(($H$1784*100+F1364*100)-($H$1784*100*F1364)),IF(F1364&gt;0,"% discounts",IF($H$1781&gt;0,"% discounts","% discount"))))))</f>
        <v/>
      </c>
      <c r="N1364" s="832"/>
      <c r="O1364" s="832"/>
      <c r="P1364" s="832"/>
      <c r="Q1364" s="832"/>
      <c r="R1364" s="832"/>
      <c r="S1364" s="303">
        <f>E1364*G1364</f>
        <v>0</v>
      </c>
      <c r="T1364" s="541">
        <f>VLOOKUP(A1364,'Discount Lookup'!D:E,2,FALSE)*G1364</f>
        <v>0</v>
      </c>
      <c r="U1364" s="83">
        <f>VLOOKUP(A1364,'Discount Lookup'!G:H,2,FALSE)*G1364</f>
        <v>0</v>
      </c>
      <c r="V1364" s="100">
        <f>E1364*($J$1782)*G1364</f>
        <v>0</v>
      </c>
      <c r="W1364" s="100">
        <f>I1364</f>
        <v>0</v>
      </c>
      <c r="X1364" s="100" t="b">
        <f>IF(G1364&gt;0,IF(AD1364="me","",G1364))</f>
        <v>0</v>
      </c>
      <c r="Y1364" s="201"/>
      <c r="Z1364" s="829" t="str">
        <f t="shared" si="3383"/>
        <v/>
      </c>
      <c r="AA1364" s="829"/>
      <c r="AB1364" s="830" t="str">
        <f>IF(G1364=0,"",IF(AD1364="free","re-planting",IF(AD1364="me","not NVP, by",IF($AD$8="yes",(VLOOKUP(A1364,'Discount Lookup'!J:K,2)*G1364*(1-$AC$1786)*(1+$AC$1788)),IF(AD1364="NVP",(VLOOKUP(A1364,'Discount Lookup'!J:K,2)*G1364*(1-$AC$1786)*(1+$AC$1788)),IF(AD1364="free","re-planting",IF(G1364=0,"",IF($AD$8="",IF(AD1364="me","not NVP, by",IF(AD1364="",IF(G1364&gt;0,(VLOOKUP(A1364,'Discount Lookup'!J:K,2)*G1364*(1-$AC$1786)*(1+$AC$1788)),""),"")),"not NVP, by"))))))))</f>
        <v/>
      </c>
      <c r="AC1364" s="830"/>
      <c r="AD1364" s="375" t="str">
        <f t="shared" ref="AD1364" si="3389">IF(G1364=0,"",IF($AD$8="me","me",IF(H1364="warranty","free",IF($AD$8="yes","NVP",""))))</f>
        <v/>
      </c>
      <c r="AE1364" s="833" t="str">
        <f t="shared" si="3384"/>
        <v/>
      </c>
      <c r="AF1364" s="833"/>
      <c r="AG1364" s="833"/>
      <c r="AH1364" s="91">
        <f>IF(AD1364="free",0,IF(AD1364="me",0,IF(G1364&gt;0,(VLOOKUP(A1364,'Discount Lookup'!J:K,2)*G1364),0)))</f>
        <v>0</v>
      </c>
      <c r="AI1364" s="92" t="str">
        <f t="shared" si="3371"/>
        <v/>
      </c>
      <c r="AJ1364" s="828" t="str">
        <f t="shared" si="3385"/>
        <v/>
      </c>
      <c r="AK1364" s="828"/>
      <c r="AL1364" s="313" t="str">
        <f t="shared" si="3356"/>
        <v/>
      </c>
      <c r="AM1364" s="312"/>
      <c r="AN1364" s="101"/>
      <c r="AO1364" s="101"/>
      <c r="AP1364" s="101"/>
      <c r="AQ1364" s="101"/>
      <c r="AR1364" s="101"/>
      <c r="AS1364" s="101"/>
      <c r="AT1364" s="101"/>
    </row>
    <row r="1365" spans="1:46" ht="12.95" customHeight="1">
      <c r="A1365" s="388">
        <v>15</v>
      </c>
      <c r="B1365" s="158" t="s">
        <v>50</v>
      </c>
      <c r="C1365" s="160" t="s">
        <v>1377</v>
      </c>
      <c r="D1365" s="161" t="s">
        <v>90</v>
      </c>
      <c r="E1365" s="162">
        <v>292.95</v>
      </c>
      <c r="F1365" s="713" t="s">
        <v>1306</v>
      </c>
      <c r="G1365" s="357">
        <v>0</v>
      </c>
      <c r="H1365" s="748" t="str">
        <f t="shared" si="3377"/>
        <v/>
      </c>
      <c r="I1365" s="592">
        <f t="shared" si="3378"/>
        <v>0</v>
      </c>
      <c r="J1365" s="592">
        <f>IF(H1365="warranty",0,(I1365*($J$1782)))</f>
        <v>0</v>
      </c>
      <c r="K1365" s="834">
        <f t="shared" si="3379"/>
        <v>0</v>
      </c>
      <c r="L1365" s="834"/>
      <c r="M1365" s="832" t="str">
        <f>IF($H$1784=0,"",IF(G1365=0,"",IF(F1365="Qty=",CONCATENATE("$",ROUND(K1365*(1-$H$1784),2)," with ",($H$1784*100),"% discount"),CONCATENATE("$",ROUND(K1365*(1-$H$1784),2)," with ",(($H$1784*100+F1365*100)-($H$1784*100*F1365)),IF(F1365&gt;0,"% discounts",IF($H$1781&gt;0,"% discounts","% discount"))))))</f>
        <v/>
      </c>
      <c r="N1365" s="832"/>
      <c r="O1365" s="832"/>
      <c r="P1365" s="832"/>
      <c r="Q1365" s="832"/>
      <c r="R1365" s="832"/>
      <c r="S1365" s="303">
        <f>E1365*G1365</f>
        <v>0</v>
      </c>
      <c r="T1365" s="541">
        <f>VLOOKUP(A1365,'Discount Lookup'!D:E,2,FALSE)*G1365</f>
        <v>0</v>
      </c>
      <c r="U1365" s="83">
        <f>VLOOKUP(A1365,'Discount Lookup'!G:H,2,FALSE)*G1365</f>
        <v>0</v>
      </c>
      <c r="V1365" s="100">
        <f>E1365*($J$1782)*G1365</f>
        <v>0</v>
      </c>
      <c r="W1365" s="100">
        <f>I1365</f>
        <v>0</v>
      </c>
      <c r="X1365" s="100" t="b">
        <f>IF(G1365&gt;0,IF(AD1365="me","",G1365))</f>
        <v>0</v>
      </c>
      <c r="Y1365" s="201"/>
      <c r="Z1365" s="829" t="str">
        <f t="shared" si="3301"/>
        <v/>
      </c>
      <c r="AA1365" s="829"/>
      <c r="AB1365" s="830" t="str">
        <f>IF(G1365=0,"",IF(AD1365="free","re-planting",IF(AD1365="me","not NVP, by",IF($AD$8="yes",(VLOOKUP(A1365,'Discount Lookup'!J:K,2)*G1365*(1-$AC$1786)*(1+$AC$1788)),IF(AD1365="NVP",(VLOOKUP(A1365,'Discount Lookup'!J:K,2)*G1365*(1-$AC$1786)*(1+$AC$1788)),IF(AD1365="free","re-planting",IF(G1365=0,"",IF($AD$8="",IF(AD1365="me","not NVP, by",IF(AD1365="",IF(G1365&gt;0,(VLOOKUP(A1365,'Discount Lookup'!J:K,2)*G1365*(1-$AC$1786)*(1+$AC$1788)),""),"")),"not NVP, by"))))))))</f>
        <v/>
      </c>
      <c r="AC1365" s="830"/>
      <c r="AD1365" s="375" t="str">
        <f t="shared" si="3322"/>
        <v/>
      </c>
      <c r="AE1365" s="833" t="str">
        <f t="shared" si="3372"/>
        <v/>
      </c>
      <c r="AF1365" s="833"/>
      <c r="AG1365" s="833"/>
      <c r="AH1365" s="91">
        <f>IF(AD1365="free",0,IF(AD1365="me",0,IF(G1365&gt;0,(VLOOKUP(A1365,'Discount Lookup'!J:K,2)*G1365),0)))</f>
        <v>0</v>
      </c>
      <c r="AI1365" s="92" t="str">
        <f t="shared" si="3371"/>
        <v/>
      </c>
      <c r="AJ1365" s="828" t="str">
        <f t="shared" si="3302"/>
        <v/>
      </c>
      <c r="AK1365" s="828"/>
      <c r="AL1365" s="313" t="str">
        <f t="shared" si="3356"/>
        <v/>
      </c>
      <c r="AM1365" s="312"/>
      <c r="AN1365" s="101"/>
      <c r="AO1365" s="101"/>
      <c r="AP1365" s="101"/>
      <c r="AQ1365" s="101"/>
      <c r="AR1365" s="101"/>
      <c r="AS1365" s="101"/>
      <c r="AT1365" s="101"/>
    </row>
    <row r="1366" spans="1:46" ht="12.95" customHeight="1">
      <c r="A1366" s="492"/>
      <c r="B1366" s="198" t="s">
        <v>743</v>
      </c>
      <c r="C1366" s="85"/>
      <c r="D1366" s="85"/>
      <c r="E1366" s="132"/>
      <c r="F1366" s="369"/>
      <c r="H1366" s="753"/>
      <c r="I1366" s="132"/>
      <c r="J1366" s="132"/>
      <c r="K1366" s="588"/>
      <c r="L1366" s="163" t="s">
        <v>1341</v>
      </c>
      <c r="M1366" s="48"/>
      <c r="N1366" s="48"/>
      <c r="O1366" s="111"/>
      <c r="P1366" s="111"/>
      <c r="Q1366" s="48"/>
      <c r="R1366" s="111"/>
      <c r="S1366" s="82"/>
      <c r="T1366" s="540"/>
      <c r="U1366" s="83"/>
      <c r="V1366" s="100"/>
      <c r="W1366" s="100"/>
      <c r="X1366" s="100"/>
      <c r="Y1366" s="201"/>
      <c r="Z1366" s="829" t="str">
        <f t="shared" si="3301"/>
        <v/>
      </c>
      <c r="AA1366" s="829"/>
      <c r="AB1366" s="830" t="str">
        <f>IF(G1366=0,"",IF(AD1366="free","re-planting",IF(AD1366="me","not NVP, by",IF($AD$8="yes",(VLOOKUP(A1366,'Discount Lookup'!J:K,2)*G1366*(1-$AC$1786)*(1+$AC$1788)),IF(AD1366="NVP",(VLOOKUP(A1366,'Discount Lookup'!J:K,2)*G1366*(1-$AC$1786)*(1+$AC$1788)),IF(AD1366="free","re-planting",IF(G1366=0,"",IF($AD$8="",IF(AD1366="me","not NVP, by",IF(AD1366="",IF(G1366&gt;0,(VLOOKUP(A1366,'Discount Lookup'!J:K,2)*G1366*(1-$AC$1786)*(1+$AC$1788)),""),"")),"not NVP, by"))))))))</f>
        <v/>
      </c>
      <c r="AC1366" s="830"/>
      <c r="AD1366" s="375" t="str">
        <f t="shared" si="3322"/>
        <v/>
      </c>
      <c r="AE1366" s="833" t="str">
        <f t="shared" si="3372"/>
        <v/>
      </c>
      <c r="AF1366" s="833"/>
      <c r="AG1366" s="833"/>
      <c r="AH1366" s="91">
        <f>IF(AD1366="free",0,IF(AD1366="me",0,IF(G1366&gt;0,(VLOOKUP(A1366,'Discount Lookup'!J:K,2)*G1366),0)))</f>
        <v>0</v>
      </c>
      <c r="AI1366" s="92" t="str">
        <f t="shared" si="3371"/>
        <v/>
      </c>
      <c r="AJ1366" s="828" t="str">
        <f t="shared" si="3302"/>
        <v/>
      </c>
      <c r="AK1366" s="828"/>
      <c r="AL1366" s="313" t="str">
        <f t="shared" si="3356"/>
        <v/>
      </c>
      <c r="AM1366" s="312"/>
      <c r="AN1366" s="101"/>
      <c r="AO1366" s="101"/>
      <c r="AP1366" s="101"/>
      <c r="AQ1366" s="101"/>
      <c r="AR1366" s="101"/>
      <c r="AS1366" s="101"/>
      <c r="AT1366" s="101"/>
    </row>
    <row r="1367" spans="1:46" ht="12.95" customHeight="1">
      <c r="A1367" s="913" t="s">
        <v>744</v>
      </c>
      <c r="B1367" s="895"/>
      <c r="C1367" s="895"/>
      <c r="D1367" s="895"/>
      <c r="E1367" s="895"/>
      <c r="F1367" s="895"/>
      <c r="G1367" s="895"/>
      <c r="H1367" s="775" t="s">
        <v>633</v>
      </c>
      <c r="I1367" s="164" t="s">
        <v>79</v>
      </c>
      <c r="J1367" s="157"/>
      <c r="K1367" s="611" t="s">
        <v>45</v>
      </c>
      <c r="L1367" s="630" t="s">
        <v>46</v>
      </c>
      <c r="M1367" s="157"/>
      <c r="N1367" s="158" t="s">
        <v>1615</v>
      </c>
      <c r="O1367" s="158"/>
      <c r="P1367" s="158"/>
      <c r="Q1367" s="804"/>
      <c r="R1367" s="157"/>
      <c r="S1367" s="170"/>
      <c r="T1367" s="547"/>
      <c r="U1367" s="159"/>
      <c r="V1367" s="100" t="b">
        <f>IF(G1367&gt;0,IF(AD1367="me","",G1367))</f>
        <v>0</v>
      </c>
      <c r="W1367" s="100"/>
      <c r="X1367" s="100"/>
      <c r="Y1367" s="201"/>
      <c r="Z1367" s="829" t="str">
        <f t="shared" si="3301"/>
        <v/>
      </c>
      <c r="AA1367" s="829"/>
      <c r="AB1367" s="830" t="str">
        <f>IF(G1367=0,"",IF(AD1367="free","re-planting",IF(AD1367="me","not NVP, by",IF($AD$8="yes",(VLOOKUP(A1367,'Discount Lookup'!J:K,2)*G1367*(1-$AC$1786)*(1+$AC$1788)),IF(AD1367="NVP",(VLOOKUP(A1367,'Discount Lookup'!J:K,2)*G1367*(1-$AC$1786)*(1+$AC$1788)),IF(AD1367="free","re-planting",IF(G1367=0,"",IF($AD$8="",IF(AD1367="me","not NVP, by",IF(AD1367="",IF(G1367&gt;0,(VLOOKUP(A1367,'Discount Lookup'!J:K,2)*G1367*(1-$AC$1786)*(1+$AC$1788)),""),"")),"not NVP, by"))))))))</f>
        <v/>
      </c>
      <c r="AC1367" s="830"/>
      <c r="AD1367" s="375" t="str">
        <f t="shared" si="3322"/>
        <v/>
      </c>
      <c r="AE1367" s="833" t="str">
        <f t="shared" si="3277"/>
        <v/>
      </c>
      <c r="AF1367" s="833"/>
      <c r="AG1367" s="833"/>
      <c r="AH1367" s="91">
        <f>IF(AD1367="free",0,IF(AD1367="me",0,IF(G1367&gt;0,(VLOOKUP(A1367,'Discount Lookup'!J:K,2)*G1367),0)))</f>
        <v>0</v>
      </c>
      <c r="AI1367" s="92" t="str">
        <f t="shared" si="3371"/>
        <v/>
      </c>
      <c r="AJ1367" s="828" t="str">
        <f t="shared" si="3302"/>
        <v/>
      </c>
      <c r="AK1367" s="828"/>
      <c r="AL1367" s="313" t="str">
        <f t="shared" si="3356"/>
        <v/>
      </c>
      <c r="AM1367" s="312"/>
      <c r="AN1367" s="101"/>
      <c r="AO1367" s="101"/>
      <c r="AP1367" s="101"/>
      <c r="AQ1367" s="101"/>
      <c r="AR1367" s="101"/>
      <c r="AS1367" s="101"/>
      <c r="AT1367" s="101"/>
    </row>
    <row r="1368" spans="1:46" ht="12.95" customHeight="1">
      <c r="A1368" s="388">
        <v>30</v>
      </c>
      <c r="B1368" s="158" t="s">
        <v>50</v>
      </c>
      <c r="C1368" s="160" t="s">
        <v>1205</v>
      </c>
      <c r="D1368" s="161" t="s">
        <v>745</v>
      </c>
      <c r="E1368" s="162">
        <v>839.95</v>
      </c>
      <c r="F1368" s="713" t="s">
        <v>1306</v>
      </c>
      <c r="G1368" s="357">
        <v>0</v>
      </c>
      <c r="H1368" s="748" t="str">
        <f t="shared" ref="H1368:H1370" si="3390">IF(G1368=0,"",IF(F1368="Qty=",IF(G1368=1,"plant","plants"),IF(F1368&gt;0.0001,"warranty","Error")))</f>
        <v/>
      </c>
      <c r="I1368" s="592">
        <f t="shared" ref="I1368:I1370" si="3391">IF(F1368="Qty=",(E1368*G1368),((E1368*(1-F1368))*G1368))</f>
        <v>0</v>
      </c>
      <c r="J1368" s="592">
        <f>IF(H1368="warranty",0,(I1368*($J$1782)))</f>
        <v>0</v>
      </c>
      <c r="K1368" s="834">
        <f t="shared" ref="K1368:K1370" si="3392">I1368+J1368</f>
        <v>0</v>
      </c>
      <c r="L1368" s="834"/>
      <c r="M1368" s="832" t="str">
        <f>IF($H$1784=0,"",IF(G1368=0,"",IF(F1368="Qty=",CONCATENATE("$",ROUND(K1368*(1-$H$1784),2)," with ",($H$1784*100),"% discount"),CONCATENATE("$",ROUND(K1368*(1-$H$1784),2)," with ",(($H$1784*100+F1368*100)-($H$1784*100*F1368)),IF(F1368&gt;0,"% discounts",IF($H$1781&gt;0,"% discounts","% discount"))))))</f>
        <v/>
      </c>
      <c r="N1368" s="832"/>
      <c r="O1368" s="832"/>
      <c r="P1368" s="832"/>
      <c r="Q1368" s="832"/>
      <c r="R1368" s="832"/>
      <c r="S1368" s="303">
        <f t="shared" ref="S1368:S1370" si="3393">E1368*G1368</f>
        <v>0</v>
      </c>
      <c r="T1368" s="541">
        <f>VLOOKUP(A1368,'Discount Lookup'!D:E,2,FALSE)*G1368</f>
        <v>0</v>
      </c>
      <c r="U1368" s="83">
        <f>VLOOKUP(A1368,'Discount Lookup'!G:H,2,FALSE)*G1368</f>
        <v>0</v>
      </c>
      <c r="V1368" s="100">
        <f>E1368*($J$1782)*G1368</f>
        <v>0</v>
      </c>
      <c r="W1368" s="100">
        <f t="shared" ref="W1368:W1370" si="3394">I1368</f>
        <v>0</v>
      </c>
      <c r="X1368" s="100" t="b">
        <f>IF(G1368&gt;0,IF(AD1368="me","",G1368))</f>
        <v>0</v>
      </c>
      <c r="Y1368" s="201"/>
      <c r="Z1368" s="829" t="str">
        <f t="shared" si="3301"/>
        <v/>
      </c>
      <c r="AA1368" s="829"/>
      <c r="AB1368" s="830" t="str">
        <f>IF(G1368=0,"",IF(AD1368="free","re-planting",IF(AD1368="me","not NVP, by",IF($AD$8="yes",(VLOOKUP(A1368,'Discount Lookup'!J:K,2)*G1368*(1-$AC$1786)*(1+$AC$1788)),IF(AD1368="NVP",(VLOOKUP(A1368,'Discount Lookup'!J:K,2)*G1368*(1-$AC$1786)*(1+$AC$1788)),IF(AD1368="free","re-planting",IF(G1368=0,"",IF($AD$8="",IF(AD1368="me","not NVP, by",IF(AD1368="",IF(G1368&gt;0,(VLOOKUP(A1368,'Discount Lookup'!J:K,2)*G1368*(1-$AC$1786)*(1+$AC$1788)),""),"")),"not NVP, by"))))))))</f>
        <v/>
      </c>
      <c r="AC1368" s="830"/>
      <c r="AD1368" s="375" t="str">
        <f t="shared" si="3322"/>
        <v/>
      </c>
      <c r="AE1368" s="833" t="str">
        <f t="shared" si="3277"/>
        <v/>
      </c>
      <c r="AF1368" s="833"/>
      <c r="AG1368" s="833"/>
      <c r="AH1368" s="91">
        <f>IF(AD1368="free",0,IF(AD1368="me",0,IF(G1368&gt;0,(VLOOKUP(A1368,'Discount Lookup'!J:K,2)*G1368),0)))</f>
        <v>0</v>
      </c>
      <c r="AI1368" s="92" t="str">
        <f t="shared" si="3371"/>
        <v/>
      </c>
      <c r="AJ1368" s="828" t="str">
        <f t="shared" si="3302"/>
        <v/>
      </c>
      <c r="AK1368" s="828"/>
      <c r="AL1368" s="313" t="str">
        <f t="shared" si="3356"/>
        <v/>
      </c>
      <c r="AM1368" s="312"/>
      <c r="AN1368" s="101"/>
      <c r="AO1368" s="101"/>
      <c r="AP1368" s="101"/>
      <c r="AQ1368" s="101"/>
      <c r="AR1368" s="101"/>
      <c r="AS1368" s="101"/>
      <c r="AT1368" s="101"/>
    </row>
    <row r="1369" spans="1:46" ht="12.95" customHeight="1">
      <c r="A1369" s="388">
        <v>45</v>
      </c>
      <c r="B1369" s="158" t="s">
        <v>50</v>
      </c>
      <c r="C1369" s="160" t="s">
        <v>746</v>
      </c>
      <c r="D1369" s="161" t="s">
        <v>745</v>
      </c>
      <c r="E1369" s="162">
        <v>1079.95</v>
      </c>
      <c r="F1369" s="713" t="s">
        <v>1306</v>
      </c>
      <c r="G1369" s="357">
        <v>0</v>
      </c>
      <c r="H1369" s="748" t="str">
        <f t="shared" si="3390"/>
        <v/>
      </c>
      <c r="I1369" s="592">
        <f t="shared" si="3391"/>
        <v>0</v>
      </c>
      <c r="J1369" s="592">
        <f>IF(H1369="warranty",0,(I1369*($J$1782)))</f>
        <v>0</v>
      </c>
      <c r="K1369" s="834">
        <f t="shared" si="3392"/>
        <v>0</v>
      </c>
      <c r="L1369" s="834"/>
      <c r="M1369" s="832" t="str">
        <f>IF($H$1784=0,"",IF(G1369=0,"",IF(F1369="Qty=",CONCATENATE("$",ROUND(K1369*(1-$H$1784),2)," with ",($H$1784*100),"% discount"),CONCATENATE("$",ROUND(K1369*(1-$H$1784),2)," with ",(($H$1784*100+F1369*100)-($H$1784*100*F1369)),IF(F1369&gt;0,"% discounts",IF($H$1781&gt;0,"% discounts","% discount"))))))</f>
        <v/>
      </c>
      <c r="N1369" s="832"/>
      <c r="O1369" s="832"/>
      <c r="P1369" s="832"/>
      <c r="Q1369" s="832"/>
      <c r="R1369" s="832"/>
      <c r="S1369" s="303">
        <f t="shared" si="3393"/>
        <v>0</v>
      </c>
      <c r="T1369" s="541">
        <f>VLOOKUP(A1369,'Discount Lookup'!D:E,2,FALSE)*G1369</f>
        <v>0</v>
      </c>
      <c r="U1369" s="83">
        <f>VLOOKUP(A1369,'Discount Lookup'!G:H,2,FALSE)*G1369</f>
        <v>0</v>
      </c>
      <c r="V1369" s="100">
        <f>E1369*($J$1782)*G1369</f>
        <v>0</v>
      </c>
      <c r="W1369" s="100">
        <f t="shared" si="3394"/>
        <v>0</v>
      </c>
      <c r="X1369" s="100" t="b">
        <f>IF(G1369&gt;0,IF(AD1369="me","",G1369))</f>
        <v>0</v>
      </c>
      <c r="Y1369" s="201"/>
      <c r="Z1369" s="829" t="str">
        <f t="shared" si="3301"/>
        <v/>
      </c>
      <c r="AA1369" s="829"/>
      <c r="AB1369" s="830" t="str">
        <f>IF(G1369=0,"",IF(AD1369="free","re-planting",IF(AD1369="me","not NVP, by",IF($AD$8="yes",(VLOOKUP(A1369,'Discount Lookup'!J:K,2)*G1369*(1-$AC$1786)*(1+$AC$1788)),IF(AD1369="NVP",(VLOOKUP(A1369,'Discount Lookup'!J:K,2)*G1369*(1-$AC$1786)*(1+$AC$1788)),IF(AD1369="free","re-planting",IF(G1369=0,"",IF($AD$8="",IF(AD1369="me","not NVP, by",IF(AD1369="",IF(G1369&gt;0,(VLOOKUP(A1369,'Discount Lookup'!J:K,2)*G1369*(1-$AC$1786)*(1+$AC$1788)),""),"")),"not NVP, by"))))))))</f>
        <v/>
      </c>
      <c r="AC1369" s="830"/>
      <c r="AD1369" s="375" t="str">
        <f t="shared" si="3322"/>
        <v/>
      </c>
      <c r="AE1369" s="833" t="str">
        <f t="shared" si="3277"/>
        <v/>
      </c>
      <c r="AF1369" s="833"/>
      <c r="AG1369" s="833"/>
      <c r="AH1369" s="91">
        <f>IF(AD1369="free",0,IF(AD1369="me",0,IF(G1369&gt;0,(VLOOKUP(A1369,'Discount Lookup'!J:K,2)*G1369),0)))</f>
        <v>0</v>
      </c>
      <c r="AI1369" s="92" t="str">
        <f t="shared" si="3371"/>
        <v/>
      </c>
      <c r="AJ1369" s="828" t="str">
        <f t="shared" si="3302"/>
        <v/>
      </c>
      <c r="AK1369" s="828"/>
      <c r="AL1369" s="313" t="str">
        <f t="shared" si="3356"/>
        <v/>
      </c>
      <c r="AM1369" s="312"/>
      <c r="AN1369" s="101"/>
      <c r="AO1369" s="101"/>
      <c r="AP1369" s="101"/>
      <c r="AQ1369" s="101"/>
      <c r="AR1369" s="101"/>
      <c r="AS1369" s="101"/>
      <c r="AT1369" s="101"/>
    </row>
    <row r="1370" spans="1:46" ht="12.95" customHeight="1">
      <c r="A1370" s="388">
        <v>65</v>
      </c>
      <c r="B1370" s="158" t="s">
        <v>50</v>
      </c>
      <c r="C1370" s="160" t="s">
        <v>747</v>
      </c>
      <c r="D1370" s="161" t="s">
        <v>745</v>
      </c>
      <c r="E1370" s="162">
        <v>1619.95</v>
      </c>
      <c r="F1370" s="713" t="s">
        <v>1306</v>
      </c>
      <c r="G1370" s="357">
        <v>0</v>
      </c>
      <c r="H1370" s="748" t="str">
        <f t="shared" si="3390"/>
        <v/>
      </c>
      <c r="I1370" s="592">
        <f t="shared" si="3391"/>
        <v>0</v>
      </c>
      <c r="J1370" s="592">
        <f>IF(H1370="warranty",0,(I1370*($J$1782)))</f>
        <v>0</v>
      </c>
      <c r="K1370" s="834">
        <f t="shared" si="3392"/>
        <v>0</v>
      </c>
      <c r="L1370" s="834"/>
      <c r="M1370" s="832" t="str">
        <f>IF($H$1784=0,"",IF(G1370=0,"",IF(F1370="Qty=",CONCATENATE("$",ROUND(K1370*(1-$H$1784),2)," with ",($H$1784*100),"% discount"),CONCATENATE("$",ROUND(K1370*(1-$H$1784),2)," with ",(($H$1784*100+F1370*100)-($H$1784*100*F1370)),IF(F1370&gt;0,"% discounts",IF($H$1781&gt;0,"% discounts","% discount"))))))</f>
        <v/>
      </c>
      <c r="N1370" s="832"/>
      <c r="O1370" s="832"/>
      <c r="P1370" s="832"/>
      <c r="Q1370" s="832"/>
      <c r="R1370" s="832"/>
      <c r="S1370" s="303">
        <f t="shared" si="3393"/>
        <v>0</v>
      </c>
      <c r="T1370" s="541">
        <f>VLOOKUP(A1370,'Discount Lookup'!D:E,2,FALSE)*G1370</f>
        <v>0</v>
      </c>
      <c r="U1370" s="83">
        <f>VLOOKUP(A1370,'Discount Lookup'!G:H,2,FALSE)*G1370</f>
        <v>0</v>
      </c>
      <c r="V1370" s="100">
        <f>E1370*($J$1782)*G1370</f>
        <v>0</v>
      </c>
      <c r="W1370" s="100">
        <f t="shared" si="3394"/>
        <v>0</v>
      </c>
      <c r="X1370" s="100" t="b">
        <f>IF(G1370&gt;0,IF(AD1370="me","",G1370))</f>
        <v>0</v>
      </c>
      <c r="Y1370" s="201"/>
      <c r="Z1370" s="829" t="str">
        <f t="shared" si="3301"/>
        <v/>
      </c>
      <c r="AA1370" s="829"/>
      <c r="AB1370" s="830" t="str">
        <f>IF(G1370=0,"",IF(AD1370="free","re-planting",IF(AD1370="me","not NVP, by",IF($AD$8="yes",(VLOOKUP(A1370,'Discount Lookup'!J:K,2)*G1370*(1-$AC$1786)*(1+$AC$1788)),IF(AD1370="NVP",(VLOOKUP(A1370,'Discount Lookup'!J:K,2)*G1370*(1-$AC$1786)*(1+$AC$1788)),IF(AD1370="free","re-planting",IF(G1370=0,"",IF($AD$8="",IF(AD1370="me","not NVP, by",IF(AD1370="",IF(G1370&gt;0,(VLOOKUP(A1370,'Discount Lookup'!J:K,2)*G1370*(1-$AC$1786)*(1+$AC$1788)),""),"")),"not NVP, by"))))))))</f>
        <v/>
      </c>
      <c r="AC1370" s="830"/>
      <c r="AD1370" s="375" t="str">
        <f t="shared" si="3322"/>
        <v/>
      </c>
      <c r="AE1370" s="833" t="str">
        <f t="shared" si="3277"/>
        <v/>
      </c>
      <c r="AF1370" s="833"/>
      <c r="AG1370" s="833"/>
      <c r="AH1370" s="91">
        <f>IF(AD1370="free",0,IF(AD1370="me",0,IF(G1370&gt;0,(VLOOKUP(A1370,'Discount Lookup'!J:K,2)*G1370),0)))</f>
        <v>0</v>
      </c>
      <c r="AI1370" s="92" t="str">
        <f t="shared" si="3371"/>
        <v/>
      </c>
      <c r="AJ1370" s="828" t="str">
        <f t="shared" si="3302"/>
        <v/>
      </c>
      <c r="AK1370" s="828"/>
      <c r="AL1370" s="313" t="str">
        <f t="shared" si="3356"/>
        <v/>
      </c>
      <c r="AM1370" s="312"/>
      <c r="AN1370" s="101"/>
      <c r="AO1370" s="101"/>
      <c r="AP1370" s="101"/>
      <c r="AQ1370" s="101"/>
      <c r="AR1370" s="101"/>
      <c r="AS1370" s="101"/>
      <c r="AT1370" s="101"/>
    </row>
    <row r="1371" spans="1:46" ht="12.95" customHeight="1">
      <c r="A1371" s="490"/>
      <c r="B1371" s="198" t="s">
        <v>748</v>
      </c>
      <c r="C1371" s="117"/>
      <c r="D1371" s="118"/>
      <c r="E1371" s="119"/>
      <c r="F1371" s="711"/>
      <c r="G1371" s="356"/>
      <c r="H1371" s="745"/>
      <c r="I1371" s="119"/>
      <c r="J1371" s="119"/>
      <c r="K1371" s="609"/>
      <c r="L1371" s="609"/>
      <c r="M1371" s="121"/>
      <c r="N1371" s="121"/>
      <c r="O1371" s="123">
        <f>VLOOKUP(A1371,'Discount Lookup'!D:E,2,FALSE)*G1371</f>
        <v>0</v>
      </c>
      <c r="P1371" s="124">
        <f>VLOOKUP(A1371,'Discount Lookup'!G:H,2,FALSE)*G1371</f>
        <v>0</v>
      </c>
      <c r="W1371" s="286"/>
      <c r="X1371" s="286"/>
      <c r="Y1371" s="794"/>
      <c r="Z1371" s="829" t="str">
        <f t="shared" si="3301"/>
        <v/>
      </c>
      <c r="AA1371" s="829"/>
      <c r="AB1371" s="830" t="str">
        <f>IF(G1371=0,"",IF(AD1371="free","re-planting",IF(AD1371="me","not NVP, by",IF($AD$8="yes",(VLOOKUP(A1371,'Discount Lookup'!J:K,2)*G1371*(1-$AC$1786)*(1+$AC$1788)),IF(AD1371="NVP",(VLOOKUP(A1371,'Discount Lookup'!J:K,2)*G1371*(1-$AC$1786)*(1+$AC$1788)),IF(AD1371="free","re-planting",IF(G1371=0,"",IF($AD$8="",IF(AD1371="me","not NVP, by",IF(AD1371="",IF(G1371&gt;0,(VLOOKUP(A1371,'Discount Lookup'!J:K,2)*G1371*(1-$AC$1786)*(1+$AC$1788)),""),"")),"not NVP, by"))))))))</f>
        <v/>
      </c>
      <c r="AC1371" s="830"/>
      <c r="AD1371" s="375" t="str">
        <f t="shared" si="3322"/>
        <v/>
      </c>
      <c r="AE1371" s="833" t="str">
        <f t="shared" si="3277"/>
        <v/>
      </c>
      <c r="AF1371" s="833"/>
      <c r="AG1371" s="833"/>
      <c r="AH1371" s="91">
        <f>IF(AD1371="free",0,IF(AD1371="me",0,IF(G1371&gt;0,(VLOOKUP(A1371,'Discount Lookup'!J:K,2)*G1371),0)))</f>
        <v>0</v>
      </c>
      <c r="AI1371" s="92" t="str">
        <f t="shared" si="3371"/>
        <v/>
      </c>
      <c r="AJ1371" s="828" t="str">
        <f t="shared" si="3302"/>
        <v/>
      </c>
      <c r="AK1371" s="828"/>
      <c r="AL1371" s="313" t="str">
        <f t="shared" si="3356"/>
        <v/>
      </c>
      <c r="AM1371" s="312"/>
      <c r="AN1371" s="101"/>
      <c r="AO1371" s="101"/>
      <c r="AP1371" s="101"/>
      <c r="AQ1371" s="101"/>
      <c r="AR1371" s="101"/>
      <c r="AS1371" s="101"/>
      <c r="AT1371" s="101"/>
    </row>
    <row r="1372" spans="1:46" ht="12.95" customHeight="1">
      <c r="A1372" s="913" t="s">
        <v>749</v>
      </c>
      <c r="B1372" s="895"/>
      <c r="C1372" s="895"/>
      <c r="D1372" s="895"/>
      <c r="E1372" s="895"/>
      <c r="F1372" s="895"/>
      <c r="G1372" s="895"/>
      <c r="H1372" s="775" t="s">
        <v>643</v>
      </c>
      <c r="I1372" s="164" t="s">
        <v>79</v>
      </c>
      <c r="J1372" s="157"/>
      <c r="K1372" s="611" t="s">
        <v>45</v>
      </c>
      <c r="L1372" s="630" t="s">
        <v>46</v>
      </c>
      <c r="M1372" s="157"/>
      <c r="N1372" s="158" t="s">
        <v>1615</v>
      </c>
      <c r="O1372" s="158"/>
      <c r="P1372" s="158"/>
      <c r="Q1372" s="804"/>
      <c r="R1372" s="157"/>
      <c r="S1372" s="170"/>
      <c r="T1372" s="547"/>
      <c r="U1372" s="159"/>
      <c r="V1372" s="100" t="b">
        <f>IF(G1372&gt;0,IF(AD1372="me","",G1372))</f>
        <v>0</v>
      </c>
      <c r="W1372" s="100"/>
      <c r="X1372" s="100"/>
      <c r="Y1372" s="201"/>
      <c r="Z1372" s="829" t="str">
        <f t="shared" si="3301"/>
        <v/>
      </c>
      <c r="AA1372" s="829"/>
      <c r="AB1372" s="830" t="str">
        <f>IF(G1372=0,"",IF(AD1372="free","re-planting",IF(AD1372="me","not NVP, by",IF($AD$8="yes",(VLOOKUP(A1372,'Discount Lookup'!J:K,2)*G1372*(1-$AC$1786)*(1+$AC$1788)),IF(AD1372="NVP",(VLOOKUP(A1372,'Discount Lookup'!J:K,2)*G1372*(1-$AC$1786)*(1+$AC$1788)),IF(AD1372="free","re-planting",IF(G1372=0,"",IF($AD$8="",IF(AD1372="me","not NVP, by",IF(AD1372="",IF(G1372&gt;0,(VLOOKUP(A1372,'Discount Lookup'!J:K,2)*G1372*(1-$AC$1786)*(1+$AC$1788)),""),"")),"not NVP, by"))))))))</f>
        <v/>
      </c>
      <c r="AC1372" s="830"/>
      <c r="AD1372" s="375" t="str">
        <f t="shared" si="3322"/>
        <v/>
      </c>
      <c r="AE1372" s="833" t="str">
        <f t="shared" si="3277"/>
        <v/>
      </c>
      <c r="AF1372" s="833"/>
      <c r="AG1372" s="833"/>
      <c r="AH1372" s="91">
        <f>IF(AD1372="free",0,IF(AD1372="me",0,IF(G1372&gt;0,(VLOOKUP(A1372,'Discount Lookup'!J:K,2)*G1372),0)))</f>
        <v>0</v>
      </c>
      <c r="AI1372" s="92" t="str">
        <f t="shared" si="3371"/>
        <v/>
      </c>
      <c r="AJ1372" s="828" t="str">
        <f t="shared" si="3302"/>
        <v/>
      </c>
      <c r="AK1372" s="828"/>
      <c r="AL1372" s="313" t="str">
        <f t="shared" si="3356"/>
        <v/>
      </c>
      <c r="AM1372" s="312"/>
      <c r="AN1372" s="101"/>
      <c r="AO1372" s="101"/>
      <c r="AP1372" s="101"/>
      <c r="AQ1372" s="101"/>
      <c r="AR1372" s="101"/>
      <c r="AS1372" s="101"/>
      <c r="AT1372" s="101"/>
    </row>
    <row r="1373" spans="1:46" ht="12.95" customHeight="1">
      <c r="A1373" s="388">
        <v>7</v>
      </c>
      <c r="B1373" s="158" t="s">
        <v>50</v>
      </c>
      <c r="C1373" s="160" t="s">
        <v>153</v>
      </c>
      <c r="D1373" s="161" t="s">
        <v>54</v>
      </c>
      <c r="E1373" s="162">
        <v>219.95</v>
      </c>
      <c r="F1373" s="713" t="s">
        <v>1306</v>
      </c>
      <c r="G1373" s="357">
        <v>0</v>
      </c>
      <c r="H1373" s="748" t="str">
        <f t="shared" ref="H1373:H1379" si="3395">IF(G1373=0,"",IF(F1373="Qty=",IF(G1373=1,"plant","plants"),IF(F1373&gt;0.0001,"warranty","Error")))</f>
        <v/>
      </c>
      <c r="I1373" s="592">
        <f t="shared" ref="I1373:I1379" si="3396">IF(F1373="Qty=",(E1373*G1373),((E1373*(1-F1373))*G1373))</f>
        <v>0</v>
      </c>
      <c r="J1373" s="592">
        <f t="shared" ref="J1373:J1379" si="3397">IF(H1373="warranty",0,(I1373*($J$1782)))</f>
        <v>0</v>
      </c>
      <c r="K1373" s="834">
        <f t="shared" ref="K1373:K1379" si="3398">I1373+J1373</f>
        <v>0</v>
      </c>
      <c r="L1373" s="834"/>
      <c r="M1373" s="832" t="str">
        <f t="shared" ref="M1373:M1379" si="3399">IF($H$1784=0,"",IF(G1373=0,"",IF(F1373="Qty=",CONCATENATE("$",ROUND(K1373*(1-$H$1784),2)," with ",($H$1784*100),"% discount"),CONCATENATE("$",ROUND(K1373*(1-$H$1784),2)," with ",(($H$1784*100+F1373*100)-($H$1784*100*F1373)),IF(F1373&gt;0,"% discounts",IF($H$1781&gt;0,"% discounts","% discount"))))))</f>
        <v/>
      </c>
      <c r="N1373" s="832"/>
      <c r="O1373" s="832"/>
      <c r="P1373" s="832"/>
      <c r="Q1373" s="832"/>
      <c r="R1373" s="832"/>
      <c r="S1373" s="303">
        <f t="shared" ref="S1373:S1379" si="3400">E1373*G1373</f>
        <v>0</v>
      </c>
      <c r="T1373" s="541">
        <f>VLOOKUP(A1373,'Discount Lookup'!D:E,2,FALSE)*G1373</f>
        <v>0</v>
      </c>
      <c r="U1373" s="83">
        <f>VLOOKUP(A1373,'Discount Lookup'!G:H,2,FALSE)*G1373</f>
        <v>0</v>
      </c>
      <c r="V1373" s="100">
        <f t="shared" ref="V1373:V1379" si="3401">E1373*($J$1782)*G1373</f>
        <v>0</v>
      </c>
      <c r="W1373" s="100">
        <f t="shared" ref="W1373:W1379" si="3402">I1373</f>
        <v>0</v>
      </c>
      <c r="X1373" s="100" t="b">
        <f t="shared" ref="X1373:X1379" si="3403">IF(G1373&gt;0,IF(AD1373="me","",G1373))</f>
        <v>0</v>
      </c>
      <c r="Y1373" s="201"/>
      <c r="Z1373" s="829" t="str">
        <f t="shared" si="3301"/>
        <v/>
      </c>
      <c r="AA1373" s="829"/>
      <c r="AB1373" s="830" t="str">
        <f>IF(G1373=0,"",IF(AD1373="free","re-planting",IF(AD1373="me","not NVP, by",IF($AD$8="yes",(VLOOKUP(A1373,'Discount Lookup'!J:K,2)*G1373*(1-$AC$1786)*(1+$AC$1788)),IF(AD1373="NVP",(VLOOKUP(A1373,'Discount Lookup'!J:K,2)*G1373*(1-$AC$1786)*(1+$AC$1788)),IF(AD1373="free","re-planting",IF(G1373=0,"",IF($AD$8="",IF(AD1373="me","not NVP, by",IF(AD1373="",IF(G1373&gt;0,(VLOOKUP(A1373,'Discount Lookup'!J:K,2)*G1373*(1-$AC$1786)*(1+$AC$1788)),""),"")),"not NVP, by"))))))))</f>
        <v/>
      </c>
      <c r="AC1373" s="830"/>
      <c r="AD1373" s="375" t="str">
        <f t="shared" si="3322"/>
        <v/>
      </c>
      <c r="AE1373" s="833" t="str">
        <f t="shared" si="3277"/>
        <v/>
      </c>
      <c r="AF1373" s="833"/>
      <c r="AG1373" s="833"/>
      <c r="AH1373" s="91">
        <f>IF(AD1373="free",0,IF(AD1373="me",0,IF(G1373&gt;0,(VLOOKUP(A1373,'Discount Lookup'!J:K,2)*G1373),0)))</f>
        <v>0</v>
      </c>
      <c r="AI1373" s="92" t="str">
        <f t="shared" si="3371"/>
        <v/>
      </c>
      <c r="AJ1373" s="828" t="str">
        <f t="shared" si="3302"/>
        <v/>
      </c>
      <c r="AK1373" s="828"/>
      <c r="AL1373" s="313" t="str">
        <f t="shared" si="3356"/>
        <v/>
      </c>
      <c r="AM1373" s="312"/>
      <c r="AN1373" s="101"/>
      <c r="AO1373" s="101"/>
      <c r="AP1373" s="101"/>
      <c r="AQ1373" s="101"/>
      <c r="AR1373" s="101"/>
      <c r="AS1373" s="101"/>
      <c r="AT1373" s="101"/>
    </row>
    <row r="1374" spans="1:46" ht="12.95" customHeight="1">
      <c r="A1374" s="388">
        <v>10</v>
      </c>
      <c r="B1374" s="158" t="s">
        <v>50</v>
      </c>
      <c r="C1374" s="160" t="s">
        <v>85</v>
      </c>
      <c r="D1374" s="161" t="s">
        <v>87</v>
      </c>
      <c r="E1374" s="162">
        <v>441.95</v>
      </c>
      <c r="F1374" s="713" t="s">
        <v>1306</v>
      </c>
      <c r="G1374" s="357">
        <v>0</v>
      </c>
      <c r="H1374" s="748" t="str">
        <f t="shared" si="3395"/>
        <v/>
      </c>
      <c r="I1374" s="592">
        <f t="shared" si="3396"/>
        <v>0</v>
      </c>
      <c r="J1374" s="592">
        <f t="shared" si="3397"/>
        <v>0</v>
      </c>
      <c r="K1374" s="834">
        <f t="shared" si="3398"/>
        <v>0</v>
      </c>
      <c r="L1374" s="834"/>
      <c r="M1374" s="832" t="str">
        <f t="shared" si="3399"/>
        <v/>
      </c>
      <c r="N1374" s="832"/>
      <c r="O1374" s="832"/>
      <c r="P1374" s="832"/>
      <c r="Q1374" s="832"/>
      <c r="R1374" s="832"/>
      <c r="S1374" s="303">
        <f t="shared" ref="S1374" si="3404">E1374*G1374</f>
        <v>0</v>
      </c>
      <c r="T1374" s="541">
        <f>VLOOKUP(A1374,'Discount Lookup'!D:E,2,FALSE)*G1374</f>
        <v>0</v>
      </c>
      <c r="U1374" s="83">
        <f>VLOOKUP(A1374,'Discount Lookup'!G:H,2,FALSE)*G1374</f>
        <v>0</v>
      </c>
      <c r="V1374" s="100">
        <f t="shared" si="3401"/>
        <v>0</v>
      </c>
      <c r="W1374" s="100">
        <f t="shared" ref="W1374" si="3405">I1374</f>
        <v>0</v>
      </c>
      <c r="X1374" s="100" t="b">
        <f t="shared" si="3403"/>
        <v>0</v>
      </c>
      <c r="Y1374" s="201"/>
      <c r="Z1374" s="829" t="str">
        <f t="shared" si="3301"/>
        <v/>
      </c>
      <c r="AA1374" s="829"/>
      <c r="AB1374" s="830" t="str">
        <f>IF(G1374=0,"",IF(AD1374="free","re-planting",IF(AD1374="me","not NVP, by",IF($AD$8="yes",(VLOOKUP(A1374,'Discount Lookup'!J:K,2)*G1374*(1-$AC$1786)*(1+$AC$1788)),IF(AD1374="NVP",(VLOOKUP(A1374,'Discount Lookup'!J:K,2)*G1374*(1-$AC$1786)*(1+$AC$1788)),IF(AD1374="free","re-planting",IF(G1374=0,"",IF($AD$8="",IF(AD1374="me","not NVP, by",IF(AD1374="",IF(G1374&gt;0,(VLOOKUP(A1374,'Discount Lookup'!J:K,2)*G1374*(1-$AC$1786)*(1+$AC$1788)),""),"")),"not NVP, by"))))))))</f>
        <v/>
      </c>
      <c r="AC1374" s="830"/>
      <c r="AD1374" s="375" t="str">
        <f t="shared" si="3322"/>
        <v/>
      </c>
      <c r="AE1374" s="833" t="str">
        <f t="shared" ref="AE1374" si="3406">IF(G1374&gt;0,(CONCATENATE((G1374)," quantity, ",(A1374)," ",B1374)),"")</f>
        <v/>
      </c>
      <c r="AF1374" s="833"/>
      <c r="AG1374" s="833"/>
      <c r="AH1374" s="91">
        <f>IF(AD1374="free",0,IF(AD1374="me",0,IF(G1374&gt;0,(VLOOKUP(A1374,'Discount Lookup'!J:K,2)*G1374),0)))</f>
        <v>0</v>
      </c>
      <c r="AI1374" s="92" t="str">
        <f t="shared" si="3371"/>
        <v/>
      </c>
      <c r="AJ1374" s="828" t="str">
        <f t="shared" si="3302"/>
        <v/>
      </c>
      <c r="AK1374" s="828"/>
      <c r="AL1374" s="313" t="str">
        <f t="shared" si="3356"/>
        <v/>
      </c>
      <c r="AM1374" s="312"/>
      <c r="AN1374" s="101"/>
      <c r="AO1374" s="101"/>
      <c r="AP1374" s="101"/>
      <c r="AQ1374" s="101"/>
      <c r="AR1374" s="101"/>
      <c r="AS1374" s="101"/>
      <c r="AT1374" s="101"/>
    </row>
    <row r="1375" spans="1:46" ht="12.95" customHeight="1">
      <c r="A1375" s="388">
        <v>10</v>
      </c>
      <c r="B1375" s="158" t="s">
        <v>50</v>
      </c>
      <c r="C1375" s="160" t="s">
        <v>1316</v>
      </c>
      <c r="D1375" s="161" t="s">
        <v>54</v>
      </c>
      <c r="E1375" s="162">
        <v>293.95</v>
      </c>
      <c r="F1375" s="713" t="s">
        <v>1306</v>
      </c>
      <c r="G1375" s="357">
        <v>0</v>
      </c>
      <c r="H1375" s="748" t="str">
        <f t="shared" ref="H1375" si="3407">IF(G1375=0,"",IF(F1375="Qty=",IF(G1375=1,"plant","plants"),IF(F1375&gt;0.0001,"warranty","Error")))</f>
        <v/>
      </c>
      <c r="I1375" s="592">
        <f t="shared" ref="I1375" si="3408">IF(F1375="Qty=",(E1375*G1375),((E1375*(1-F1375))*G1375))</f>
        <v>0</v>
      </c>
      <c r="J1375" s="592">
        <f t="shared" si="3397"/>
        <v>0</v>
      </c>
      <c r="K1375" s="834">
        <f t="shared" si="3398"/>
        <v>0</v>
      </c>
      <c r="L1375" s="834"/>
      <c r="M1375" s="832" t="str">
        <f t="shared" si="3399"/>
        <v/>
      </c>
      <c r="N1375" s="832"/>
      <c r="O1375" s="832"/>
      <c r="P1375" s="832"/>
      <c r="Q1375" s="832"/>
      <c r="R1375" s="832"/>
      <c r="S1375" s="303">
        <f t="shared" si="3400"/>
        <v>0</v>
      </c>
      <c r="T1375" s="541">
        <f>VLOOKUP(A1375,'Discount Lookup'!D:E,2,FALSE)*G1375</f>
        <v>0</v>
      </c>
      <c r="U1375" s="83">
        <f>VLOOKUP(A1375,'Discount Lookup'!G:H,2,FALSE)*G1375</f>
        <v>0</v>
      </c>
      <c r="V1375" s="100">
        <f t="shared" si="3401"/>
        <v>0</v>
      </c>
      <c r="W1375" s="100">
        <f t="shared" si="3402"/>
        <v>0</v>
      </c>
      <c r="X1375" s="100" t="b">
        <f t="shared" ref="X1375" si="3409">IF(G1375&gt;0,IF(AD1375="me","",G1375))</f>
        <v>0</v>
      </c>
      <c r="Y1375" s="201"/>
      <c r="Z1375" s="829" t="str">
        <f t="shared" ref="Z1375" si="3410">IF(G1375=0,"",IF(AD1375="me","",IF($AD$8="me","",IF(AD1375="free","warranty",IF($AD$8="yes","NVP planting:","to NVP install:")))))</f>
        <v/>
      </c>
      <c r="AA1375" s="829"/>
      <c r="AB1375" s="830" t="str">
        <f>IF(G1375=0,"",IF(AD1375="free","re-planting",IF(AD1375="me","not NVP, by",IF($AD$8="yes",(VLOOKUP(A1375,'Discount Lookup'!J:K,2)*G1375*(1-$AC$1786)*(1+$AC$1788)),IF(AD1375="NVP",(VLOOKUP(A1375,'Discount Lookup'!J:K,2)*G1375*(1-$AC$1786)*(1+$AC$1788)),IF(AD1375="free","re-planting",IF(G1375=0,"",IF($AD$8="",IF(AD1375="me","not NVP, by",IF(AD1375="",IF(G1375&gt;0,(VLOOKUP(A1375,'Discount Lookup'!J:K,2)*G1375*(1-$AC$1786)*(1+$AC$1788)),""),"")),"not NVP, by"))))))))</f>
        <v/>
      </c>
      <c r="AC1375" s="830"/>
      <c r="AD1375" s="375" t="str">
        <f t="shared" si="3322"/>
        <v/>
      </c>
      <c r="AE1375" s="833" t="str">
        <f t="shared" si="3277"/>
        <v/>
      </c>
      <c r="AF1375" s="833"/>
      <c r="AG1375" s="833"/>
      <c r="AH1375" s="91">
        <f>IF(AD1375="free",0,IF(AD1375="me",0,IF(G1375&gt;0,(VLOOKUP(A1375,'Discount Lookup'!J:K,2)*G1375),0)))</f>
        <v>0</v>
      </c>
      <c r="AI1375" s="92" t="str">
        <f t="shared" si="3371"/>
        <v/>
      </c>
      <c r="AJ1375" s="828" t="str">
        <f t="shared" ref="AJ1375" si="3411">IF(G1375=0,"",IF(AD1375="me","  delivery-only",IF($AD$8="me","  delivery-only",CONCATENATE(" $",ROUND(AI1375/G1375,2)," each"))))</f>
        <v/>
      </c>
      <c r="AK1375" s="828"/>
      <c r="AL1375" s="313" t="str">
        <f t="shared" si="3356"/>
        <v/>
      </c>
      <c r="AM1375" s="312"/>
      <c r="AN1375" s="101"/>
      <c r="AO1375" s="101"/>
      <c r="AP1375" s="101"/>
      <c r="AQ1375" s="101"/>
      <c r="AR1375" s="101"/>
      <c r="AS1375" s="101"/>
      <c r="AT1375" s="101"/>
    </row>
    <row r="1376" spans="1:46" ht="12.95" customHeight="1">
      <c r="A1376" s="388">
        <v>15</v>
      </c>
      <c r="B1376" s="158" t="s">
        <v>50</v>
      </c>
      <c r="C1376" s="160" t="s">
        <v>1286</v>
      </c>
      <c r="D1376" s="161" t="s">
        <v>54</v>
      </c>
      <c r="E1376" s="162">
        <v>399.95</v>
      </c>
      <c r="F1376" s="713" t="s">
        <v>1306</v>
      </c>
      <c r="G1376" s="357">
        <v>0</v>
      </c>
      <c r="H1376" s="748" t="str">
        <f t="shared" si="3395"/>
        <v/>
      </c>
      <c r="I1376" s="592">
        <f t="shared" si="3396"/>
        <v>0</v>
      </c>
      <c r="J1376" s="592">
        <f t="shared" si="3397"/>
        <v>0</v>
      </c>
      <c r="K1376" s="834">
        <f t="shared" si="3398"/>
        <v>0</v>
      </c>
      <c r="L1376" s="834"/>
      <c r="M1376" s="832" t="str">
        <f t="shared" si="3399"/>
        <v/>
      </c>
      <c r="N1376" s="832"/>
      <c r="O1376" s="832"/>
      <c r="P1376" s="832"/>
      <c r="Q1376" s="832"/>
      <c r="R1376" s="832"/>
      <c r="S1376" s="303">
        <f t="shared" ref="S1376" si="3412">E1376*G1376</f>
        <v>0</v>
      </c>
      <c r="T1376" s="541">
        <f>VLOOKUP(A1376,'Discount Lookup'!D:E,2,FALSE)*G1376</f>
        <v>0</v>
      </c>
      <c r="U1376" s="83">
        <f>VLOOKUP(A1376,'Discount Lookup'!G:H,2,FALSE)*G1376</f>
        <v>0</v>
      </c>
      <c r="V1376" s="100">
        <f t="shared" si="3401"/>
        <v>0</v>
      </c>
      <c r="W1376" s="100">
        <f t="shared" ref="W1376" si="3413">I1376</f>
        <v>0</v>
      </c>
      <c r="X1376" s="100" t="b">
        <f t="shared" si="3403"/>
        <v>0</v>
      </c>
      <c r="Y1376" s="201"/>
      <c r="Z1376" s="829" t="str">
        <f t="shared" si="3301"/>
        <v/>
      </c>
      <c r="AA1376" s="829"/>
      <c r="AB1376" s="830" t="str">
        <f>IF(G1376=0,"",IF(AD1376="free","re-planting",IF(AD1376="me","not NVP, by",IF($AD$8="yes",(VLOOKUP(A1376,'Discount Lookup'!J:K,2)*G1376*(1-$AC$1786)*(1+$AC$1788)),IF(AD1376="NVP",(VLOOKUP(A1376,'Discount Lookup'!J:K,2)*G1376*(1-$AC$1786)*(1+$AC$1788)),IF(AD1376="free","re-planting",IF(G1376=0,"",IF($AD$8="",IF(AD1376="me","not NVP, by",IF(AD1376="",IF(G1376&gt;0,(VLOOKUP(A1376,'Discount Lookup'!J:K,2)*G1376*(1-$AC$1786)*(1+$AC$1788)),""),"")),"not NVP, by"))))))))</f>
        <v/>
      </c>
      <c r="AC1376" s="830"/>
      <c r="AD1376" s="375" t="str">
        <f t="shared" si="3322"/>
        <v/>
      </c>
      <c r="AE1376" s="833" t="str">
        <f t="shared" ref="AE1376" si="3414">IF(G1376&gt;0,(CONCATENATE((G1376)," quantity, ",(A1376)," ",B1376)),"")</f>
        <v/>
      </c>
      <c r="AF1376" s="833"/>
      <c r="AG1376" s="833"/>
      <c r="AH1376" s="91">
        <f>IF(AD1376="free",0,IF(AD1376="me",0,IF(G1376&gt;0,(VLOOKUP(A1376,'Discount Lookup'!J:K,2)*G1376),0)))</f>
        <v>0</v>
      </c>
      <c r="AI1376" s="92" t="str">
        <f t="shared" si="3371"/>
        <v/>
      </c>
      <c r="AJ1376" s="828" t="str">
        <f t="shared" si="3302"/>
        <v/>
      </c>
      <c r="AK1376" s="828"/>
      <c r="AL1376" s="313" t="str">
        <f t="shared" si="3356"/>
        <v/>
      </c>
      <c r="AM1376" s="312"/>
      <c r="AN1376" s="101"/>
      <c r="AO1376" s="101"/>
      <c r="AP1376" s="101"/>
      <c r="AQ1376" s="101"/>
      <c r="AR1376" s="101"/>
      <c r="AS1376" s="101"/>
      <c r="AT1376" s="101"/>
    </row>
    <row r="1377" spans="1:46" ht="12.95" customHeight="1">
      <c r="A1377" s="388">
        <v>15</v>
      </c>
      <c r="B1377" s="158" t="s">
        <v>50</v>
      </c>
      <c r="C1377" s="160" t="s">
        <v>1521</v>
      </c>
      <c r="D1377" s="161" t="s">
        <v>90</v>
      </c>
      <c r="E1377" s="162">
        <v>620.95000000000005</v>
      </c>
      <c r="F1377" s="713" t="s">
        <v>1306</v>
      </c>
      <c r="G1377" s="357">
        <v>0</v>
      </c>
      <c r="H1377" s="748" t="str">
        <f t="shared" si="3395"/>
        <v/>
      </c>
      <c r="I1377" s="592">
        <f t="shared" si="3396"/>
        <v>0</v>
      </c>
      <c r="J1377" s="592">
        <f t="shared" si="3397"/>
        <v>0</v>
      </c>
      <c r="K1377" s="834">
        <f t="shared" si="3398"/>
        <v>0</v>
      </c>
      <c r="L1377" s="834"/>
      <c r="M1377" s="832" t="str">
        <f t="shared" si="3399"/>
        <v/>
      </c>
      <c r="N1377" s="832"/>
      <c r="O1377" s="832"/>
      <c r="P1377" s="832"/>
      <c r="Q1377" s="832"/>
      <c r="R1377" s="832"/>
      <c r="S1377" s="303">
        <f t="shared" si="3400"/>
        <v>0</v>
      </c>
      <c r="T1377" s="541">
        <f>VLOOKUP(A1377,'Discount Lookup'!D:E,2,FALSE)*G1377</f>
        <v>0</v>
      </c>
      <c r="U1377" s="83">
        <f>VLOOKUP(A1377,'Discount Lookup'!G:H,2,FALSE)*G1377</f>
        <v>0</v>
      </c>
      <c r="V1377" s="100">
        <f t="shared" si="3401"/>
        <v>0</v>
      </c>
      <c r="W1377" s="100">
        <f t="shared" si="3402"/>
        <v>0</v>
      </c>
      <c r="X1377" s="100" t="b">
        <f t="shared" si="3403"/>
        <v>0</v>
      </c>
      <c r="Y1377" s="201"/>
      <c r="Z1377" s="829" t="str">
        <f t="shared" si="3301"/>
        <v/>
      </c>
      <c r="AA1377" s="829"/>
      <c r="AB1377" s="830" t="str">
        <f>IF(G1377=0,"",IF(AD1377="free","re-planting",IF(AD1377="me","not NVP, by",IF($AD$8="yes",(VLOOKUP(A1377,'Discount Lookup'!J:K,2)*G1377*(1-$AC$1786)*(1+$AC$1788)),IF(AD1377="NVP",(VLOOKUP(A1377,'Discount Lookup'!J:K,2)*G1377*(1-$AC$1786)*(1+$AC$1788)),IF(AD1377="free","re-planting",IF(G1377=0,"",IF($AD$8="",IF(AD1377="me","not NVP, by",IF(AD1377="",IF(G1377&gt;0,(VLOOKUP(A1377,'Discount Lookup'!J:K,2)*G1377*(1-$AC$1786)*(1+$AC$1788)),""),"")),"not NVP, by"))))))))</f>
        <v/>
      </c>
      <c r="AC1377" s="830"/>
      <c r="AD1377" s="375" t="str">
        <f t="shared" si="3322"/>
        <v/>
      </c>
      <c r="AE1377" s="833" t="str">
        <f t="shared" si="3277"/>
        <v/>
      </c>
      <c r="AF1377" s="833"/>
      <c r="AG1377" s="833"/>
      <c r="AH1377" s="91">
        <f>IF(AD1377="free",0,IF(AD1377="me",0,IF(G1377&gt;0,(VLOOKUP(A1377,'Discount Lookup'!J:K,2)*G1377),0)))</f>
        <v>0</v>
      </c>
      <c r="AI1377" s="92" t="str">
        <f t="shared" si="3371"/>
        <v/>
      </c>
      <c r="AJ1377" s="828" t="str">
        <f t="shared" si="3302"/>
        <v/>
      </c>
      <c r="AK1377" s="828"/>
      <c r="AL1377" s="313" t="str">
        <f t="shared" si="3356"/>
        <v/>
      </c>
      <c r="AM1377" s="312"/>
      <c r="AN1377" s="101"/>
      <c r="AO1377" s="101"/>
      <c r="AP1377" s="101"/>
      <c r="AQ1377" s="101"/>
      <c r="AR1377" s="101"/>
      <c r="AS1377" s="101"/>
      <c r="AT1377" s="101"/>
    </row>
    <row r="1378" spans="1:46" ht="12.95" customHeight="1">
      <c r="A1378" s="388">
        <v>25</v>
      </c>
      <c r="B1378" s="158" t="s">
        <v>50</v>
      </c>
      <c r="C1378" s="160" t="s">
        <v>1287</v>
      </c>
      <c r="D1378" s="161" t="s">
        <v>54</v>
      </c>
      <c r="E1378" s="162">
        <v>790.95</v>
      </c>
      <c r="F1378" s="713" t="s">
        <v>1306</v>
      </c>
      <c r="G1378" s="357">
        <v>0</v>
      </c>
      <c r="H1378" s="748" t="str">
        <f t="shared" si="3395"/>
        <v/>
      </c>
      <c r="I1378" s="592">
        <f t="shared" si="3396"/>
        <v>0</v>
      </c>
      <c r="J1378" s="592">
        <f t="shared" si="3397"/>
        <v>0</v>
      </c>
      <c r="K1378" s="834">
        <f t="shared" si="3398"/>
        <v>0</v>
      </c>
      <c r="L1378" s="834"/>
      <c r="M1378" s="832" t="str">
        <f t="shared" si="3399"/>
        <v/>
      </c>
      <c r="N1378" s="832"/>
      <c r="O1378" s="832"/>
      <c r="P1378" s="832"/>
      <c r="Q1378" s="832"/>
      <c r="R1378" s="832"/>
      <c r="S1378" s="303">
        <f t="shared" ref="S1378" si="3415">E1378*G1378</f>
        <v>0</v>
      </c>
      <c r="T1378" s="541">
        <f>VLOOKUP(A1378,'Discount Lookup'!D:E,2,FALSE)*G1378</f>
        <v>0</v>
      </c>
      <c r="U1378" s="83">
        <f>VLOOKUP(A1378,'Discount Lookup'!G:H,2,FALSE)*G1378</f>
        <v>0</v>
      </c>
      <c r="V1378" s="100">
        <f t="shared" si="3401"/>
        <v>0</v>
      </c>
      <c r="W1378" s="100">
        <f t="shared" ref="W1378" si="3416">I1378</f>
        <v>0</v>
      </c>
      <c r="X1378" s="100" t="b">
        <f t="shared" si="3403"/>
        <v>0</v>
      </c>
      <c r="Y1378" s="201"/>
      <c r="Z1378" s="829" t="str">
        <f t="shared" si="3301"/>
        <v/>
      </c>
      <c r="AA1378" s="829"/>
      <c r="AB1378" s="830" t="str">
        <f>IF(G1378=0,"",IF(AD1378="free","re-planting",IF(AD1378="me","not NVP, by",IF($AD$8="yes",(VLOOKUP(A1378,'Discount Lookup'!J:K,2)*G1378*(1-$AC$1786)*(1+$AC$1788)),IF(AD1378="NVP",(VLOOKUP(A1378,'Discount Lookup'!J:K,2)*G1378*(1-$AC$1786)*(1+$AC$1788)),IF(AD1378="free","re-planting",IF(G1378=0,"",IF($AD$8="",IF(AD1378="me","not NVP, by",IF(AD1378="",IF(G1378&gt;0,(VLOOKUP(A1378,'Discount Lookup'!J:K,2)*G1378*(1-$AC$1786)*(1+$AC$1788)),""),"")),"not NVP, by"))))))))</f>
        <v/>
      </c>
      <c r="AC1378" s="830"/>
      <c r="AD1378" s="375" t="str">
        <f t="shared" si="3322"/>
        <v/>
      </c>
      <c r="AE1378" s="833" t="str">
        <f t="shared" ref="AE1378" si="3417">IF(G1378&gt;0,(CONCATENATE((G1378)," quantity, ",(A1378)," ",B1378)),"")</f>
        <v/>
      </c>
      <c r="AF1378" s="833"/>
      <c r="AG1378" s="833"/>
      <c r="AH1378" s="91">
        <f>IF(AD1378="free",0,IF(AD1378="me",0,IF(G1378&gt;0,(VLOOKUP(A1378,'Discount Lookup'!J:K,2)*G1378),0)))</f>
        <v>0</v>
      </c>
      <c r="AI1378" s="92" t="str">
        <f t="shared" si="3371"/>
        <v/>
      </c>
      <c r="AJ1378" s="828" t="str">
        <f t="shared" si="3302"/>
        <v/>
      </c>
      <c r="AK1378" s="828"/>
      <c r="AL1378" s="313" t="str">
        <f t="shared" si="3356"/>
        <v/>
      </c>
      <c r="AM1378" s="312"/>
      <c r="AN1378" s="101"/>
      <c r="AO1378" s="101"/>
      <c r="AP1378" s="101"/>
      <c r="AQ1378" s="101"/>
      <c r="AR1378" s="101"/>
      <c r="AS1378" s="101"/>
      <c r="AT1378" s="101"/>
    </row>
    <row r="1379" spans="1:46" ht="12.95" customHeight="1">
      <c r="A1379" s="388">
        <v>45</v>
      </c>
      <c r="B1379" s="158" t="s">
        <v>50</v>
      </c>
      <c r="C1379" s="160" t="s">
        <v>1433</v>
      </c>
      <c r="D1379" s="161" t="s">
        <v>90</v>
      </c>
      <c r="E1379" s="162">
        <v>1478.95</v>
      </c>
      <c r="F1379" s="713" t="s">
        <v>1306</v>
      </c>
      <c r="G1379" s="357">
        <v>0</v>
      </c>
      <c r="H1379" s="748" t="str">
        <f t="shared" si="3395"/>
        <v/>
      </c>
      <c r="I1379" s="592">
        <f t="shared" si="3396"/>
        <v>0</v>
      </c>
      <c r="J1379" s="592">
        <f t="shared" si="3397"/>
        <v>0</v>
      </c>
      <c r="K1379" s="834">
        <f t="shared" si="3398"/>
        <v>0</v>
      </c>
      <c r="L1379" s="834"/>
      <c r="M1379" s="832" t="str">
        <f t="shared" si="3399"/>
        <v/>
      </c>
      <c r="N1379" s="832"/>
      <c r="O1379" s="832"/>
      <c r="P1379" s="832"/>
      <c r="Q1379" s="832"/>
      <c r="R1379" s="832"/>
      <c r="S1379" s="303">
        <f t="shared" si="3400"/>
        <v>0</v>
      </c>
      <c r="T1379" s="541">
        <f>VLOOKUP(A1379,'Discount Lookup'!D:E,2,FALSE)*G1379</f>
        <v>0</v>
      </c>
      <c r="U1379" s="83">
        <f>VLOOKUP(A1379,'Discount Lookup'!G:H,2,FALSE)*G1379</f>
        <v>0</v>
      </c>
      <c r="V1379" s="100">
        <f t="shared" si="3401"/>
        <v>0</v>
      </c>
      <c r="W1379" s="100">
        <f t="shared" si="3402"/>
        <v>0</v>
      </c>
      <c r="X1379" s="100" t="b">
        <f t="shared" si="3403"/>
        <v>0</v>
      </c>
      <c r="Y1379" s="201"/>
      <c r="Z1379" s="829" t="str">
        <f t="shared" si="3301"/>
        <v/>
      </c>
      <c r="AA1379" s="829"/>
      <c r="AB1379" s="830" t="str">
        <f>IF(G1379=0,"",IF(AD1379="free","re-planting",IF(AD1379="me","not NVP, by",IF($AD$8="yes",(VLOOKUP(A1379,'Discount Lookup'!J:K,2)*G1379*(1-$AC$1786)*(1+$AC$1788)),IF(AD1379="NVP",(VLOOKUP(A1379,'Discount Lookup'!J:K,2)*G1379*(1-$AC$1786)*(1+$AC$1788)),IF(AD1379="free","re-planting",IF(G1379=0,"",IF($AD$8="",IF(AD1379="me","not NVP, by",IF(AD1379="",IF(G1379&gt;0,(VLOOKUP(A1379,'Discount Lookup'!J:K,2)*G1379*(1-$AC$1786)*(1+$AC$1788)),""),"")),"not NVP, by"))))))))</f>
        <v/>
      </c>
      <c r="AC1379" s="830"/>
      <c r="AD1379" s="375" t="str">
        <f t="shared" si="3322"/>
        <v/>
      </c>
      <c r="AE1379" s="833" t="str">
        <f t="shared" si="3277"/>
        <v/>
      </c>
      <c r="AF1379" s="833"/>
      <c r="AG1379" s="833"/>
      <c r="AH1379" s="91">
        <f>IF(AD1379="free",0,IF(AD1379="me",0,IF(G1379&gt;0,(VLOOKUP(A1379,'Discount Lookup'!J:K,2)*G1379),0)))</f>
        <v>0</v>
      </c>
      <c r="AI1379" s="92" t="str">
        <f t="shared" si="3371"/>
        <v/>
      </c>
      <c r="AJ1379" s="828" t="str">
        <f t="shared" si="3302"/>
        <v/>
      </c>
      <c r="AK1379" s="828"/>
      <c r="AL1379" s="313" t="str">
        <f t="shared" si="3356"/>
        <v/>
      </c>
      <c r="AM1379" s="312"/>
      <c r="AN1379" s="101"/>
      <c r="AO1379" s="101"/>
      <c r="AP1379" s="101"/>
      <c r="AQ1379" s="101"/>
      <c r="AR1379" s="101"/>
      <c r="AS1379" s="101"/>
      <c r="AT1379" s="101"/>
    </row>
    <row r="1380" spans="1:46" ht="12.95" customHeight="1">
      <c r="A1380" s="490"/>
      <c r="B1380" s="198" t="s">
        <v>750</v>
      </c>
      <c r="C1380" s="179"/>
      <c r="D1380" s="179"/>
      <c r="E1380" s="138"/>
      <c r="F1380" s="387"/>
      <c r="G1380" s="387"/>
      <c r="H1380" s="387"/>
      <c r="I1380" s="138"/>
      <c r="J1380" s="138"/>
      <c r="K1380" s="138"/>
      <c r="L1380" s="138"/>
      <c r="M1380" s="48"/>
      <c r="N1380" s="203"/>
      <c r="O1380" s="111"/>
      <c r="P1380" s="111"/>
      <c r="Q1380" s="841"/>
      <c r="R1380" s="841"/>
      <c r="S1380" s="841"/>
      <c r="T1380" s="841"/>
      <c r="U1380" s="841"/>
      <c r="V1380" s="841"/>
      <c r="W1380" s="286"/>
      <c r="X1380" s="286"/>
      <c r="Y1380" s="794"/>
      <c r="Z1380" s="829" t="str">
        <f t="shared" si="3301"/>
        <v/>
      </c>
      <c r="AA1380" s="829"/>
      <c r="AB1380" s="830" t="str">
        <f>IF(G1380=0,"",IF(AD1380="free","re-planting",IF(AD1380="me","not NVP, by",IF($AD$8="yes",(VLOOKUP(A1380,'Discount Lookup'!J:K,2)*G1380*(1-$AC$1786)*(1+$AC$1788)),IF(AD1380="NVP",(VLOOKUP(A1380,'Discount Lookup'!J:K,2)*G1380*(1-$AC$1786)*(1+$AC$1788)),IF(AD1380="free","re-planting",IF(G1380=0,"",IF($AD$8="",IF(AD1380="me","not NVP, by",IF(AD1380="",IF(G1380&gt;0,(VLOOKUP(A1380,'Discount Lookup'!J:K,2)*G1380*(1-$AC$1786)*(1+$AC$1788)),""),"")),"not NVP, by"))))))))</f>
        <v/>
      </c>
      <c r="AC1380" s="830"/>
      <c r="AD1380" s="375" t="str">
        <f t="shared" si="3322"/>
        <v/>
      </c>
      <c r="AE1380" s="833" t="str">
        <f t="shared" si="3277"/>
        <v/>
      </c>
      <c r="AF1380" s="833"/>
      <c r="AG1380" s="833"/>
      <c r="AH1380" s="91">
        <f>IF(AD1380="free",0,IF(AD1380="me",0,IF(G1380&gt;0,(VLOOKUP(A1380,'Discount Lookup'!J:K,2)*G1380),0)))</f>
        <v>0</v>
      </c>
      <c r="AI1380" s="92" t="str">
        <f t="shared" si="3371"/>
        <v/>
      </c>
      <c r="AJ1380" s="828" t="str">
        <f t="shared" si="3302"/>
        <v/>
      </c>
      <c r="AK1380" s="828"/>
      <c r="AL1380" s="313" t="str">
        <f t="shared" si="3356"/>
        <v/>
      </c>
      <c r="AM1380" s="312"/>
      <c r="AN1380" s="101"/>
      <c r="AO1380" s="101"/>
      <c r="AP1380" s="101"/>
      <c r="AQ1380" s="101"/>
      <c r="AR1380" s="101"/>
      <c r="AS1380" s="101"/>
      <c r="AT1380" s="101"/>
    </row>
    <row r="1381" spans="1:46" ht="12.95" customHeight="1">
      <c r="A1381" s="913" t="s">
        <v>751</v>
      </c>
      <c r="B1381" s="895"/>
      <c r="C1381" s="895"/>
      <c r="D1381" s="895"/>
      <c r="E1381" s="895"/>
      <c r="F1381" s="895"/>
      <c r="G1381" s="895"/>
      <c r="H1381" s="775" t="s">
        <v>649</v>
      </c>
      <c r="I1381" s="164" t="s">
        <v>79</v>
      </c>
      <c r="J1381" s="157"/>
      <c r="K1381" s="611" t="s">
        <v>45</v>
      </c>
      <c r="L1381" s="630" t="s">
        <v>46</v>
      </c>
      <c r="M1381" s="167"/>
      <c r="N1381" s="352" t="s">
        <v>75</v>
      </c>
      <c r="O1381" s="158"/>
      <c r="P1381" s="158"/>
      <c r="Q1381" s="158"/>
      <c r="R1381" s="835" t="s">
        <v>49</v>
      </c>
      <c r="S1381" s="835"/>
      <c r="T1381" s="835"/>
      <c r="U1381" s="835"/>
      <c r="V1381" s="100" t="b">
        <f>IF(G1381&gt;0,IF(AD1381="me","",G1381))</f>
        <v>0</v>
      </c>
      <c r="W1381" s="100"/>
      <c r="X1381" s="100"/>
      <c r="Y1381" s="790"/>
      <c r="Z1381" s="829" t="str">
        <f>IF(G1381=0,"",IF(AD1381="me","",IF($AD$8="me","",IF(AD1381="free","warranty",IF($AD$8="yes","NVP planting:","to NVP install:")))))</f>
        <v/>
      </c>
      <c r="AA1381" s="829"/>
      <c r="AB1381" s="830" t="str">
        <f>IF(G1381=0,"",IF(AD1381="free","re-planting",IF(AD1381="me","not NVP, by",IF($AD$8="yes",(VLOOKUP(A1381,'Discount Lookup'!J:K,2)*G1381*(1-$AC$1786)*(1+$AC$1788)),IF(AD1381="NVP",(VLOOKUP(A1381,'Discount Lookup'!J:K,2)*G1381*(1-$AC$1786)*(1+$AC$1788)),IF(AD1381="free","re-planting",IF(G1381=0,"",IF($AD$8="",IF(AD1381="me","not NVP, by",IF(AD1381="",IF(G1381&gt;0,(VLOOKUP(A1381,'Discount Lookup'!J:K,2)*G1381*(1-$AC$1786)*(1+$AC$1788)),""),"")),"not NVP, by"))))))))</f>
        <v/>
      </c>
      <c r="AC1381" s="830"/>
      <c r="AD1381" s="375" t="str">
        <f>IF(G1381=0,"",IF($AD$8="me","me",IF(H1381="warranty","free",IF($AD$8="yes","NVP",""))))</f>
        <v/>
      </c>
      <c r="AE1381" s="833" t="str">
        <f t="shared" ref="AE1381:AE1383" si="3418">IF(G1381&gt;0,(CONCATENATE((G1381)," quantity, ",(A1381)," ",B1381)),"")</f>
        <v/>
      </c>
      <c r="AF1381" s="833"/>
      <c r="AG1381" s="833"/>
      <c r="AH1381" s="91" t="str">
        <f>IF(AD1381="free",0,IF(AD1381="me","",IF(G1381&gt;0,(VLOOKUP(A1381,'Discount Lookup'!J:K,2)*G1381),"")))</f>
        <v/>
      </c>
      <c r="AI1381" s="92" t="str">
        <f t="shared" si="3371"/>
        <v/>
      </c>
      <c r="AJ1381" s="828" t="str">
        <f>IF(G1381=0,"",IF(AD1381="me","  delivery-only",IF($AD$8="me","  delivery-only",CONCATENATE(" $",ROUND(AI1381/G1381,2)," each"))))</f>
        <v/>
      </c>
      <c r="AK1381" s="828"/>
      <c r="AL1381" s="313" t="str">
        <f t="shared" si="3356"/>
        <v/>
      </c>
      <c r="AM1381" s="312"/>
      <c r="AN1381" s="101"/>
      <c r="AO1381" s="101"/>
      <c r="AP1381" s="101"/>
      <c r="AQ1381" s="101"/>
      <c r="AR1381" s="101"/>
      <c r="AS1381" s="101"/>
      <c r="AT1381" s="101"/>
    </row>
    <row r="1382" spans="1:46" ht="12.95" customHeight="1">
      <c r="A1382" s="388">
        <v>7</v>
      </c>
      <c r="B1382" s="158" t="s">
        <v>50</v>
      </c>
      <c r="C1382" s="168" t="s">
        <v>136</v>
      </c>
      <c r="D1382" s="161" t="s">
        <v>87</v>
      </c>
      <c r="E1382" s="162">
        <v>115.95</v>
      </c>
      <c r="F1382" s="713" t="s">
        <v>1306</v>
      </c>
      <c r="G1382" s="357">
        <v>0</v>
      </c>
      <c r="H1382" s="748" t="str">
        <f t="shared" ref="H1382" si="3419">IF(G1382=0,"",IF(F1382="Qty=",IF(G1382=1,"plant","plants"),IF(F1382&gt;0.0001,"warranty","Error")))</f>
        <v/>
      </c>
      <c r="I1382" s="592">
        <f t="shared" ref="I1382" si="3420">IF(F1382="Qty=",(E1382*G1382),((E1382*(1-F1382))*G1382))</f>
        <v>0</v>
      </c>
      <c r="J1382" s="592">
        <f>IF(H1382="warranty",0,(I1382*($J$1782)))</f>
        <v>0</v>
      </c>
      <c r="K1382" s="834">
        <f t="shared" ref="K1382" si="3421">I1382+J1382</f>
        <v>0</v>
      </c>
      <c r="L1382" s="834"/>
      <c r="M1382" s="832" t="str">
        <f>IF($H$1784=0,"",IF(G1382=0,"",IF(F1382="Qty=",CONCATENATE("$",ROUND(K1382*(1-$H$1784),2)," with ",($H$1784*100),"% discount"),CONCATENATE("$",ROUND(K1382*(1-$H$1784),2)," with ",(($H$1784*100+F1382*100)-($H$1784*100*F1382)),IF(F1382&gt;0,"% discounts",IF($H$1781&gt;0,"% discounts","% discount"))))))</f>
        <v/>
      </c>
      <c r="N1382" s="832"/>
      <c r="O1382" s="832"/>
      <c r="P1382" s="832"/>
      <c r="Q1382" s="832"/>
      <c r="R1382" s="832"/>
      <c r="S1382" s="303">
        <f t="shared" ref="S1382" si="3422">E1382*G1382</f>
        <v>0</v>
      </c>
      <c r="T1382" s="541">
        <f>VLOOKUP(A1382,'Discount Lookup'!D:E,2,FALSE)*G1382</f>
        <v>0</v>
      </c>
      <c r="U1382" s="83">
        <f>VLOOKUP(A1382,'Discount Lookup'!G:H,2,FALSE)*G1382</f>
        <v>0</v>
      </c>
      <c r="V1382" s="100">
        <f>E1382*($J$1782)*G1382</f>
        <v>0</v>
      </c>
      <c r="W1382" s="100">
        <f t="shared" ref="W1382" si="3423">I1382</f>
        <v>0</v>
      </c>
      <c r="X1382" s="100" t="b">
        <f>IF(G1382&gt;0,IF(AD1382="me","",G1382))</f>
        <v>0</v>
      </c>
      <c r="Y1382" s="790"/>
      <c r="Z1382" s="829" t="str">
        <f t="shared" ref="Z1382" si="3424">IF(G1382=0,"",IF(AD1382="me","",IF($AD$8="me","",IF(AD1382="free","warranty",IF($AD$8="yes","NVP planting:","to NVP install:")))))</f>
        <v/>
      </c>
      <c r="AA1382" s="829"/>
      <c r="AB1382" s="830" t="str">
        <f>IF(G1382=0,"",IF(AD1382="free","re-planting",IF(AD1382="me","not NVP, by",IF($AD$8="yes",(VLOOKUP(A1382,'Discount Lookup'!J:K,2)*G1382*(1-$AC$1786)*(1+$AC$1788)),IF(AD1382="NVP",(VLOOKUP(A1382,'Discount Lookup'!J:K,2)*G1382*(1-$AC$1786)*(1+$AC$1788)),IF(AD1382="free","re-planting",IF(G1382=0,"",IF($AD$8="",IF(AD1382="me","not NVP, by",IF(AD1382="",IF(G1382&gt;0,(VLOOKUP(A1382,'Discount Lookup'!J:K,2)*G1382*(1-$AC$1786)*(1+$AC$1788)),""),"")),"not NVP, by"))))))))</f>
        <v/>
      </c>
      <c r="AC1382" s="830"/>
      <c r="AD1382" s="375" t="str">
        <f>IF(G1382=0,"",IF($AD$8="me","me",IF(H1382="warranty","free",IF($AD$8="yes","NVP",""))))</f>
        <v/>
      </c>
      <c r="AE1382" s="833" t="str">
        <f t="shared" ref="AE1382" si="3425">IF(G1382&gt;0,(CONCATENATE((G1382)," quantity, ",(A1382)," ",B1382)),"")</f>
        <v/>
      </c>
      <c r="AF1382" s="833"/>
      <c r="AG1382" s="833"/>
      <c r="AH1382" s="91" t="str">
        <f>IF(AD1382="free",0,IF(AD1382="me","",IF(G1382&gt;0,(VLOOKUP(A1382,'Discount Lookup'!J:K,2)*G1382),"")))</f>
        <v/>
      </c>
      <c r="AI1382" s="92" t="str">
        <f t="shared" si="3371"/>
        <v/>
      </c>
      <c r="AJ1382" s="828" t="str">
        <f t="shared" ref="AJ1382" si="3426">IF(G1382=0,"",IF(AD1382="me","  delivery-only",IF($AD$8="me","  delivery-only",CONCATENATE(" $",ROUND(AI1382/G1382,2)," each"))))</f>
        <v/>
      </c>
      <c r="AK1382" s="828"/>
      <c r="AL1382" s="313" t="str">
        <f t="shared" si="3356"/>
        <v/>
      </c>
      <c r="AM1382" s="312"/>
      <c r="AN1382" s="101"/>
      <c r="AO1382" s="101"/>
      <c r="AP1382" s="101"/>
      <c r="AQ1382" s="101"/>
      <c r="AR1382" s="101"/>
      <c r="AS1382" s="101"/>
      <c r="AT1382" s="101"/>
    </row>
    <row r="1383" spans="1:46" ht="12.95" customHeight="1">
      <c r="A1383" s="492"/>
      <c r="B1383" s="198" t="s">
        <v>752</v>
      </c>
      <c r="C1383" s="85"/>
      <c r="D1383" s="85"/>
      <c r="E1383" s="132"/>
      <c r="F1383" s="369"/>
      <c r="H1383" s="753"/>
      <c r="I1383" s="132"/>
      <c r="J1383" s="132"/>
      <c r="K1383" s="588"/>
      <c r="L1383" s="163" t="s">
        <v>1342</v>
      </c>
      <c r="M1383" s="48"/>
      <c r="N1383" s="48"/>
      <c r="O1383" s="111"/>
      <c r="P1383" s="111"/>
      <c r="Q1383" s="48"/>
      <c r="R1383" s="111"/>
      <c r="S1383" s="82"/>
      <c r="T1383" s="540"/>
      <c r="U1383" s="83"/>
      <c r="V1383" s="100"/>
      <c r="W1383" s="100"/>
      <c r="X1383" s="100"/>
      <c r="Y1383" s="790"/>
      <c r="Z1383" s="829" t="str">
        <f>IF(G1383=0,"",IF(AD1383="me","",IF($AD$8="me","",IF(AD1383="free","warranty",IF($AD$8="yes","NVP planting:","to NVP install:")))))</f>
        <v/>
      </c>
      <c r="AA1383" s="829"/>
      <c r="AB1383" s="830" t="str">
        <f>IF(G1383=0,"",IF(AD1383="free","re-planting",IF(AD1383="me","not NVP, by",IF($AD$8="yes",(VLOOKUP(A1383,'Discount Lookup'!J:K,2)*G1383*(1-$AC$1786)*(1+$AC$1788)),IF(AD1383="NVP",(VLOOKUP(A1383,'Discount Lookup'!J:K,2)*G1383*(1-$AC$1786)*(1+$AC$1788)),IF(AD1383="free","re-planting",IF(G1383=0,"",IF($AD$8="",IF(AD1383="me","not NVP, by",IF(AD1383="",IF(G1383&gt;0,(VLOOKUP(A1383,'Discount Lookup'!J:K,2)*G1383*(1-$AC$1786)*(1+$AC$1788)),""),"")),"not NVP, by"))))))))</f>
        <v/>
      </c>
      <c r="AC1383" s="830"/>
      <c r="AD1383" s="375" t="str">
        <f>IF(G1383=0,"",IF($AD$8="me","me",IF(H1383="warranty","free",IF($AD$8="yes","NVP",""))))</f>
        <v/>
      </c>
      <c r="AE1383" s="833" t="str">
        <f t="shared" si="3418"/>
        <v/>
      </c>
      <c r="AF1383" s="833"/>
      <c r="AG1383" s="833"/>
      <c r="AH1383" s="91" t="str">
        <f>IF(AD1383="free",0,IF(AD1383="me","",IF(G1383&gt;0,(VLOOKUP(A1383,'Discount Lookup'!J:K,2)*G1383),"")))</f>
        <v/>
      </c>
      <c r="AI1383" s="92" t="str">
        <f t="shared" si="3371"/>
        <v/>
      </c>
      <c r="AJ1383" s="828" t="str">
        <f>IF(G1383=0,"",IF(AD1383="me","  delivery-only",IF($AD$8="me","  delivery-only",CONCATENATE(" $",ROUND(AI1383/G1383,2)," each"))))</f>
        <v/>
      </c>
      <c r="AK1383" s="828"/>
      <c r="AL1383" s="313" t="str">
        <f t="shared" si="3356"/>
        <v/>
      </c>
      <c r="AM1383" s="312"/>
      <c r="AN1383" s="101"/>
      <c r="AO1383" s="101"/>
      <c r="AP1383" s="101"/>
      <c r="AQ1383" s="101"/>
      <c r="AR1383" s="101"/>
      <c r="AS1383" s="101"/>
      <c r="AT1383" s="101"/>
    </row>
    <row r="1384" spans="1:46" ht="12.95" customHeight="1">
      <c r="A1384" s="488"/>
      <c r="B1384" s="190"/>
      <c r="C1384" s="104"/>
      <c r="D1384" s="104"/>
      <c r="E1384" s="105"/>
      <c r="F1384" s="709"/>
      <c r="G1384" s="358"/>
      <c r="H1384" s="743"/>
      <c r="I1384" s="102"/>
      <c r="J1384" s="102"/>
      <c r="K1384" s="607"/>
      <c r="L1384" s="607"/>
      <c r="M1384" s="48"/>
      <c r="N1384" s="840"/>
      <c r="O1384" s="840"/>
      <c r="P1384" s="111"/>
      <c r="Q1384" s="841" t="s">
        <v>125</v>
      </c>
      <c r="R1384" s="841"/>
      <c r="S1384" s="841"/>
      <c r="T1384" s="841"/>
      <c r="U1384" s="841"/>
      <c r="V1384" s="841"/>
      <c r="Y1384" s="132"/>
      <c r="Z1384" s="829" t="str">
        <f t="shared" si="3301"/>
        <v/>
      </c>
      <c r="AA1384" s="829"/>
      <c r="AB1384" s="830" t="str">
        <f>IF(G1384=0,"",IF(AD1384="free","re-planting",IF(AD1384="me","not NVP, by",IF($AD$8="yes",(VLOOKUP(A1384,'Discount Lookup'!J:K,2)*G1384*(1-$AC$1786)*(1+$AC$1788)),IF(AD1384="NVP",(VLOOKUP(A1384,'Discount Lookup'!J:K,2)*G1384*(1-$AC$1786)*(1+$AC$1788)),IF(AD1384="free","re-planting",IF(G1384=0,"",IF($AD$8="",IF(AD1384="me","not NVP, by",IF(AD1384="",IF(G1384&gt;0,(VLOOKUP(A1384,'Discount Lookup'!J:K,2)*G1384*(1-$AC$1786)*(1+$AC$1788)),""),"")),"not NVP, by"))))))))</f>
        <v/>
      </c>
      <c r="AC1384" s="830"/>
      <c r="AD1384" s="375" t="str">
        <f t="shared" si="3322"/>
        <v/>
      </c>
      <c r="AE1384" s="833" t="str">
        <f>IF(G1384&gt;0,(CONCATENATE((G1384)," quantity, ",(A1384)," ",#REF!)),"")</f>
        <v/>
      </c>
      <c r="AF1384" s="833"/>
      <c r="AG1384" s="833"/>
      <c r="AH1384" s="91">
        <f>IF(AD1384="free",0,IF(AD1384="me",0,IF(G1384&gt;0,(VLOOKUP(A1384,'Discount Lookup'!J:K,2)*G1384),0)))</f>
        <v>0</v>
      </c>
      <c r="AI1384" s="92" t="str">
        <f t="shared" si="3371"/>
        <v/>
      </c>
      <c r="AJ1384" s="828" t="str">
        <f t="shared" si="3302"/>
        <v/>
      </c>
      <c r="AK1384" s="828"/>
      <c r="AL1384" s="313" t="str">
        <f t="shared" si="3356"/>
        <v/>
      </c>
      <c r="AM1384" s="312"/>
      <c r="AN1384" s="101"/>
      <c r="AO1384" s="101"/>
      <c r="AP1384" s="101"/>
      <c r="AQ1384" s="101"/>
      <c r="AR1384" s="101"/>
      <c r="AS1384" s="101"/>
      <c r="AT1384" s="101"/>
    </row>
    <row r="1385" spans="1:46" ht="12.95" customHeight="1">
      <c r="A1385" s="931" t="s">
        <v>753</v>
      </c>
      <c r="B1385" s="932"/>
      <c r="C1385" s="932"/>
      <c r="D1385" s="932"/>
      <c r="E1385" s="932"/>
      <c r="F1385" s="720"/>
      <c r="G1385" s="454"/>
      <c r="H1385" s="754"/>
      <c r="I1385" s="525" t="str">
        <f>IF($A$8="show",COUNTIF($G$1385:$G$1471,"&gt;0"),IF($E$1="Quote","",IF($E$1="Order","",IF($E$1="Delivered","",IF($E$1="Completed","",IF(SUM($G$1385:$G$1471)=0,"",COUNTIF($G$1385:$G$1471,"&gt;0")))))))</f>
        <v/>
      </c>
      <c r="J1385" s="526" t="str">
        <f>IF($A$8="show",CONCATENATE("Edibles picked, ",SUM($G$1385:$G$1471)," Edibles total"),IF($E$1="Quote","",IF($E$1="Order","",IF($E$1="Delivered","",IF($E$1="Completed","",IF(SUM($G$1385:$G$1471)&gt;0,CONCATENATE("Edibles picked, ",SUM($G$1385:$G$1471)," Edibles total"),""))))))</f>
        <v/>
      </c>
      <c r="K1385" s="619"/>
      <c r="L1385" s="619"/>
      <c r="M1385" s="856" t="s">
        <v>258</v>
      </c>
      <c r="N1385" s="857"/>
      <c r="O1385" s="858"/>
      <c r="P1385" s="873" t="s">
        <v>259</v>
      </c>
      <c r="Q1385" s="874"/>
      <c r="R1385" s="874"/>
      <c r="S1385" s="874"/>
      <c r="T1385" s="874"/>
      <c r="U1385" s="874"/>
      <c r="V1385" s="100"/>
      <c r="W1385" s="100"/>
      <c r="X1385" s="100"/>
      <c r="Y1385" s="201"/>
      <c r="Z1385" s="829" t="str">
        <f t="shared" si="3301"/>
        <v/>
      </c>
      <c r="AA1385" s="829"/>
      <c r="AB1385" s="830" t="str">
        <f>IF(G1385=0,"",IF(AD1385="free","re-planting",IF(AD1385="me","not NVP, by",IF($AD$8="yes",(VLOOKUP(A1385,'Discount Lookup'!J:K,2)*G1385*(1-$AC$1786)*(1+$AC$1788)),IF(AD1385="NVP",(VLOOKUP(A1385,'Discount Lookup'!J:K,2)*G1385*(1-$AC$1786)*(1+$AC$1788)),IF(AD1385="free","re-planting",IF(G1385=0,"",IF($AD$8="",IF(AD1385="me","not NVP, by",IF(AD1385="",IF(G1385&gt;0,(VLOOKUP(A1385,'Discount Lookup'!J:K,2)*G1385*(1-$AC$1786)*(1+$AC$1788)),""),"")),"not NVP, by"))))))))</f>
        <v/>
      </c>
      <c r="AC1385" s="830"/>
      <c r="AD1385" s="375" t="str">
        <f t="shared" si="3322"/>
        <v/>
      </c>
      <c r="AE1385" s="833" t="str">
        <f t="shared" ref="AE1385:AE1472" si="3427">IF(G1385&gt;0,(CONCATENATE((G1385)," quantity, ",(A1385)," ",B1385)),"")</f>
        <v/>
      </c>
      <c r="AF1385" s="833"/>
      <c r="AG1385" s="833"/>
      <c r="AH1385" s="91">
        <f>IF(AD1385="free",0,IF(AD1385="me",0,IF(G1385&gt;0,(VLOOKUP(A1385,'Discount Lookup'!J:K,2)*G1385),0)))</f>
        <v>0</v>
      </c>
      <c r="AI1385" s="92" t="str">
        <f t="shared" si="3371"/>
        <v/>
      </c>
      <c r="AJ1385" s="828" t="str">
        <f t="shared" si="3302"/>
        <v/>
      </c>
      <c r="AK1385" s="828"/>
      <c r="AL1385" s="313" t="str">
        <f t="shared" si="3356"/>
        <v/>
      </c>
      <c r="AM1385" s="312"/>
      <c r="AN1385" s="101"/>
      <c r="AO1385" s="101"/>
      <c r="AP1385" s="101"/>
      <c r="AQ1385" s="101"/>
      <c r="AR1385" s="101"/>
      <c r="AS1385" s="101"/>
      <c r="AT1385" s="101"/>
    </row>
    <row r="1386" spans="1:46" ht="12.95" customHeight="1">
      <c r="A1386" s="839" t="s">
        <v>754</v>
      </c>
      <c r="B1386" s="837"/>
      <c r="C1386" s="837"/>
      <c r="D1386" s="837"/>
      <c r="E1386" s="837"/>
      <c r="F1386" s="837"/>
      <c r="G1386" s="837"/>
      <c r="H1386" s="775" t="s">
        <v>332</v>
      </c>
      <c r="I1386" s="164" t="s">
        <v>79</v>
      </c>
      <c r="J1386" s="157"/>
      <c r="K1386" s="611" t="s">
        <v>45</v>
      </c>
      <c r="L1386" s="630" t="s">
        <v>46</v>
      </c>
      <c r="M1386" s="157"/>
      <c r="N1386" s="158" t="s">
        <v>98</v>
      </c>
      <c r="O1386" s="158"/>
      <c r="P1386" s="158"/>
      <c r="Q1386" s="158"/>
      <c r="R1386" s="835" t="s">
        <v>49</v>
      </c>
      <c r="S1386" s="835"/>
      <c r="T1386" s="835"/>
      <c r="U1386" s="835"/>
      <c r="V1386" s="100" t="b">
        <f>IF(G1386&gt;0,IF(AD1386="me","",G1386))</f>
        <v>0</v>
      </c>
      <c r="W1386" s="100"/>
      <c r="X1386" s="100"/>
      <c r="Y1386" s="201"/>
      <c r="Z1386" s="829" t="str">
        <f>IF(G1386=0,"",IF(AD1386="me","",IF($AD$8="me","",IF(AD1386="free","warranty",IF($AD$8="yes","NVP planting:","to NVP install:")))))</f>
        <v/>
      </c>
      <c r="AA1386" s="829"/>
      <c r="AB1386" s="830" t="str">
        <f>IF(G1386=0,"",IF(AD1386="free","re-planting",IF(AD1386="me","not NVP, by",IF($AD$8="yes",(VLOOKUP(A1386,'Discount Lookup'!J:K,2)*G1386*(1-#REF!)*(1+$AC$1788)),IF(AD1386="NVP",(VLOOKUP(A1386,'Discount Lookup'!J:K,2)*G1386*(1-#REF!)*(1+$AC$1788)),IF(AD1386="free","re-planting",IF(G1386=0,"",IF($AD$8="",IF(AD1386="me","not NVP, by",IF(AD1386="",IF(G1386&gt;0,(VLOOKUP(A1386,'Discount Lookup'!J:K,2)*G1386*(1-#REF!)*(1+$AC$1788)),""),"")),"not NVP, by"))))))))</f>
        <v/>
      </c>
      <c r="AC1386" s="830"/>
      <c r="AD1386" s="375" t="str">
        <f t="shared" ref="AD1386:AD1438" si="3428">IF(G1386=0,"",IF($AD$8="me","me",IF(H1386="warranty","free",IF($AD$8="yes","NVP",""))))</f>
        <v/>
      </c>
      <c r="AE1386" s="833" t="str">
        <f>IF(G1386&gt;0,(CONCATENATE((G1386)," quantity, ",(A1386)," ",B1386)),"")</f>
        <v/>
      </c>
      <c r="AF1386" s="833"/>
      <c r="AG1386" s="833"/>
      <c r="AH1386" s="91" t="s">
        <v>109</v>
      </c>
      <c r="AI1386" s="92" t="str">
        <f t="shared" si="3371"/>
        <v/>
      </c>
      <c r="AJ1386" s="828" t="str">
        <f>IF(G1386=0,"",IF(AD1386="me","  delivery-only",CONCATENATE(" $",ROUND(AI1386/G1386,2)," each")))</f>
        <v/>
      </c>
      <c r="AK1386" s="828"/>
      <c r="AL1386" s="313" t="str">
        <f t="shared" si="3356"/>
        <v/>
      </c>
      <c r="AM1386" s="312"/>
      <c r="AN1386" s="101"/>
      <c r="AO1386" s="101"/>
      <c r="AP1386" s="101"/>
      <c r="AQ1386" s="101"/>
      <c r="AR1386" s="101"/>
      <c r="AS1386" s="101"/>
      <c r="AT1386" s="101"/>
    </row>
    <row r="1387" spans="1:46" ht="12.95" customHeight="1">
      <c r="A1387" s="455">
        <v>7</v>
      </c>
      <c r="B1387" s="158" t="s">
        <v>50</v>
      </c>
      <c r="C1387" s="168" t="s">
        <v>1455</v>
      </c>
      <c r="D1387" s="161" t="s">
        <v>54</v>
      </c>
      <c r="E1387" s="162">
        <v>132.94999999999999</v>
      </c>
      <c r="F1387" s="713" t="s">
        <v>1306</v>
      </c>
      <c r="G1387" s="357">
        <v>0</v>
      </c>
      <c r="H1387" s="748" t="str">
        <f t="shared" ref="H1387" si="3429">IF(G1387=0,"",IF(F1387="Qty=",IF(G1387=1,"plant","plants"),IF(F1387&gt;0.0001,"warranty","Error")))</f>
        <v/>
      </c>
      <c r="I1387" s="592">
        <f t="shared" ref="I1387" si="3430">IF(F1387="Qty=",(E1387*G1387),((E1387*(1-F1387))*G1387))</f>
        <v>0</v>
      </c>
      <c r="J1387" s="592">
        <f>IF(H1387="warranty",0,(I1387*($J$1782)))</f>
        <v>0</v>
      </c>
      <c r="K1387" s="834">
        <f t="shared" ref="K1387" si="3431">I1387+J1387</f>
        <v>0</v>
      </c>
      <c r="L1387" s="834"/>
      <c r="M1387" s="832" t="str">
        <f>IF($H$1784=0,"",IF(G1387=0,"",IF(F1387="Qty=",CONCATENATE("$",ROUND(K1387*(1-$H$1784),2)," with ",($H$1784*100),"% discount"),CONCATENATE("$",ROUND(K1387*(1-$H$1784),2)," with ",(($H$1784*100+F1387*100)-($H$1784*100*F1387)),IF(F1387&gt;0,"% discounts",IF($H$1781&gt;0,"% discounts","% discount"))))))</f>
        <v/>
      </c>
      <c r="N1387" s="832"/>
      <c r="O1387" s="832"/>
      <c r="P1387" s="832"/>
      <c r="Q1387" s="832"/>
      <c r="R1387" s="832"/>
      <c r="S1387" s="303">
        <f t="shared" ref="S1387" si="3432">E1387*G1387</f>
        <v>0</v>
      </c>
      <c r="T1387" s="541">
        <f>VLOOKUP(A1387,'Discount Lookup'!D:E,2,FALSE)*G1387</f>
        <v>0</v>
      </c>
      <c r="U1387" s="83">
        <f>VLOOKUP(A1387,'Discount Lookup'!G:H,2,FALSE)*G1387</f>
        <v>0</v>
      </c>
      <c r="V1387" s="100">
        <f>E1387*($J$1782)*G1387</f>
        <v>0</v>
      </c>
      <c r="W1387" s="100">
        <f t="shared" ref="W1387" si="3433">I1387</f>
        <v>0</v>
      </c>
      <c r="X1387" s="100" t="b">
        <f>IF(G1387&gt;0,IF(AD1387="me","",G1387))</f>
        <v>0</v>
      </c>
      <c r="Y1387" s="201"/>
      <c r="Z1387" s="829" t="str">
        <f t="shared" ref="Z1387" si="3434">IF(G1387=0,"",IF(AD1387="me","",IF($AD$8="me","",IF(AD1387="free","warranty",IF($AD$8="yes","NVP planting:","to NVP install:")))))</f>
        <v/>
      </c>
      <c r="AA1387" s="829"/>
      <c r="AB1387" s="830" t="str">
        <f>IF(G1387=0,"",IF(AD1387="free","re-planting",IF(AD1387="me","not NVP, by",IF($AD$8="yes",(VLOOKUP(A1387,'Discount Lookup'!J:K,2)*G1387*(1-$AC$1786)*(1+$AC$1788)),IF(AD1387="NVP",(VLOOKUP(A1387,'Discount Lookup'!J:K,2)*G1387*(1-$AC$1786)*(1+$AC$1788)),IF(AD1387="free","re-planting",IF(G1387=0,"",IF($AD$8="",IF(AD1387="me","not NVP, by",IF(AD1387="",IF(G1387&gt;0,(VLOOKUP(A1387,'Discount Lookup'!J:K,2)*G1387*(1-$AC$1786)*(1+$AC$1788)),""),"")),"not NVP, by"))))))))</f>
        <v/>
      </c>
      <c r="AC1387" s="830"/>
      <c r="AD1387" s="375" t="str">
        <f t="shared" si="3428"/>
        <v/>
      </c>
      <c r="AE1387" s="833" t="str">
        <f t="shared" ref="AE1387" si="3435">IF(G1387&gt;0,(CONCATENATE((G1387)," quantity, ",(A1387)," ",B1387)),"")</f>
        <v/>
      </c>
      <c r="AF1387" s="833"/>
      <c r="AG1387" s="833"/>
      <c r="AH1387" s="91" t="str">
        <f>IF(AD1387="free",0,IF(AD1387="me","",IF(G1387&gt;0,(VLOOKUP(A1387,'Discount Lookup'!J:K,2)*G1387),"")))</f>
        <v/>
      </c>
      <c r="AI1387" s="92" t="str">
        <f t="shared" si="3371"/>
        <v/>
      </c>
      <c r="AJ1387" s="828" t="str">
        <f t="shared" ref="AJ1387" si="3436">IF(G1387=0,"",IF(AD1387="me","  delivery-only",IF($AD$8="me","  delivery-only",CONCATENATE(" $",ROUND(AI1387/G1387,2)," each"))))</f>
        <v/>
      </c>
      <c r="AK1387" s="828"/>
      <c r="AL1387" s="313" t="str">
        <f t="shared" si="3356"/>
        <v/>
      </c>
      <c r="AM1387" s="312"/>
      <c r="AN1387" s="101"/>
      <c r="AO1387" s="101"/>
      <c r="AP1387" s="101"/>
      <c r="AQ1387" s="101"/>
      <c r="AR1387" s="101"/>
      <c r="AS1387" s="101"/>
      <c r="AT1387" s="101"/>
    </row>
    <row r="1388" spans="1:46" ht="12.95" customHeight="1">
      <c r="A1388" s="493"/>
      <c r="B1388" s="198" t="s">
        <v>755</v>
      </c>
      <c r="C1388" s="181"/>
      <c r="D1388" s="118"/>
      <c r="E1388" s="119"/>
      <c r="F1388" s="711"/>
      <c r="G1388" s="356"/>
      <c r="H1388" s="745"/>
      <c r="I1388" s="119"/>
      <c r="J1388" s="119"/>
      <c r="K1388" s="609"/>
      <c r="L1388" s="609"/>
      <c r="M1388" s="121"/>
      <c r="N1388" s="121"/>
      <c r="O1388" s="123">
        <v>0</v>
      </c>
      <c r="P1388" s="124">
        <v>0</v>
      </c>
      <c r="Q1388" s="48"/>
      <c r="R1388" s="83">
        <f>IF(F1388=0,E1388*($J$1802)*G1388,0)</f>
        <v>0</v>
      </c>
      <c r="S1388" s="82">
        <f>E1388*G1388</f>
        <v>0</v>
      </c>
      <c r="T1388" s="540"/>
      <c r="U1388" s="83"/>
      <c r="V1388" s="100" t="b">
        <f>IF(G1388&gt;0,IF(AD1388="me","",G1388))</f>
        <v>0</v>
      </c>
      <c r="W1388" s="100"/>
      <c r="X1388" s="100"/>
      <c r="Y1388" s="201"/>
      <c r="Z1388" s="829" t="str">
        <f>IF(G1388=0,"",IF(AD1388="me","",IF($AD$8="me","",IF(AD1388="free","warranty",IF($AD$8="yes","NVP planting:","to NVP install:")))))</f>
        <v/>
      </c>
      <c r="AA1388" s="829"/>
      <c r="AB1388" s="830" t="str">
        <f>IF(G1388=0,"",IF(AD1388="free","re-planting",IF(AD1388="me","not NVP, by",IF($AD$8="yes",(VLOOKUP(A1388,'Discount Lookup'!J:K,2)*G1388*(1-#REF!)*(1+$AC$1788)),IF(AD1388="NVP",(VLOOKUP(A1388,'Discount Lookup'!J:K,2)*G1388*(1-#REF!)*(1+$AC$1788)),IF(AD1388="free","re-planting",IF(G1388=0,"",IF($AD$8="",IF(AD1388="me","not NVP, by",IF(AD1388="",IF(G1388&gt;0,(VLOOKUP(A1388,'Discount Lookup'!J:K,2)*G1388*(1-#REF!)*(1+$AC$1788)),""),"")),"not NVP, by"))))))))</f>
        <v/>
      </c>
      <c r="AC1388" s="830"/>
      <c r="AD1388" s="375" t="str">
        <f t="shared" si="3428"/>
        <v/>
      </c>
      <c r="AE1388" s="833" t="str">
        <f>IF(G1388&gt;0,(CONCATENATE((G1388)," quantity, ",(A1388)," ",B1388)),"")</f>
        <v/>
      </c>
      <c r="AF1388" s="833"/>
      <c r="AG1388" s="833"/>
      <c r="AH1388" s="91" t="s">
        <v>109</v>
      </c>
      <c r="AI1388" s="92" t="str">
        <f t="shared" si="3371"/>
        <v/>
      </c>
      <c r="AJ1388" s="828" t="str">
        <f>IF(G1388=0,"",IF(AD1388="me","  delivery-only",CONCATENATE(" $",ROUND(AI1388/G1388,2)," each")))</f>
        <v/>
      </c>
      <c r="AK1388" s="828"/>
      <c r="AL1388" s="313" t="str">
        <f t="shared" si="3356"/>
        <v/>
      </c>
      <c r="AM1388" s="312"/>
      <c r="AN1388" s="101"/>
      <c r="AO1388" s="101"/>
      <c r="AP1388" s="101"/>
      <c r="AQ1388" s="101"/>
      <c r="AR1388" s="101"/>
      <c r="AS1388" s="101"/>
      <c r="AT1388" s="101"/>
    </row>
    <row r="1389" spans="1:46" ht="13.5" customHeight="1">
      <c r="A1389" s="839" t="s">
        <v>1006</v>
      </c>
      <c r="B1389" s="837"/>
      <c r="C1389" s="837"/>
      <c r="D1389" s="837"/>
      <c r="E1389" s="837"/>
      <c r="F1389" s="837"/>
      <c r="G1389" s="837"/>
      <c r="H1389" s="775" t="s">
        <v>106</v>
      </c>
      <c r="I1389" s="164" t="s">
        <v>79</v>
      </c>
      <c r="J1389" s="157"/>
      <c r="K1389" s="611" t="s">
        <v>45</v>
      </c>
      <c r="L1389" s="630" t="s">
        <v>46</v>
      </c>
      <c r="M1389" s="296"/>
      <c r="N1389" s="158" t="s">
        <v>69</v>
      </c>
      <c r="O1389" s="158"/>
      <c r="P1389" s="158"/>
      <c r="Q1389" s="158"/>
      <c r="R1389" s="157"/>
      <c r="S1389" s="170"/>
      <c r="T1389" s="547"/>
      <c r="U1389" s="171"/>
      <c r="V1389" s="100" t="b">
        <f>IF(G1389&gt;0,IF(AD1389="me","",G1389))</f>
        <v>0</v>
      </c>
      <c r="W1389" s="100"/>
      <c r="X1389" s="100"/>
      <c r="Y1389" s="201"/>
      <c r="Z1389" s="838" t="str">
        <f>IF(G1389=0,"",IF(AD1389="me","",IF($AD$8="me","",IF(AD1389="free","warranty",IF($AD$8="yes","NVP planting:","to NVP install:")))))</f>
        <v/>
      </c>
      <c r="AA1389" s="838"/>
      <c r="AB1389" s="830" t="str">
        <f>IF(G1389=0,"",IF(AD1389="free","re-planting",IF(AD1389="me","not NVP, by",IF($AD$8="yes",(VLOOKUP(A1389,'Discount Lookup'!J:K,2)*G1389*(1-$AC$1786)*(1+$AC$1788)),IF(AD1389="NVP",(VLOOKUP(A1389,'Discount Lookup'!J:K,2)*G1389*(1-$AC$1786)*(1+$AC$1788)),IF(AD1389="free","re-planting",IF(G1389=0,"",IF($AD$8="",IF(AD1389="me","not NVP, by",IF(AD1389="",IF(G1389&gt;0,(VLOOKUP(A1389,'Discount Lookup'!J:K,2)*G1389*(1-$AC$1786)*(1+$AC$1788)),""),"")),"not NVP, by"))))))))</f>
        <v/>
      </c>
      <c r="AC1389" s="830"/>
      <c r="AD1389" s="375" t="str">
        <f t="shared" si="3428"/>
        <v/>
      </c>
      <c r="AE1389" s="833" t="str">
        <f>IF(G1389&gt;0,(CONCATENATE((G1389)," quantity, ",(A1389)," ",B1389)),"")</f>
        <v/>
      </c>
      <c r="AF1389" s="833"/>
      <c r="AG1389" s="833"/>
      <c r="AH1389" s="91" t="s">
        <v>109</v>
      </c>
      <c r="AI1389" s="92" t="str">
        <f t="shared" si="3371"/>
        <v/>
      </c>
      <c r="AJ1389" s="828" t="str">
        <f>IF(G1389=0,"",IF(AD1389="me","  delivery-only",CONCATENATE(" $",ROUND(AI1389/G1389,2)," each")))</f>
        <v/>
      </c>
      <c r="AK1389" s="828"/>
      <c r="AL1389" s="313" t="str">
        <f t="shared" si="3356"/>
        <v/>
      </c>
      <c r="AM1389" s="312"/>
      <c r="AN1389" s="101"/>
      <c r="AO1389" s="101"/>
      <c r="AP1389" s="101"/>
      <c r="AQ1389" s="101"/>
      <c r="AR1389" s="101"/>
      <c r="AS1389" s="101"/>
      <c r="AT1389" s="101"/>
    </row>
    <row r="1390" spans="1:46" ht="13.5" customHeight="1">
      <c r="A1390" s="455">
        <v>10</v>
      </c>
      <c r="B1390" s="158" t="s">
        <v>50</v>
      </c>
      <c r="C1390" s="160" t="s">
        <v>53</v>
      </c>
      <c r="D1390" s="161" t="s">
        <v>54</v>
      </c>
      <c r="E1390" s="162">
        <v>178.95</v>
      </c>
      <c r="F1390" s="713" t="s">
        <v>1306</v>
      </c>
      <c r="G1390" s="357">
        <v>0</v>
      </c>
      <c r="H1390" s="748" t="str">
        <f t="shared" ref="H1390" si="3437">IF(G1390=0,"",IF(F1390="Qty=",IF(G1390=1,"plant","plants"),IF(F1390&gt;0.0001,"warranty","Error")))</f>
        <v/>
      </c>
      <c r="I1390" s="592">
        <f t="shared" ref="I1390" si="3438">IF(F1390="Qty=",(E1390*G1390),((E1390*(1-F1390))*G1390))</f>
        <v>0</v>
      </c>
      <c r="J1390" s="592">
        <f>IF(H1390="warranty",0,(I1390*($J$1782)))</f>
        <v>0</v>
      </c>
      <c r="K1390" s="834">
        <f t="shared" ref="K1390" si="3439">I1390+J1390</f>
        <v>0</v>
      </c>
      <c r="L1390" s="834"/>
      <c r="M1390" s="832" t="str">
        <f>IF($H$1784=0,"",IF(G1390=0,"",IF(F1390="Qty=",CONCATENATE("$",ROUND(K1390*(1-$H$1784),2)," with ",($H$1784*100),"% discount"),CONCATENATE("$",ROUND(K1390*(1-$H$1784),2)," with ",(($H$1784*100+F1390*100)-($H$1784*100*F1390)),IF(F1390&gt;0,"% discounts",IF($H$1781&gt;0,"% discounts","% discount"))))))</f>
        <v/>
      </c>
      <c r="N1390" s="832"/>
      <c r="O1390" s="832"/>
      <c r="P1390" s="832"/>
      <c r="Q1390" s="832"/>
      <c r="R1390" s="832"/>
      <c r="S1390" s="303">
        <f t="shared" ref="S1390" si="3440">E1390*G1390</f>
        <v>0</v>
      </c>
      <c r="T1390" s="541">
        <f>VLOOKUP(A1390,'Discount Lookup'!D:E,2,FALSE)*G1390</f>
        <v>0</v>
      </c>
      <c r="U1390" s="83">
        <f>VLOOKUP(A1390,'Discount Lookup'!G:H,2,FALSE)*G1390</f>
        <v>0</v>
      </c>
      <c r="V1390" s="100">
        <f>E1390*($J$1782)*G1390</f>
        <v>0</v>
      </c>
      <c r="W1390" s="100">
        <f t="shared" ref="W1390" si="3441">I1390</f>
        <v>0</v>
      </c>
      <c r="X1390" s="100" t="b">
        <f>IF(G1390&gt;0,IF(AD1390="me","",G1390))</f>
        <v>0</v>
      </c>
      <c r="Y1390" s="201"/>
      <c r="Z1390" s="838" t="str">
        <f>IF(G1390=0,"",IF(AD1390="me","",IF($AD$8="me","",IF(AD1390="free","warranty",IF($AD$8="yes","NVP planting:","to NVP install:")))))</f>
        <v/>
      </c>
      <c r="AA1390" s="838"/>
      <c r="AB1390" s="830" t="str">
        <f>IF(G1390=0,"",IF(AD1390="free","re-planting",IF(AD1390="me","not NVP, by",IF($AD$8="yes",(VLOOKUP(A1390,'Discount Lookup'!J:K,2)*G1390*(1-$AC$1786)*(1+$AC$1788)),IF(AD1390="NVP",(VLOOKUP(A1390,'Discount Lookup'!J:K,2)*G1390*(1-$AC$1786)*(1+$AC$1788)),IF(AD1390="free","re-planting",IF(G1390=0,"",IF($AD$8="",IF(AD1390="me","not NVP, by",IF(AD1390="",IF(G1390&gt;0,(VLOOKUP(A1390,'Discount Lookup'!J:K,2)*G1390*(1-$AC$1786)*(1+$AC$1788)),""),"")),"not NVP, by"))))))))</f>
        <v/>
      </c>
      <c r="AC1390" s="830"/>
      <c r="AD1390" s="375" t="str">
        <f t="shared" si="3428"/>
        <v/>
      </c>
      <c r="AE1390" s="833" t="str">
        <f>IF(G1390&gt;0,(CONCATENATE((G1390)," quantity, ",(A1390)," ",B1390)),"")</f>
        <v/>
      </c>
      <c r="AF1390" s="833"/>
      <c r="AG1390" s="833"/>
      <c r="AH1390" s="91" t="str">
        <f>IF(AD1390="free",0,IF(AD1390="me","",IF(G1390&gt;0,(VLOOKUP(A1390,'Discount Lookup'!J:K,2)*G1390),"")))</f>
        <v/>
      </c>
      <c r="AI1390" s="92" t="str">
        <f t="shared" si="3371"/>
        <v/>
      </c>
      <c r="AJ1390" s="828" t="str">
        <f>IF(G1390=0,"",IF(AD1390="me","  delivery-only",CONCATENATE(" $",ROUND(AI1390/G1390,2)," each")))</f>
        <v/>
      </c>
      <c r="AK1390" s="828"/>
      <c r="AL1390" s="313" t="str">
        <f t="shared" si="3356"/>
        <v/>
      </c>
      <c r="AM1390" s="312"/>
      <c r="AN1390" s="101"/>
      <c r="AO1390" s="101"/>
      <c r="AP1390" s="101"/>
      <c r="AQ1390" s="101"/>
      <c r="AR1390" s="101"/>
      <c r="AS1390" s="101"/>
      <c r="AT1390" s="101"/>
    </row>
    <row r="1391" spans="1:46" ht="13.5" customHeight="1">
      <c r="A1391" s="493"/>
      <c r="B1391" s="198" t="s">
        <v>1007</v>
      </c>
      <c r="C1391" s="181"/>
      <c r="D1391" s="118"/>
      <c r="E1391" s="119"/>
      <c r="F1391" s="711"/>
      <c r="G1391" s="356"/>
      <c r="H1391" s="745"/>
      <c r="I1391" s="119"/>
      <c r="J1391" s="119"/>
      <c r="K1391" s="609"/>
      <c r="L1391" s="609"/>
      <c r="M1391" s="48"/>
      <c r="N1391" s="122" t="s">
        <v>277</v>
      </c>
      <c r="O1391" s="123"/>
      <c r="P1391" s="124">
        <v>0</v>
      </c>
      <c r="Q1391" s="124"/>
      <c r="R1391" s="83">
        <f>IF(F1391=0,E1391*($J$1802)*G1391,0)</f>
        <v>0</v>
      </c>
      <c r="S1391" s="82">
        <f>E1391*G1391</f>
        <v>0</v>
      </c>
      <c r="T1391" s="540"/>
      <c r="U1391" s="83"/>
      <c r="V1391" s="100" t="b">
        <f>IF(G1391&gt;0,IF(AD1391="me","",G1391))</f>
        <v>0</v>
      </c>
      <c r="W1391" s="100"/>
      <c r="X1391" s="100"/>
      <c r="Y1391" s="201"/>
      <c r="Z1391" s="838" t="str">
        <f>IF(G1391=0,"",IF(AD1391="me","",IF($AD$8="me","",IF(AD1391="free","warranty",IF($AD$8="yes","NVP planting:","to NVP install:")))))</f>
        <v/>
      </c>
      <c r="AA1391" s="838"/>
      <c r="AB1391" s="830" t="str">
        <f>IF(G1391=0,"",IF(AD1391="free","re-planting",IF(AD1391="me","not NVP, by",IF($AD$8="yes",(VLOOKUP(A1391,'Discount Lookup'!J:K,2)*G1391*(1-$AC$1786)*(1+$AC$1788)),IF(AD1391="NVP",(VLOOKUP(A1391,'Discount Lookup'!J:K,2)*G1391*(1-$AC$1786)*(1+$AC$1788)),IF(AD1391="free","re-planting",IF(G1391=0,"",IF($AD$8="",IF(AD1391="me","not NVP, by",IF(AD1391="",IF(G1391&gt;0,(VLOOKUP(A1391,'Discount Lookup'!J:K,2)*G1391*(1-$AC$1786)*(1+$AC$1788)),""),"")),"not NVP, by"))))))))</f>
        <v/>
      </c>
      <c r="AC1391" s="830"/>
      <c r="AD1391" s="375" t="str">
        <f t="shared" si="3428"/>
        <v/>
      </c>
      <c r="AE1391" s="833" t="str">
        <f>IF(G1391&gt;0,(CONCATENATE((G1391)," quantity, ",(A1391)," ",B1391)),"")</f>
        <v/>
      </c>
      <c r="AF1391" s="833"/>
      <c r="AG1391" s="833"/>
      <c r="AH1391" s="91" t="s">
        <v>109</v>
      </c>
      <c r="AI1391" s="92" t="str">
        <f t="shared" si="3371"/>
        <v/>
      </c>
      <c r="AJ1391" s="828" t="str">
        <f>IF(G1391=0,"",IF(AD1391="me","  delivery-only",CONCATENATE(" $",ROUND(AI1391/G1391,2)," each")))</f>
        <v/>
      </c>
      <c r="AK1391" s="828"/>
      <c r="AL1391" s="313" t="str">
        <f t="shared" si="3356"/>
        <v/>
      </c>
      <c r="AM1391" s="312"/>
      <c r="AN1391" s="101"/>
      <c r="AO1391" s="101"/>
      <c r="AP1391" s="101"/>
      <c r="AQ1391" s="101"/>
      <c r="AR1391" s="101"/>
      <c r="AS1391" s="101"/>
      <c r="AT1391" s="101"/>
    </row>
    <row r="1392" spans="1:46" ht="12.95" customHeight="1">
      <c r="A1392" s="933" t="s">
        <v>996</v>
      </c>
      <c r="B1392" s="864"/>
      <c r="C1392" s="864"/>
      <c r="D1392" s="864"/>
      <c r="E1392" s="864"/>
      <c r="F1392" s="864"/>
      <c r="G1392" s="864"/>
      <c r="H1392" s="776" t="s">
        <v>360</v>
      </c>
      <c r="I1392" s="348" t="s">
        <v>44</v>
      </c>
      <c r="J1392" s="93"/>
      <c r="K1392" s="603" t="s">
        <v>45</v>
      </c>
      <c r="L1392" s="601" t="s">
        <v>46</v>
      </c>
      <c r="M1392" s="86"/>
      <c r="N1392" s="87" t="s">
        <v>128</v>
      </c>
      <c r="O1392" s="87"/>
      <c r="P1392" s="87"/>
      <c r="Q1392" s="87"/>
      <c r="R1392" s="86"/>
      <c r="S1392" s="125"/>
      <c r="T1392" s="543"/>
      <c r="U1392" s="112"/>
      <c r="V1392" s="100" t="b">
        <f>IF(G1392&gt;0,IF(AD1392="me","",G1392))</f>
        <v>0</v>
      </c>
      <c r="W1392" s="100"/>
      <c r="X1392" s="100"/>
      <c r="Y1392" s="201"/>
      <c r="Z1392" s="829" t="str">
        <f t="shared" ref="Z1392:Z1472" si="3442">IF(G1392=0,"",IF(AD1392="me","",IF($AD$8="me","",IF(AD1392="free","warranty",IF($AD$8="yes","NVP planting:","to NVP install:")))))</f>
        <v/>
      </c>
      <c r="AA1392" s="829"/>
      <c r="AB1392" s="830" t="str">
        <f>IF(G1392=0,"",IF(AD1392="free","re-planting",IF(AD1392="me","not NVP, by",IF($AD$8="yes",(VLOOKUP(A1392,'Discount Lookup'!J:K,2)*G1392*(1-$AC$1786)*(1+$AC$1788)),IF(AD1392="NVP",(VLOOKUP(A1392,'Discount Lookup'!J:K,2)*G1392*(1-$AC$1786)*(1+$AC$1788)),IF(AD1392="free","re-planting",IF(G1392=0,"",IF($AD$8="",IF(AD1392="me","not NVP, by",IF(AD1392="",IF(G1392&gt;0,(VLOOKUP(A1392,'Discount Lookup'!J:K,2)*G1392*(1-$AC$1786)*(1+$AC$1788)),""),"")),"not NVP, by"))))))))</f>
        <v/>
      </c>
      <c r="AC1392" s="830"/>
      <c r="AD1392" s="375" t="str">
        <f t="shared" si="3428"/>
        <v/>
      </c>
      <c r="AE1392" s="833" t="str">
        <f t="shared" ref="AE1392:AE1394" si="3443">IF(G1392&gt;0,(CONCATENATE((G1392)," quantity, ",(A1392)," ",B1392)),"")</f>
        <v/>
      </c>
      <c r="AF1392" s="833"/>
      <c r="AG1392" s="833"/>
      <c r="AH1392" s="91">
        <f>IF(AD1392="free",0,IF(AD1392="me",0,IF(G1392&gt;0,(VLOOKUP(A1392,'Discount Lookup'!J:K,2)*G1392),0)))</f>
        <v>0</v>
      </c>
      <c r="AI1392" s="92" t="str">
        <f t="shared" si="3371"/>
        <v/>
      </c>
      <c r="AJ1392" s="828" t="str">
        <f t="shared" ref="AJ1392:AJ1472" si="3444">IF(G1392=0,"",IF(AD1392="me","  delivery-only",IF($AD$8="me","  delivery-only",CONCATENATE(" $",ROUND(AI1392/G1392,2)," each"))))</f>
        <v/>
      </c>
      <c r="AK1392" s="828"/>
      <c r="AL1392" s="313" t="str">
        <f t="shared" si="3356"/>
        <v/>
      </c>
      <c r="AM1392" s="312"/>
      <c r="AN1392" s="101"/>
      <c r="AO1392" s="101"/>
      <c r="AP1392" s="101"/>
      <c r="AQ1392" s="101"/>
      <c r="AR1392" s="101"/>
      <c r="AS1392" s="101"/>
      <c r="AT1392" s="101"/>
    </row>
    <row r="1393" spans="1:46" ht="12.95" customHeight="1">
      <c r="A1393" s="456">
        <v>5</v>
      </c>
      <c r="B1393" s="87" t="s">
        <v>50</v>
      </c>
      <c r="C1393" s="128" t="s">
        <v>70</v>
      </c>
      <c r="D1393" s="129" t="s">
        <v>87</v>
      </c>
      <c r="E1393" s="98">
        <v>99.95</v>
      </c>
      <c r="F1393" s="705" t="s">
        <v>1306</v>
      </c>
      <c r="G1393" s="357">
        <v>0</v>
      </c>
      <c r="H1393" s="704" t="str">
        <f t="shared" ref="H1393" si="3445">IF(G1393=0,"",IF(F1393="Qty=",IF(G1393=1,"plant","plants"),IF(F1393&gt;0.0001,"warranty","Error")))</f>
        <v/>
      </c>
      <c r="I1393" s="98">
        <f t="shared" ref="I1393" si="3446">IF(F1393="Qty=",(E1393*G1393),((E1393*(1-F1393))*G1393))</f>
        <v>0</v>
      </c>
      <c r="J1393" s="98">
        <f>IF(H1393="warranty",0,(I1393*($J$1782)))</f>
        <v>0</v>
      </c>
      <c r="K1393" s="831">
        <f t="shared" ref="K1393" si="3447">I1393+J1393</f>
        <v>0</v>
      </c>
      <c r="L1393" s="831"/>
      <c r="M1393" s="832" t="str">
        <f>IF($H$1784=0,"",IF(G1393=0,"",IF(F1393="Qty=",CONCATENATE("$",ROUND(K1393*(1-$H$1784),2)," with ",($H$1784*100),"% discount"),CONCATENATE("$",ROUND(K1393*(1-$H$1784),2)," with ",(($H$1784*100+F1393*100)-($H$1784*100*F1393)),IF(F1393&gt;0,"% discounts",IF($H$1781&gt;0,"% discounts","% discount"))))))</f>
        <v/>
      </c>
      <c r="N1393" s="832"/>
      <c r="O1393" s="832"/>
      <c r="P1393" s="832"/>
      <c r="Q1393" s="832"/>
      <c r="R1393" s="832"/>
      <c r="S1393" s="303">
        <f t="shared" ref="S1393" si="3448">E1393*G1393</f>
        <v>0</v>
      </c>
      <c r="T1393" s="541">
        <f>VLOOKUP(A1393,'Discount Lookup'!D:E,2,FALSE)*G1393</f>
        <v>0</v>
      </c>
      <c r="U1393" s="83">
        <f>VLOOKUP(A1393,'Discount Lookup'!G:H,2,FALSE)*G1393</f>
        <v>0</v>
      </c>
      <c r="V1393" s="100">
        <f>E1393*($J$1782)*G1393</f>
        <v>0</v>
      </c>
      <c r="W1393" s="100">
        <f t="shared" ref="W1393" si="3449">I1393</f>
        <v>0</v>
      </c>
      <c r="X1393" s="100" t="b">
        <f>IF(G1393&gt;0,IF(AD1393="me","",G1393))</f>
        <v>0</v>
      </c>
      <c r="Y1393" s="201"/>
      <c r="Z1393" s="829" t="str">
        <f t="shared" si="3442"/>
        <v/>
      </c>
      <c r="AA1393" s="829"/>
      <c r="AB1393" s="830" t="str">
        <f>IF(G1393=0,"",IF(AD1393="free","re-planting",IF(AD1393="me","not NVP, by",IF($AD$8="yes",(VLOOKUP(A1393,'Discount Lookup'!J:K,2)*G1393*(1-$AC$1786)*(1+$AC$1788)),IF(AD1393="NVP",(VLOOKUP(A1393,'Discount Lookup'!J:K,2)*G1393*(1-$AC$1786)*(1+$AC$1788)),IF(AD1393="free","re-planting",IF(G1393=0,"",IF($AD$8="",IF(AD1393="me","not NVP, by",IF(AD1393="",IF(G1393&gt;0,(VLOOKUP(A1393,'Discount Lookup'!J:K,2)*G1393*(1-$AC$1786)*(1+$AC$1788)),""),"")),"not NVP, by"))))))))</f>
        <v/>
      </c>
      <c r="AC1393" s="830"/>
      <c r="AD1393" s="375" t="str">
        <f t="shared" si="3428"/>
        <v/>
      </c>
      <c r="AE1393" s="833" t="str">
        <f t="shared" si="3443"/>
        <v/>
      </c>
      <c r="AF1393" s="833"/>
      <c r="AG1393" s="833"/>
      <c r="AH1393" s="91">
        <f>IF(AD1393="free",0,IF(AD1393="me",0,IF(G1393&gt;0,(VLOOKUP(A1393,'Discount Lookup'!J:K,2)*G1393),0)))</f>
        <v>0</v>
      </c>
      <c r="AI1393" s="92" t="str">
        <f t="shared" si="3371"/>
        <v/>
      </c>
      <c r="AJ1393" s="828" t="str">
        <f t="shared" si="3444"/>
        <v/>
      </c>
      <c r="AK1393" s="828"/>
      <c r="AL1393" s="313" t="str">
        <f t="shared" si="3356"/>
        <v/>
      </c>
      <c r="AM1393" s="312"/>
      <c r="AN1393" s="101"/>
      <c r="AO1393" s="101"/>
      <c r="AP1393" s="101"/>
      <c r="AQ1393" s="101"/>
      <c r="AR1393" s="101"/>
      <c r="AS1393" s="101"/>
      <c r="AT1393" s="101"/>
    </row>
    <row r="1394" spans="1:46" ht="12.95" customHeight="1">
      <c r="A1394" s="494"/>
      <c r="B1394" s="198" t="s">
        <v>997</v>
      </c>
      <c r="C1394" s="117"/>
      <c r="D1394" s="118"/>
      <c r="E1394" s="119"/>
      <c r="F1394" s="711"/>
      <c r="G1394" s="356"/>
      <c r="H1394" s="745"/>
      <c r="I1394" s="119"/>
      <c r="J1394" s="185"/>
      <c r="K1394" s="620"/>
      <c r="L1394" s="620"/>
      <c r="M1394" s="121"/>
      <c r="N1394" s="121"/>
      <c r="O1394" s="123"/>
      <c r="P1394" s="124"/>
      <c r="Q1394" s="124"/>
      <c r="R1394" s="83"/>
      <c r="S1394" s="82"/>
      <c r="T1394" s="540"/>
      <c r="U1394" s="83"/>
      <c r="V1394" s="100"/>
      <c r="W1394" s="100"/>
      <c r="X1394" s="100"/>
      <c r="Y1394" s="201"/>
      <c r="Z1394" s="829" t="str">
        <f t="shared" si="3442"/>
        <v/>
      </c>
      <c r="AA1394" s="829"/>
      <c r="AB1394" s="830" t="str">
        <f>IF(G1394=0,"",IF(AD1394="free","re-planting",IF(AD1394="me","not NVP, by",IF($AD$8="yes",(VLOOKUP(A1394,'Discount Lookup'!J:K,2)*G1394*(1-$AC$1786)*(1+$AC$1788)),IF(AD1394="NVP",(VLOOKUP(A1394,'Discount Lookup'!J:K,2)*G1394*(1-$AC$1786)*(1+$AC$1788)),IF(AD1394="free","re-planting",IF(G1394=0,"",IF($AD$8="",IF(AD1394="me","not NVP, by",IF(AD1394="",IF(G1394&gt;0,(VLOOKUP(A1394,'Discount Lookup'!J:K,2)*G1394*(1-$AC$1786)*(1+$AC$1788)),""),"")),"not NVP, by"))))))))</f>
        <v/>
      </c>
      <c r="AC1394" s="830"/>
      <c r="AD1394" s="375" t="str">
        <f t="shared" si="3428"/>
        <v/>
      </c>
      <c r="AE1394" s="833" t="str">
        <f t="shared" si="3443"/>
        <v/>
      </c>
      <c r="AF1394" s="833"/>
      <c r="AG1394" s="833"/>
      <c r="AH1394" s="91">
        <f>IF(AD1394="free",0,IF(AD1394="me",0,IF(G1394&gt;0,(VLOOKUP(A1394,'Discount Lookup'!J:K,2)*G1394),0)))</f>
        <v>0</v>
      </c>
      <c r="AI1394" s="92" t="str">
        <f t="shared" si="3371"/>
        <v/>
      </c>
      <c r="AJ1394" s="828" t="str">
        <f t="shared" si="3444"/>
        <v/>
      </c>
      <c r="AK1394" s="828"/>
      <c r="AL1394" s="313" t="str">
        <f t="shared" si="3356"/>
        <v/>
      </c>
      <c r="AM1394" s="312"/>
      <c r="AN1394" s="101"/>
      <c r="AO1394" s="101"/>
      <c r="AP1394" s="101"/>
      <c r="AQ1394" s="101"/>
      <c r="AR1394" s="101"/>
      <c r="AS1394" s="101"/>
      <c r="AT1394" s="101"/>
    </row>
    <row r="1395" spans="1:46" ht="12.95" customHeight="1">
      <c r="A1395" s="839" t="s">
        <v>756</v>
      </c>
      <c r="B1395" s="837"/>
      <c r="C1395" s="837"/>
      <c r="D1395" s="837"/>
      <c r="E1395" s="837"/>
      <c r="F1395" s="837"/>
      <c r="G1395" s="837"/>
      <c r="H1395" s="775" t="s">
        <v>159</v>
      </c>
      <c r="I1395" s="349" t="s">
        <v>280</v>
      </c>
      <c r="J1395" s="157"/>
      <c r="K1395" s="611" t="s">
        <v>45</v>
      </c>
      <c r="L1395" s="630" t="s">
        <v>46</v>
      </c>
      <c r="M1395" s="157"/>
      <c r="N1395" s="158" t="s">
        <v>98</v>
      </c>
      <c r="O1395" s="165"/>
      <c r="P1395" s="165"/>
      <c r="Q1395" s="165"/>
      <c r="R1395" s="157"/>
      <c r="S1395" s="170"/>
      <c r="T1395" s="547"/>
      <c r="U1395" s="171"/>
      <c r="V1395" s="100" t="b">
        <f>IF(G1395&gt;0,IF(AD1395="me","",G1395))</f>
        <v>0</v>
      </c>
      <c r="W1395" s="100"/>
      <c r="X1395" s="100"/>
      <c r="Y1395" s="201"/>
      <c r="Z1395" s="829" t="str">
        <f t="shared" si="3442"/>
        <v/>
      </c>
      <c r="AA1395" s="829"/>
      <c r="AB1395" s="830" t="str">
        <f>IF(G1395=0,"",IF(AD1395="free","re-planting",IF(AD1395="me","not NVP, by",IF($AD$8="yes",(VLOOKUP(A1395,'Discount Lookup'!J:K,2)*G1395*(1-$AC$1786)*(1+$AC$1788)),IF(AD1395="NVP",(VLOOKUP(A1395,'Discount Lookup'!J:K,2)*G1395*(1-$AC$1786)*(1+$AC$1788)),IF(AD1395="free","re-planting",IF(G1395=0,"",IF($AD$8="",IF(AD1395="me","not NVP, by",IF(AD1395="",IF(G1395&gt;0,(VLOOKUP(A1395,'Discount Lookup'!J:K,2)*G1395*(1-$AC$1786)*(1+$AC$1788)),""),"")),"not NVP, by"))))))))</f>
        <v/>
      </c>
      <c r="AC1395" s="830"/>
      <c r="AD1395" s="375" t="str">
        <f t="shared" si="3428"/>
        <v/>
      </c>
      <c r="AE1395" s="833" t="str">
        <f t="shared" si="3427"/>
        <v/>
      </c>
      <c r="AF1395" s="833"/>
      <c r="AG1395" s="833"/>
      <c r="AH1395" s="91">
        <f>IF(AD1395="free",0,IF(AD1395="me",0,IF(G1395&gt;0,(VLOOKUP(A1395,'Discount Lookup'!J:K,2)*G1395),0)))</f>
        <v>0</v>
      </c>
      <c r="AI1395" s="92" t="str">
        <f t="shared" si="3371"/>
        <v/>
      </c>
      <c r="AJ1395" s="828" t="str">
        <f t="shared" si="3444"/>
        <v/>
      </c>
      <c r="AK1395" s="828"/>
      <c r="AL1395" s="313" t="str">
        <f t="shared" si="3356"/>
        <v/>
      </c>
      <c r="AM1395" s="312"/>
      <c r="AN1395" s="101"/>
      <c r="AO1395" s="101"/>
      <c r="AP1395" s="101"/>
      <c r="AQ1395" s="101"/>
      <c r="AR1395" s="101"/>
      <c r="AS1395" s="101"/>
      <c r="AT1395" s="101"/>
    </row>
    <row r="1396" spans="1:46" ht="12.95" customHeight="1">
      <c r="A1396" s="455">
        <v>3</v>
      </c>
      <c r="B1396" s="158" t="s">
        <v>50</v>
      </c>
      <c r="C1396" s="168" t="s">
        <v>136</v>
      </c>
      <c r="D1396" s="161" t="s">
        <v>86</v>
      </c>
      <c r="E1396" s="162">
        <v>24.95</v>
      </c>
      <c r="F1396" s="713" t="s">
        <v>1306</v>
      </c>
      <c r="G1396" s="357">
        <v>0</v>
      </c>
      <c r="H1396" s="748" t="str">
        <f t="shared" ref="H1396" si="3450">IF(G1396=0,"",IF(F1396="Qty=",IF(G1396=1,"plant","plants"),IF(F1396&gt;0.0001,"warranty","Error")))</f>
        <v/>
      </c>
      <c r="I1396" s="592">
        <f t="shared" ref="I1396" si="3451">IF(F1396="Qty=",(E1396*G1396),((E1396*(1-F1396))*G1396))</f>
        <v>0</v>
      </c>
      <c r="J1396" s="592">
        <f>IF(H1396="warranty",0,(I1396*($J$1782)))</f>
        <v>0</v>
      </c>
      <c r="K1396" s="834">
        <f t="shared" ref="K1396" si="3452">I1396+J1396</f>
        <v>0</v>
      </c>
      <c r="L1396" s="834"/>
      <c r="M1396" s="832" t="str">
        <f>IF($H$1784=0,"",IF(G1396=0,"",IF(F1396="Qty=",CONCATENATE("$",ROUND(K1396*(1-$H$1784),2)," with ",($H$1784*100),"% discount"),CONCATENATE("$",ROUND(K1396*(1-$H$1784),2)," with ",(($H$1784*100+F1396*100)-($H$1784*100*F1396)),IF(F1396&gt;0,"% discounts",IF($H$1781&gt;0,"% discounts","% discount"))))))</f>
        <v/>
      </c>
      <c r="N1396" s="832"/>
      <c r="O1396" s="832"/>
      <c r="P1396" s="832"/>
      <c r="Q1396" s="832"/>
      <c r="R1396" s="832"/>
      <c r="S1396" s="303">
        <f t="shared" ref="S1396" si="3453">E1396*G1396</f>
        <v>0</v>
      </c>
      <c r="T1396" s="541">
        <f>VLOOKUP(A1396,'Discount Lookup'!D:E,2,FALSE)*G1396</f>
        <v>0</v>
      </c>
      <c r="U1396" s="83">
        <f>VLOOKUP(A1396,'Discount Lookup'!G:H,2,FALSE)*G1396</f>
        <v>0</v>
      </c>
      <c r="V1396" s="100">
        <f>E1396*($J$1782)*G1396</f>
        <v>0</v>
      </c>
      <c r="W1396" s="100">
        <f t="shared" ref="W1396" si="3454">I1396</f>
        <v>0</v>
      </c>
      <c r="X1396" s="100" t="b">
        <f>IF(G1396&gt;0,IF(AD1396="me","",G1396))</f>
        <v>0</v>
      </c>
      <c r="Y1396" s="201"/>
      <c r="Z1396" s="829" t="str">
        <f t="shared" ref="Z1396" si="3455">IF(G1396=0,"",IF(AD1396="me","",IF($AD$8="me","",IF(AD1396="free","warranty",IF($AD$8="yes","NVP planting:","to NVP install:")))))</f>
        <v/>
      </c>
      <c r="AA1396" s="829"/>
      <c r="AB1396" s="830" t="str">
        <f>IF(G1396=0,"",IF(AD1396="free","re-planting",IF(AD1396="me","not NVP, by",IF($AD$8="yes",(VLOOKUP(A1396,'Discount Lookup'!J:K,2)*G1396*(1-$AC$1786)*(1+$AC$1788)),IF(AD1396="NVP",(VLOOKUP(A1396,'Discount Lookup'!J:K,2)*G1396*(1-$AC$1786)*(1+$AC$1788)),IF(AD1396="free","re-planting",IF(G1396=0,"",IF($AD$8="",IF(AD1396="me","not NVP, by",IF(AD1396="",IF(G1396&gt;0,(VLOOKUP(A1396,'Discount Lookup'!J:K,2)*G1396*(1-$AC$1786)*(1+$AC$1788)),""),"")),"not NVP, by"))))))))</f>
        <v/>
      </c>
      <c r="AC1396" s="830"/>
      <c r="AD1396" s="375" t="str">
        <f t="shared" si="3428"/>
        <v/>
      </c>
      <c r="AE1396" s="833" t="str">
        <f t="shared" ref="AE1396" si="3456">IF(G1396&gt;0,(CONCATENATE((G1396)," quantity, ",(A1396)," ",B1396)),"")</f>
        <v/>
      </c>
      <c r="AF1396" s="833"/>
      <c r="AG1396" s="833"/>
      <c r="AH1396" s="91">
        <f>IF(AD1396="free",0,IF(AD1396="me",0,IF(G1396&gt;0,(VLOOKUP(A1396,'Discount Lookup'!J:K,2)*G1396),0)))</f>
        <v>0</v>
      </c>
      <c r="AI1396" s="92" t="str">
        <f t="shared" si="3371"/>
        <v/>
      </c>
      <c r="AJ1396" s="828" t="str">
        <f t="shared" ref="AJ1396" si="3457">IF(G1396=0,"",IF(AD1396="me","  delivery-only",IF($AD$8="me","  delivery-only",CONCATENATE(" $",ROUND(AI1396/G1396,2)," each"))))</f>
        <v/>
      </c>
      <c r="AK1396" s="828"/>
      <c r="AL1396" s="313" t="str">
        <f t="shared" si="3356"/>
        <v/>
      </c>
      <c r="AM1396" s="312"/>
      <c r="AN1396" s="101"/>
      <c r="AO1396" s="101"/>
      <c r="AP1396" s="101"/>
      <c r="AQ1396" s="101"/>
      <c r="AR1396" s="101"/>
      <c r="AS1396" s="101"/>
      <c r="AT1396" s="101"/>
    </row>
    <row r="1397" spans="1:46" ht="12.95" customHeight="1">
      <c r="A1397" s="494"/>
      <c r="B1397" s="198" t="s">
        <v>757</v>
      </c>
      <c r="C1397" s="117"/>
      <c r="D1397" s="118"/>
      <c r="E1397" s="119"/>
      <c r="F1397" s="711"/>
      <c r="G1397" s="356"/>
      <c r="H1397" s="745"/>
      <c r="I1397" s="119"/>
      <c r="J1397" s="119"/>
      <c r="K1397" s="609"/>
      <c r="L1397" s="588"/>
      <c r="M1397" s="123"/>
      <c r="N1397" s="206" t="s">
        <v>758</v>
      </c>
      <c r="O1397" s="48"/>
      <c r="P1397" s="48"/>
      <c r="Q1397" s="48"/>
      <c r="R1397" s="83"/>
      <c r="S1397" s="82">
        <f>E1397*G1397</f>
        <v>0</v>
      </c>
      <c r="T1397" s="540"/>
      <c r="U1397" s="83"/>
      <c r="V1397" s="100" t="b">
        <f>IF(G1397&gt;0,IF(AD1397="me","",G1397))</f>
        <v>0</v>
      </c>
      <c r="W1397" s="100"/>
      <c r="X1397" s="100"/>
      <c r="Y1397" s="201"/>
      <c r="Z1397" s="829" t="str">
        <f t="shared" si="3442"/>
        <v/>
      </c>
      <c r="AA1397" s="829"/>
      <c r="AB1397" s="830" t="str">
        <f>IF(G1397=0,"",IF(AD1397="free","re-planting",IF(AD1397="me","not NVP, by",IF($AD$8="yes",(VLOOKUP(A1397,'Discount Lookup'!J:K,2)*G1397*(1-$AC$1786)*(1+$AC$1788)),IF(AD1397="NVP",(VLOOKUP(A1397,'Discount Lookup'!J:K,2)*G1397*(1-$AC$1786)*(1+$AC$1788)),IF(AD1397="free","re-planting",IF(G1397=0,"",IF($AD$8="",IF(AD1397="me","not NVP, by",IF(AD1397="",IF(G1397&gt;0,(VLOOKUP(A1397,'Discount Lookup'!J:K,2)*G1397*(1-$AC$1786)*(1+$AC$1788)),""),"")),"not NVP, by"))))))))</f>
        <v/>
      </c>
      <c r="AC1397" s="830"/>
      <c r="AD1397" s="375" t="str">
        <f t="shared" si="3428"/>
        <v/>
      </c>
      <c r="AE1397" s="833" t="str">
        <f t="shared" si="3427"/>
        <v/>
      </c>
      <c r="AF1397" s="833"/>
      <c r="AG1397" s="833"/>
      <c r="AH1397" s="91">
        <f>IF(AD1397="free",0,IF(AD1397="me",0,IF(G1397&gt;0,(VLOOKUP(A1397,'Discount Lookup'!J:K,2)*G1397),0)))</f>
        <v>0</v>
      </c>
      <c r="AI1397" s="92" t="str">
        <f t="shared" si="3371"/>
        <v/>
      </c>
      <c r="AJ1397" s="828" t="str">
        <f t="shared" si="3444"/>
        <v/>
      </c>
      <c r="AK1397" s="828"/>
      <c r="AL1397" s="313" t="str">
        <f t="shared" si="3356"/>
        <v/>
      </c>
      <c r="AM1397" s="312"/>
      <c r="AN1397" s="101"/>
      <c r="AO1397" s="101"/>
      <c r="AP1397" s="101"/>
      <c r="AQ1397" s="101"/>
      <c r="AR1397" s="101"/>
      <c r="AS1397" s="101"/>
      <c r="AT1397" s="101"/>
    </row>
    <row r="1398" spans="1:46" ht="12.95" customHeight="1">
      <c r="A1398" s="839" t="s">
        <v>1004</v>
      </c>
      <c r="B1398" s="837"/>
      <c r="C1398" s="837"/>
      <c r="D1398" s="837"/>
      <c r="E1398" s="837"/>
      <c r="F1398" s="837"/>
      <c r="G1398" s="837"/>
      <c r="H1398" s="775" t="s">
        <v>197</v>
      </c>
      <c r="I1398" s="349" t="s">
        <v>280</v>
      </c>
      <c r="J1398" s="157"/>
      <c r="K1398" s="611" t="s">
        <v>45</v>
      </c>
      <c r="L1398" s="630" t="s">
        <v>46</v>
      </c>
      <c r="M1398" s="293"/>
      <c r="N1398" s="352" t="s">
        <v>75</v>
      </c>
      <c r="O1398" s="157"/>
      <c r="P1398" s="294"/>
      <c r="Q1398" s="294"/>
      <c r="R1398" s="157"/>
      <c r="S1398" s="170"/>
      <c r="T1398" s="547"/>
      <c r="U1398" s="157"/>
      <c r="V1398" s="100" t="b">
        <f>IF(G1398&gt;0,IF(AD1398="me","",G1398))</f>
        <v>0</v>
      </c>
      <c r="W1398" s="100"/>
      <c r="X1398" s="100"/>
      <c r="Y1398" s="201"/>
      <c r="Z1398" s="829" t="str">
        <f>IF(G1398=0,"",IF(AD1398="me","",IF($AD$8="me","",IF(AD1398="free","warranty",IF($AD$8="yes","NVP planting:","to NVP install:")))))</f>
        <v/>
      </c>
      <c r="AA1398" s="829"/>
      <c r="AB1398" s="830" t="str">
        <f>IF(G1398=0,"",IF(AD1398="free","re-planting",IF(AD1398="me","not NVP, by",IF($AD$8="yes",(VLOOKUP(A1398,'Discount Lookup'!J:K,2)*G1398*(1-#REF!)*(1+$AC$1788)),IF(AD1398="NVP",(VLOOKUP(A1398,'Discount Lookup'!J:K,2)*G1398*(1-#REF!)*(1+$AC$1788)),IF(AD1398="free","re-planting",IF(G1398=0,"",IF($AD$8="",IF(AD1398="me","not NVP, by",IF(AD1398="",IF(G1398&gt;0,(VLOOKUP(A1398,'Discount Lookup'!J:K,2)*G1398*(1-#REF!)*(1+$AC$1788)),""),"")),"not NVP, by"))))))))</f>
        <v/>
      </c>
      <c r="AC1398" s="830"/>
      <c r="AD1398" s="375" t="str">
        <f t="shared" si="3428"/>
        <v/>
      </c>
      <c r="AE1398" s="833" t="str">
        <f>IF(G1398&gt;0,(CONCATENATE((G1398)," quantity, ",(A1398)," ",B1398)),"")</f>
        <v/>
      </c>
      <c r="AF1398" s="833"/>
      <c r="AG1398" s="833"/>
      <c r="AH1398" s="91" t="s">
        <v>109</v>
      </c>
      <c r="AI1398" s="92" t="str">
        <f t="shared" si="3371"/>
        <v/>
      </c>
      <c r="AJ1398" s="828" t="str">
        <f>IF(G1398=0,"",IF(AD1398="me","  delivery-only",CONCATENATE(" $",ROUND(AI1398/G1398,2)," each")))</f>
        <v/>
      </c>
      <c r="AK1398" s="828"/>
      <c r="AL1398" s="313" t="str">
        <f t="shared" si="3356"/>
        <v/>
      </c>
      <c r="AM1398" s="312"/>
      <c r="AN1398" s="101"/>
      <c r="AO1398" s="101"/>
      <c r="AP1398" s="101"/>
      <c r="AQ1398" s="101"/>
      <c r="AR1398" s="101"/>
      <c r="AS1398" s="101"/>
      <c r="AT1398" s="101"/>
    </row>
    <row r="1399" spans="1:46" ht="12.95" customHeight="1">
      <c r="A1399" s="455">
        <v>3</v>
      </c>
      <c r="B1399" s="158" t="s">
        <v>50</v>
      </c>
      <c r="C1399" s="160" t="s">
        <v>91</v>
      </c>
      <c r="D1399" s="161" t="s">
        <v>87</v>
      </c>
      <c r="E1399" s="162">
        <v>43.95</v>
      </c>
      <c r="F1399" s="713" t="s">
        <v>1306</v>
      </c>
      <c r="G1399" s="357">
        <v>0</v>
      </c>
      <c r="H1399" s="748" t="str">
        <f t="shared" ref="H1399" si="3458">IF(G1399=0,"",IF(F1399="Qty=",IF(G1399=1,"plant","plants"),IF(F1399&gt;0.0001,"warranty","Error")))</f>
        <v/>
      </c>
      <c r="I1399" s="592">
        <f t="shared" ref="I1399" si="3459">IF(F1399="Qty=",(E1399*G1399),((E1399*(1-F1399))*G1399))</f>
        <v>0</v>
      </c>
      <c r="J1399" s="592">
        <f>IF(H1399="warranty",0,(I1399*($J$1782)))</f>
        <v>0</v>
      </c>
      <c r="K1399" s="834">
        <f t="shared" ref="K1399" si="3460">I1399+J1399</f>
        <v>0</v>
      </c>
      <c r="L1399" s="834"/>
      <c r="M1399" s="832" t="str">
        <f>IF($H$1784=0,"",IF(G1399=0,"",IF(F1399="Qty=",CONCATENATE("$",ROUND(K1399*(1-$H$1784),2)," with ",($H$1784*100),"% discount"),CONCATENATE("$",ROUND(K1399*(1-$H$1784),2)," with ",(($H$1784*100+F1399*100)-($H$1784*100*F1399)),IF(F1399&gt;0,"% discounts",IF($H$1781&gt;0,"% discounts","% discount"))))))</f>
        <v/>
      </c>
      <c r="N1399" s="832"/>
      <c r="O1399" s="832"/>
      <c r="P1399" s="832"/>
      <c r="Q1399" s="832"/>
      <c r="R1399" s="832"/>
      <c r="S1399" s="303">
        <f t="shared" ref="S1399" si="3461">E1399*G1399</f>
        <v>0</v>
      </c>
      <c r="T1399" s="541">
        <f>VLOOKUP(A1399,'Discount Lookup'!D:E,2,FALSE)*G1399</f>
        <v>0</v>
      </c>
      <c r="U1399" s="83">
        <f>VLOOKUP(A1399,'Discount Lookup'!G:H,2,FALSE)*G1399</f>
        <v>0</v>
      </c>
      <c r="V1399" s="100">
        <f>E1399*($J$1782)*G1399</f>
        <v>0</v>
      </c>
      <c r="W1399" s="100">
        <f t="shared" ref="W1399" si="3462">I1399</f>
        <v>0</v>
      </c>
      <c r="X1399" s="100" t="b">
        <f>IF(G1399&gt;0,IF(AD1399="me","",G1399))</f>
        <v>0</v>
      </c>
      <c r="Y1399" s="201"/>
      <c r="Z1399" s="829" t="str">
        <f t="shared" ref="Z1399" si="3463">IF(G1399=0,"",IF(AD1399="me","",IF($AD$8="me","",IF(AD1399="free","warranty",IF($AD$8="yes","NVP planting:","to NVP install:")))))</f>
        <v/>
      </c>
      <c r="AA1399" s="829"/>
      <c r="AB1399" s="830" t="str">
        <f>IF(G1399=0,"",IF(AD1399="free","re-planting",IF(AD1399="me","not NVP, by",IF($AD$8="yes",(VLOOKUP(A1399,'Discount Lookup'!J:K,2)*G1399*(1-$AC$1786)*(1+$AC$1788)),IF(AD1399="NVP",(VLOOKUP(A1399,'Discount Lookup'!J:K,2)*G1399*(1-$AC$1786)*(1+$AC$1788)),IF(AD1399="free","re-planting",IF(G1399=0,"",IF($AD$8="",IF(AD1399="me","not NVP, by",IF(AD1399="",IF(G1399&gt;0,(VLOOKUP(A1399,'Discount Lookup'!J:K,2)*G1399*(1-$AC$1786)*(1+$AC$1788)),""),"")),"not NVP, by"))))))))</f>
        <v/>
      </c>
      <c r="AC1399" s="830"/>
      <c r="AD1399" s="375" t="str">
        <f t="shared" si="3428"/>
        <v/>
      </c>
      <c r="AE1399" s="833" t="str">
        <f t="shared" ref="AE1399" si="3464">IF(G1399&gt;0,(CONCATENATE((G1399)," quantity, ",(A1399)," ",B1399)),"")</f>
        <v/>
      </c>
      <c r="AF1399" s="833"/>
      <c r="AG1399" s="833"/>
      <c r="AH1399" s="91">
        <f>IF(AD1399="free",0,IF(AD1399="me",0,IF(G1399&gt;0,(VLOOKUP(A1399,'Discount Lookup'!J:K,2)*G1399),0)))</f>
        <v>0</v>
      </c>
      <c r="AI1399" s="92" t="str">
        <f t="shared" si="3371"/>
        <v/>
      </c>
      <c r="AJ1399" s="828" t="str">
        <f t="shared" ref="AJ1399" si="3465">IF(G1399=0,"",IF(AD1399="me","  delivery-only",IF($AD$8="me","  delivery-only",CONCATENATE(" $",ROUND(AI1399/G1399,2)," each"))))</f>
        <v/>
      </c>
      <c r="AK1399" s="828"/>
      <c r="AL1399" s="313" t="str">
        <f t="shared" si="3356"/>
        <v/>
      </c>
      <c r="AM1399" s="312"/>
      <c r="AN1399" s="101"/>
      <c r="AO1399" s="101"/>
      <c r="AP1399" s="101"/>
      <c r="AQ1399" s="101"/>
      <c r="AR1399" s="101"/>
      <c r="AS1399" s="101"/>
      <c r="AT1399" s="101"/>
    </row>
    <row r="1400" spans="1:46" ht="12.95" customHeight="1">
      <c r="A1400" s="495"/>
      <c r="B1400" s="198" t="s">
        <v>1005</v>
      </c>
      <c r="C1400" s="104"/>
      <c r="D1400" s="104"/>
      <c r="E1400" s="105"/>
      <c r="F1400" s="709"/>
      <c r="G1400" s="358"/>
      <c r="H1400" s="743"/>
      <c r="I1400" s="102"/>
      <c r="J1400" s="102"/>
      <c r="K1400" s="607"/>
      <c r="L1400" s="607"/>
      <c r="M1400" s="154"/>
      <c r="N1400" s="122" t="s">
        <v>959</v>
      </c>
      <c r="O1400" s="48"/>
      <c r="P1400" s="48"/>
      <c r="Q1400" s="48"/>
      <c r="R1400" s="48"/>
      <c r="S1400" s="82"/>
      <c r="T1400" s="540"/>
      <c r="U1400" s="83"/>
      <c r="V1400" s="100"/>
      <c r="W1400" s="100"/>
      <c r="X1400" s="100"/>
      <c r="Y1400" s="201"/>
      <c r="Z1400" s="829" t="str">
        <f t="shared" ref="Z1400:Z1409" si="3466">IF(G1400=0,"",IF(AD1400="me","",IF($AD$8="me","",IF(AD1400="free","warranty",IF($AD$8="yes","NVP planting:","to NVP install:")))))</f>
        <v/>
      </c>
      <c r="AA1400" s="829"/>
      <c r="AB1400" s="830" t="str">
        <f>IF(G1400=0,"",IF(AD1400="free","re-planting",IF(AD1400="me","not NVP, by",IF($AD$8="yes",(VLOOKUP(A1400,'Discount Lookup'!J:K,2)*G1400*(1-#REF!)*(1+$AC$1788)),IF(AD1400="NVP",(VLOOKUP(A1400,'Discount Lookup'!J:K,2)*G1400*(1-#REF!)*(1+$AC$1788)),IF(AD1400="free","re-planting",IF(G1400=0,"",IF($AD$8="",IF(AD1400="me","not NVP, by",IF(AD1400="",IF(G1400&gt;0,(VLOOKUP(A1400,'Discount Lookup'!J:K,2)*G1400*(1-#REF!)*(1+$AC$1788)),""),"")),"not NVP, by"))))))))</f>
        <v/>
      </c>
      <c r="AC1400" s="830"/>
      <c r="AD1400" s="375" t="str">
        <f t="shared" si="3428"/>
        <v/>
      </c>
      <c r="AE1400" s="833" t="str">
        <f>IF(G1400&gt;0,(CONCATENATE((G1400)," quantity, ",(A1400)," ",B1400)),"")</f>
        <v/>
      </c>
      <c r="AF1400" s="833"/>
      <c r="AG1400" s="833"/>
      <c r="AH1400" s="91" t="s">
        <v>109</v>
      </c>
      <c r="AI1400" s="92" t="str">
        <f t="shared" si="3371"/>
        <v/>
      </c>
      <c r="AJ1400" s="828" t="str">
        <f>IF(G1400=0,"",IF(AD1400="me","  delivery-only",CONCATENATE(" $",ROUND(AI1400/G1400,2)," each")))</f>
        <v/>
      </c>
      <c r="AK1400" s="828"/>
      <c r="AL1400" s="313" t="str">
        <f t="shared" si="3356"/>
        <v/>
      </c>
      <c r="AM1400" s="312"/>
      <c r="AN1400" s="101"/>
      <c r="AO1400" s="101"/>
      <c r="AP1400" s="101"/>
      <c r="AQ1400" s="101"/>
      <c r="AR1400" s="101"/>
      <c r="AS1400" s="101"/>
      <c r="AT1400" s="101"/>
    </row>
    <row r="1401" spans="1:46" ht="12.95" customHeight="1">
      <c r="A1401" s="839" t="s">
        <v>1039</v>
      </c>
      <c r="B1401" s="837"/>
      <c r="C1401" s="837"/>
      <c r="D1401" s="837"/>
      <c r="E1401" s="837"/>
      <c r="F1401" s="837"/>
      <c r="G1401" s="837"/>
      <c r="H1401" s="775" t="s">
        <v>197</v>
      </c>
      <c r="I1401" s="349" t="s">
        <v>280</v>
      </c>
      <c r="J1401" s="157"/>
      <c r="K1401" s="611" t="s">
        <v>45</v>
      </c>
      <c r="L1401" s="630" t="s">
        <v>46</v>
      </c>
      <c r="M1401" s="293"/>
      <c r="N1401" s="352" t="s">
        <v>75</v>
      </c>
      <c r="O1401" s="157"/>
      <c r="P1401" s="294"/>
      <c r="Q1401" s="294"/>
      <c r="R1401" s="157"/>
      <c r="S1401" s="170"/>
      <c r="T1401" s="547"/>
      <c r="U1401" s="157"/>
      <c r="V1401" s="100" t="b">
        <f>IF(G1401&gt;0,IF(AD1401="me","",G1401))</f>
        <v>0</v>
      </c>
      <c r="W1401" s="100"/>
      <c r="X1401" s="100"/>
      <c r="Y1401" s="790"/>
      <c r="Z1401" s="838" t="str">
        <f t="shared" si="3466"/>
        <v/>
      </c>
      <c r="AA1401" s="838"/>
      <c r="AB1401" s="830" t="str">
        <f>IF(G1401=0,"",IF(AD1401="free","re-planting",IF(AD1401="me","not NVP, by",IF($AD$8="yes",(VLOOKUP(A1401,'Discount Lookup'!J:K,2)*G1401*(1-$AC$1786)*(1+$AC$1788)),IF(AD1401="NVP",(VLOOKUP(A1401,'Discount Lookup'!J:K,2)*G1401*(1-$AC$1786)*(1+$AC$1788)),IF(AD1401="free","re-planting",IF(G1401=0,"",IF($AD$8="",IF(AD1401="me","not NVP, by",IF(AD1401="",IF(G1401&gt;0,(VLOOKUP(A1401,'Discount Lookup'!J:K,2)*G1401*(1-$AC$1786)*(1+$AC$1788)),""),"")),"not NVP, by"))))))))</f>
        <v/>
      </c>
      <c r="AC1401" s="830"/>
      <c r="AD1401" s="375" t="str">
        <f t="shared" ref="AD1401:AD1409" si="3467">IF(G1401=0,"",IF($AD$8="me","me",IF(H1401="warranty","free",IF($AD$8="yes","NVP",""))))</f>
        <v/>
      </c>
      <c r="AE1401" s="833" t="str">
        <f t="shared" ref="AE1401:AE1403" si="3468">IF(G1401&gt;0,(CONCATENATE((G1401)," quantity, ",(A1401)," ",B1401)),"")</f>
        <v/>
      </c>
      <c r="AF1401" s="833"/>
      <c r="AG1401" s="833"/>
      <c r="AH1401" s="91">
        <f>IF(AD1401="free",0,IF(AD1401="me",0,IF(G1401&gt;0,(VLOOKUP(A1401,'Discount Lookup'!J:K,2)*G1401),0)))</f>
        <v>0</v>
      </c>
      <c r="AI1401" s="92" t="str">
        <f t="shared" si="3371"/>
        <v/>
      </c>
      <c r="AJ1401" s="828" t="str">
        <f t="shared" ref="AJ1401:AJ1403" si="3469">IF(G1401=0,"",IF(AD1401="me","  delivery-only",CONCATENATE(" $",ROUND(AI1401/G1401,2)," each")))</f>
        <v/>
      </c>
      <c r="AK1401" s="828"/>
      <c r="AL1401" s="313" t="str">
        <f t="shared" si="3356"/>
        <v/>
      </c>
      <c r="AM1401" s="312"/>
      <c r="AN1401" s="101"/>
      <c r="AO1401" s="101"/>
      <c r="AP1401" s="101"/>
      <c r="AQ1401" s="101"/>
      <c r="AR1401" s="101"/>
      <c r="AS1401" s="101"/>
      <c r="AT1401" s="101"/>
    </row>
    <row r="1402" spans="1:46" ht="12.95" customHeight="1">
      <c r="A1402" s="455">
        <v>3</v>
      </c>
      <c r="B1402" s="158" t="s">
        <v>50</v>
      </c>
      <c r="C1402" s="160" t="s">
        <v>91</v>
      </c>
      <c r="D1402" s="161" t="s">
        <v>87</v>
      </c>
      <c r="E1402" s="162">
        <v>43.95</v>
      </c>
      <c r="F1402" s="713" t="s">
        <v>1306</v>
      </c>
      <c r="G1402" s="357">
        <v>0</v>
      </c>
      <c r="H1402" s="748" t="str">
        <f t="shared" ref="H1402" si="3470">IF(G1402=0,"",IF(F1402="Qty=",IF(G1402=1,"plant","plants"),IF(F1402&gt;0.0001,"warranty","Error")))</f>
        <v/>
      </c>
      <c r="I1402" s="592">
        <f t="shared" ref="I1402" si="3471">IF(F1402="Qty=",(E1402*G1402),((E1402*(1-F1402))*G1402))</f>
        <v>0</v>
      </c>
      <c r="J1402" s="592">
        <f>IF(H1402="warranty",0,(I1402*($J$1782)))</f>
        <v>0</v>
      </c>
      <c r="K1402" s="834">
        <f t="shared" ref="K1402" si="3472">I1402+J1402</f>
        <v>0</v>
      </c>
      <c r="L1402" s="834"/>
      <c r="M1402" s="832" t="str">
        <f>IF($H$1784=0,"",IF(G1402=0,"",IF(F1402="Qty=",CONCATENATE("$",ROUND(K1402*(1-$H$1784),2)," with ",($H$1784*100),"% discount"),CONCATENATE("$",ROUND(K1402*(1-$H$1784),2)," with ",(($H$1784*100+F1402*100)-($H$1784*100*F1402)),IF(F1402&gt;0,"% discounts",IF($H$1781&gt;0,"% discounts","% discount"))))))</f>
        <v/>
      </c>
      <c r="N1402" s="832"/>
      <c r="O1402" s="832"/>
      <c r="P1402" s="832"/>
      <c r="Q1402" s="832"/>
      <c r="R1402" s="832"/>
      <c r="S1402" s="303">
        <f t="shared" ref="S1402" si="3473">E1402*G1402</f>
        <v>0</v>
      </c>
      <c r="T1402" s="541">
        <f>VLOOKUP(A1402,'Discount Lookup'!D:E,2,FALSE)*G1402</f>
        <v>0</v>
      </c>
      <c r="U1402" s="83">
        <f>VLOOKUP(A1402,'Discount Lookup'!G:H,2,FALSE)*G1402</f>
        <v>0</v>
      </c>
      <c r="V1402" s="100">
        <f>E1402*($J$1782)*G1402</f>
        <v>0</v>
      </c>
      <c r="W1402" s="100">
        <f t="shared" ref="W1402" si="3474">I1402</f>
        <v>0</v>
      </c>
      <c r="X1402" s="100" t="b">
        <f>IF(G1402&gt;0,IF(AD1402="me","",G1402))</f>
        <v>0</v>
      </c>
      <c r="Y1402" s="790"/>
      <c r="Z1402" s="838" t="str">
        <f t="shared" si="3466"/>
        <v/>
      </c>
      <c r="AA1402" s="838"/>
      <c r="AB1402" s="830" t="str">
        <f>IF(G1402=0,"",IF(AD1402="free","re-planting",IF(AD1402="me","not NVP, by",IF($AD$8="yes",(VLOOKUP(A1402,'Discount Lookup'!J:K,2)*G1402*(1-$AC$1786)*(1+$AC$1788)),IF(AD1402="NVP",(VLOOKUP(A1402,'Discount Lookup'!J:K,2)*G1402*(1-$AC$1786)*(1+$AC$1788)),IF(AD1402="free","re-planting",IF(G1402=0,"",IF($AD$8="",IF(AD1402="me","not NVP, by",IF(AD1402="",IF(G1402&gt;0,(VLOOKUP(A1402,'Discount Lookup'!J:K,2)*G1402*(1-$AC$1786)*(1+$AC$1788)),""),"")),"not NVP, by"))))))))</f>
        <v/>
      </c>
      <c r="AC1402" s="830"/>
      <c r="AD1402" s="375" t="str">
        <f t="shared" si="3467"/>
        <v/>
      </c>
      <c r="AE1402" s="833" t="str">
        <f t="shared" si="3468"/>
        <v/>
      </c>
      <c r="AF1402" s="833"/>
      <c r="AG1402" s="833"/>
      <c r="AH1402" s="91">
        <f>IF(AD1402="free",0,IF(AD1402="me",0,IF(G1402&gt;0,(VLOOKUP(A1402,'Discount Lookup'!J:K,2)*G1402),0)))</f>
        <v>0</v>
      </c>
      <c r="AI1402" s="92" t="str">
        <f t="shared" si="3371"/>
        <v/>
      </c>
      <c r="AJ1402" s="828" t="str">
        <f t="shared" si="3469"/>
        <v/>
      </c>
      <c r="AK1402" s="828"/>
      <c r="AL1402" s="313" t="str">
        <f t="shared" si="3356"/>
        <v/>
      </c>
      <c r="AM1402" s="312"/>
      <c r="AN1402" s="101"/>
      <c r="AO1402" s="101"/>
      <c r="AP1402" s="101"/>
      <c r="AQ1402" s="101"/>
      <c r="AR1402" s="101"/>
      <c r="AS1402" s="101"/>
      <c r="AT1402" s="101"/>
    </row>
    <row r="1403" spans="1:46" ht="12.95" customHeight="1">
      <c r="A1403" s="495"/>
      <c r="B1403" s="198" t="s">
        <v>1040</v>
      </c>
      <c r="C1403" s="104"/>
      <c r="D1403" s="104"/>
      <c r="E1403" s="105"/>
      <c r="F1403" s="709"/>
      <c r="G1403" s="358"/>
      <c r="H1403" s="743"/>
      <c r="I1403" s="102"/>
      <c r="J1403" s="102"/>
      <c r="K1403" s="607"/>
      <c r="L1403" s="607"/>
      <c r="M1403" s="154"/>
      <c r="N1403" s="122" t="s">
        <v>370</v>
      </c>
      <c r="O1403" s="123"/>
      <c r="P1403" s="124"/>
      <c r="W1403" s="100"/>
      <c r="X1403" s="100"/>
      <c r="Y1403" s="790"/>
      <c r="Z1403" s="838" t="str">
        <f t="shared" si="3466"/>
        <v/>
      </c>
      <c r="AA1403" s="838"/>
      <c r="AB1403" s="830" t="str">
        <f>IF(G1403=0,"",IF(AD1403="free","re-planting",IF(AD1403="me","not NVP, by",IF($AD$8="yes",(VLOOKUP(A1403,'Discount Lookup'!J:K,2)*G1403*(1-$AC$1786)*(1+$AC$1788)),IF(AD1403="NVP",(VLOOKUP(A1403,'Discount Lookup'!J:K,2)*G1403*(1-$AC$1786)*(1+$AC$1788)),IF(AD1403="free","re-planting",IF(G1403=0,"",IF($AD$8="",IF(AD1403="me","not NVP, by",IF(AD1403="",IF(G1403&gt;0,(VLOOKUP(A1403,'Discount Lookup'!J:K,2)*G1403*(1-$AC$1786)*(1+$AC$1788)),""),"")),"not NVP, by"))))))))</f>
        <v/>
      </c>
      <c r="AC1403" s="830"/>
      <c r="AD1403" s="375" t="str">
        <f t="shared" si="3467"/>
        <v/>
      </c>
      <c r="AE1403" s="833" t="str">
        <f t="shared" si="3468"/>
        <v/>
      </c>
      <c r="AF1403" s="833"/>
      <c r="AG1403" s="833"/>
      <c r="AH1403" s="91">
        <f>IF(AD1403="free",0,IF(AD1403="me",0,IF(G1403&gt;0,(VLOOKUP(A1403,'Discount Lookup'!J:K,2)*G1403),0)))</f>
        <v>0</v>
      </c>
      <c r="AI1403" s="92" t="str">
        <f t="shared" si="3371"/>
        <v/>
      </c>
      <c r="AJ1403" s="828" t="str">
        <f t="shared" si="3469"/>
        <v/>
      </c>
      <c r="AK1403" s="828"/>
      <c r="AL1403" s="313" t="str">
        <f t="shared" si="3356"/>
        <v/>
      </c>
      <c r="AM1403" s="312"/>
      <c r="AN1403" s="101"/>
      <c r="AO1403" s="101"/>
      <c r="AP1403" s="101"/>
      <c r="AQ1403" s="101"/>
      <c r="AR1403" s="101"/>
      <c r="AS1403" s="101"/>
      <c r="AT1403" s="101"/>
    </row>
    <row r="1404" spans="1:46" ht="12.95" customHeight="1">
      <c r="A1404" s="839" t="s">
        <v>760</v>
      </c>
      <c r="B1404" s="837"/>
      <c r="C1404" s="837"/>
      <c r="D1404" s="837"/>
      <c r="E1404" s="837"/>
      <c r="F1404" s="837"/>
      <c r="G1404" s="837"/>
      <c r="H1404" s="775" t="s">
        <v>403</v>
      </c>
      <c r="I1404" s="164" t="s">
        <v>79</v>
      </c>
      <c r="J1404" s="157"/>
      <c r="K1404" s="611" t="s">
        <v>45</v>
      </c>
      <c r="L1404" s="630" t="s">
        <v>46</v>
      </c>
      <c r="M1404" s="157"/>
      <c r="N1404" s="158" t="s">
        <v>98</v>
      </c>
      <c r="O1404" s="158"/>
      <c r="P1404" s="158"/>
      <c r="Q1404" s="158"/>
      <c r="R1404" s="157"/>
      <c r="S1404" s="170"/>
      <c r="T1404" s="547"/>
      <c r="U1404" s="171"/>
      <c r="V1404" s="100" t="b">
        <f>IF(G1404&gt;0,IF(AD1404="me","",G1404))</f>
        <v>0</v>
      </c>
      <c r="W1404" s="100"/>
      <c r="X1404" s="100"/>
      <c r="Y1404" s="790"/>
      <c r="Z1404" s="838" t="str">
        <f>IF(G1404=0,"",IF(AD1404="me","",IF($AD$8="me","",IF(AD1404="free","warranty",IF($AD$8="yes","NVP planting:","to NVP install:")))))</f>
        <v/>
      </c>
      <c r="AA1404" s="838"/>
      <c r="AB1404" s="830" t="str">
        <f>IF(G1404=0,"",IF(AD1404="free","re-planting",IF(AD1404="me","not NVP, by",IF($AD$8="yes",(VLOOKUP(A1404,'Discount Lookup'!J:K,2)*G1404*(1-$AC$1786)*(1+$AC$1788)),IF(AD1404="NVP",(VLOOKUP(A1404,'Discount Lookup'!J:K,2)*G1404*(1-$AC$1786)*(1+$AC$1788)),IF(AD1404="free","re-planting",IF(G1404=0,"",IF($AD$8="",IF(AD1404="me","not NVP, by",IF(AD1404="",IF(G1404&gt;0,(VLOOKUP(A1404,'Discount Lookup'!J:K,2)*G1404*(1-$AC$1786)*(1+$AC$1788)),""),"")),"not NVP, by"))))))))</f>
        <v/>
      </c>
      <c r="AC1404" s="830"/>
      <c r="AD1404" s="375" t="str">
        <f>IF(G1404=0,"",IF($AD$8="me","me",IF(H1404="warranty","free",IF($AD$8="yes","NVP",""))))</f>
        <v/>
      </c>
      <c r="AE1404" s="833" t="str">
        <f>IF(G1404&gt;0,(CONCATENATE((G1404)," quantity, ",(A1404)," ",B1404)),"")</f>
        <v/>
      </c>
      <c r="AF1404" s="833"/>
      <c r="AG1404" s="833"/>
      <c r="AH1404" s="91" t="str">
        <f>IF(AD1404="free",0,IF(AD1404="me","",IF(G1404&gt;0,(VLOOKUP(A1404,'Discount Lookup'!J:K,2)*G1404),"")))</f>
        <v/>
      </c>
      <c r="AI1404" s="92" t="str">
        <f>IF(AD1404="free",(K1404*(1-H1784)),IF(G1404=0,"",IF($AD$8="",IF(G1404=0,"",IF(AD1404="me",(K1404*(1-H1784)),(K1404*(1-H1784))+AB1404)),IF(K1404="Images","",IF(K1404=0,"",(K1404*(1-H1784)))))))</f>
        <v/>
      </c>
      <c r="AJ1404" s="828" t="str">
        <f>IF(G1404=0,"",IF(AD1404="me","  delivery-only",CONCATENATE(" $",ROUND(AI1404/G1404,2)," each")))</f>
        <v/>
      </c>
      <c r="AK1404" s="828"/>
      <c r="AL1404" s="313" t="str">
        <f t="shared" si="3356"/>
        <v/>
      </c>
      <c r="AM1404" s="312"/>
      <c r="AN1404" s="101"/>
      <c r="AO1404" s="101"/>
      <c r="AP1404" s="101"/>
      <c r="AQ1404" s="101"/>
      <c r="AR1404" s="101"/>
      <c r="AS1404" s="101"/>
      <c r="AT1404" s="101"/>
    </row>
    <row r="1405" spans="1:46" ht="12.95" customHeight="1">
      <c r="A1405" s="455">
        <v>3</v>
      </c>
      <c r="B1405" s="158" t="s">
        <v>50</v>
      </c>
      <c r="C1405" s="168" t="s">
        <v>136</v>
      </c>
      <c r="D1405" s="161" t="s">
        <v>87</v>
      </c>
      <c r="E1405" s="162">
        <v>35.950000000000003</v>
      </c>
      <c r="F1405" s="713" t="s">
        <v>1306</v>
      </c>
      <c r="G1405" s="357">
        <v>0</v>
      </c>
      <c r="H1405" s="748" t="str">
        <f t="shared" ref="H1405" si="3475">IF(G1405=0,"",IF(F1405="Qty=",IF(G1405=1,"plant","plants"),IF(F1405&gt;0.0001,"warranty","Error")))</f>
        <v/>
      </c>
      <c r="I1405" s="592">
        <f t="shared" ref="I1405" si="3476">IF(F1405="Qty=",(E1405*G1405),((E1405*(1-F1405))*G1405))</f>
        <v>0</v>
      </c>
      <c r="J1405" s="592">
        <f>IF(H1405="warranty",0,(I1405*($J$1782)))</f>
        <v>0</v>
      </c>
      <c r="K1405" s="834">
        <f t="shared" ref="K1405" si="3477">I1405+J1405</f>
        <v>0</v>
      </c>
      <c r="L1405" s="834"/>
      <c r="M1405" s="832" t="str">
        <f>IF($H$1784=0,"",IF(G1405=0,"",IF(F1405="Qty=",CONCATENATE("$",ROUND(K1405*(1-$H$1784),2)," with ",($H$1784*100),"% discount"),CONCATENATE("$",ROUND(K1405*(1-$H$1784),2)," with ",(($H$1784*100+F1405*100)-($H$1784*100*F1405)),IF(F1405&gt;0,"% discounts",IF($H$1781&gt;0,"% discounts","% discount"))))))</f>
        <v/>
      </c>
      <c r="N1405" s="832"/>
      <c r="O1405" s="832"/>
      <c r="P1405" s="832"/>
      <c r="Q1405" s="832"/>
      <c r="R1405" s="832"/>
      <c r="S1405" s="303">
        <f t="shared" ref="S1405" si="3478">E1405*G1405</f>
        <v>0</v>
      </c>
      <c r="T1405" s="541">
        <f>VLOOKUP(A1405,'Discount Lookup'!D:E,2,FALSE)*G1405</f>
        <v>0</v>
      </c>
      <c r="U1405" s="83">
        <f>VLOOKUP(A1405,'Discount Lookup'!G:H,2,FALSE)*G1405</f>
        <v>0</v>
      </c>
      <c r="V1405" s="100">
        <f>E1405*($J$1782)*G1405</f>
        <v>0</v>
      </c>
      <c r="W1405" s="100">
        <f t="shared" ref="W1405" si="3479">I1405</f>
        <v>0</v>
      </c>
      <c r="X1405" s="100" t="b">
        <f>IF(G1405&gt;0,IF(AD1405="me","",G1405))</f>
        <v>0</v>
      </c>
      <c r="Y1405" s="790"/>
      <c r="Z1405" s="838" t="str">
        <f>IF(G1405=0,"",IF(AD1405="me","",IF($AD$8="me","",IF(AD1405="free","warranty",IF($AD$8="yes","NVP planting:","to NVP install:")))))</f>
        <v/>
      </c>
      <c r="AA1405" s="838"/>
      <c r="AB1405" s="830" t="str">
        <f>IF(G1405=0,"",IF(AD1405="free","re-planting",IF(AD1405="me","not NVP, by",IF($AD$8="yes",(VLOOKUP(A1405,'Discount Lookup'!J:K,2)*G1405*(1-$AC$1786)*(1+$AC$1788)),IF(AD1405="NVP",(VLOOKUP(A1405,'Discount Lookup'!J:K,2)*G1405*(1-$AC$1786)*(1+$AC$1788)),IF(AD1405="free","re-planting",IF(G1405=0,"",IF($AD$8="",IF(AD1405="me","not NVP, by",IF(AD1405="",IF(G1405&gt;0,(VLOOKUP(A1405,'Discount Lookup'!J:K,2)*G1405*(1-$AC$1786)*(1+$AC$1788)),""),"")),"not NVP, by"))))))))</f>
        <v/>
      </c>
      <c r="AC1405" s="830"/>
      <c r="AD1405" s="375" t="str">
        <f>IF(G1405=0,"",IF($AD$8="me","me",IF(H1405="warranty","free",IF($AD$8="yes","NVP",""))))</f>
        <v/>
      </c>
      <c r="AE1405" s="833" t="str">
        <f>IF(G1405&gt;0,(CONCATENATE((G1405)," quantity, ",(A1405)," ",B1405)),"")</f>
        <v/>
      </c>
      <c r="AF1405" s="833"/>
      <c r="AG1405" s="833"/>
      <c r="AH1405" s="91" t="str">
        <f>IF(AD1405="free",0,IF(AD1405="me","",IF(G1405&gt;0,(VLOOKUP(A1405,'Discount Lookup'!J:K,2)*G1405),"")))</f>
        <v/>
      </c>
      <c r="AI1405" s="92" t="str">
        <f>IF(AD1405="free",(K1405*(1-$H$1784)),IF(G1405=0,"",IF($AD$8="",IF(G1405=0,"",IF(AD1405="me",(K1405*(1-$H$1784)),(K1405*(1-$H$1784))+AB1405)),IF(K1405="Images","",IF(K1405=0,"",(K1405*(1-$H$1784)))))))</f>
        <v/>
      </c>
      <c r="AJ1405" s="828" t="str">
        <f>IF(G1405=0,"",IF(AD1405="me","  delivery-only",CONCATENATE(" $",ROUND(AI1405/G1405,2)," each")))</f>
        <v/>
      </c>
      <c r="AK1405" s="828"/>
      <c r="AL1405" s="313" t="str">
        <f t="shared" si="3356"/>
        <v/>
      </c>
      <c r="AM1405" s="312"/>
      <c r="AN1405" s="101"/>
      <c r="AO1405" s="101"/>
      <c r="AP1405" s="101"/>
      <c r="AQ1405" s="101"/>
      <c r="AR1405" s="101"/>
      <c r="AS1405" s="101"/>
      <c r="AT1405" s="101"/>
    </row>
    <row r="1406" spans="1:46" ht="12.95" customHeight="1">
      <c r="A1406" s="497"/>
      <c r="B1406" s="198" t="s">
        <v>761</v>
      </c>
      <c r="C1406" s="117"/>
      <c r="D1406" s="118"/>
      <c r="E1406" s="119"/>
      <c r="F1406" s="711"/>
      <c r="G1406" s="356"/>
      <c r="H1406" s="745"/>
      <c r="I1406" s="119"/>
      <c r="J1406" s="119"/>
      <c r="K1406" s="609"/>
      <c r="L1406" s="609"/>
      <c r="M1406" s="121"/>
      <c r="N1406" s="206" t="s">
        <v>758</v>
      </c>
      <c r="O1406" s="123"/>
      <c r="P1406" s="124"/>
      <c r="Q1406" s="124"/>
      <c r="R1406" s="83"/>
      <c r="S1406" s="82">
        <f>E1406*G1406</f>
        <v>0</v>
      </c>
      <c r="T1406" s="540"/>
      <c r="U1406" s="83"/>
      <c r="V1406" s="100" t="b">
        <f>IF(G1406&gt;0,IF(AD1406="me","",G1406))</f>
        <v>0</v>
      </c>
      <c r="W1406" s="100"/>
      <c r="X1406" s="100"/>
      <c r="Y1406" s="790"/>
      <c r="Z1406" s="838" t="str">
        <f>IF(G1406=0,"",IF(AD1406="me","",IF($AD$8="me","",IF(AD1406="free","warranty",IF($AD$8="yes","NVP planting:","to NVP install:")))))</f>
        <v/>
      </c>
      <c r="AA1406" s="838"/>
      <c r="AB1406" s="830" t="str">
        <f>IF(G1406=0,"",IF(AD1406="free","re-planting",IF(AD1406="me","not NVP, by",IF($AD$8="yes",(VLOOKUP(A1406,'Discount Lookup'!J:K,2)*G1406*(1-$AC$1786)*(1+$AC$1788)),IF(AD1406="NVP",(VLOOKUP(A1406,'Discount Lookup'!J:K,2)*G1406*(1-$AC$1786)*(1+$AC$1788)),IF(AD1406="free","re-planting",IF(G1406=0,"",IF($AD$8="",IF(AD1406="me","not NVP, by",IF(AD1406="",IF(G1406&gt;0,(VLOOKUP(A1406,'Discount Lookup'!J:K,2)*G1406*(1-$AC$1786)*(1+$AC$1788)),""),"")),"not NVP, by"))))))))</f>
        <v/>
      </c>
      <c r="AC1406" s="830"/>
      <c r="AD1406" s="375" t="str">
        <f>IF(G1406=0,"",IF($AD$8="me","me",IF(H1406="warranty","free",IF($AD$8="yes","NVP",""))))</f>
        <v/>
      </c>
      <c r="AE1406" s="833" t="str">
        <f>IF(G1406&gt;0,(CONCATENATE((G1406)," quantity, ",(A1406)," ",B1406)),"")</f>
        <v/>
      </c>
      <c r="AF1406" s="833"/>
      <c r="AG1406" s="833"/>
      <c r="AH1406" s="91" t="str">
        <f>IF(AD1406="free",0,IF(AD1406="me","",IF(G1406&gt;0,(VLOOKUP(A1406,'Discount Lookup'!J:K,2)*G1406),"")))</f>
        <v/>
      </c>
      <c r="AI1406" s="92" t="str">
        <f>IF(AD1406="free",(K1406*(1-H1784)),IF(G1406=0,"",IF($AD$8="",IF(G1406=0,"",IF(AD1406="me",(K1406*(1-H1784)),(K1406*(1-H1784))+AB1406)),IF(K1406="Images","",IF(K1406=0,"",(K1406*(1-H1784)))))))</f>
        <v/>
      </c>
      <c r="AJ1406" s="828" t="str">
        <f>IF(G1406=0,"",IF(AD1406="me","  delivery-only",CONCATENATE(" $",ROUND(AI1406/G1406,2)," each")))</f>
        <v/>
      </c>
      <c r="AK1406" s="828"/>
      <c r="AL1406" s="313" t="str">
        <f t="shared" si="3356"/>
        <v/>
      </c>
      <c r="AM1406" s="312"/>
      <c r="AN1406" s="101"/>
      <c r="AO1406" s="101"/>
      <c r="AP1406" s="101"/>
      <c r="AQ1406" s="101"/>
      <c r="AR1406" s="101"/>
      <c r="AS1406" s="101"/>
      <c r="AT1406" s="101"/>
    </row>
    <row r="1407" spans="1:46" ht="12.95" customHeight="1">
      <c r="A1407" s="839" t="s">
        <v>1664</v>
      </c>
      <c r="B1407" s="837"/>
      <c r="C1407" s="837"/>
      <c r="D1407" s="837"/>
      <c r="E1407" s="837"/>
      <c r="F1407" s="837"/>
      <c r="G1407" s="837"/>
      <c r="H1407" s="775" t="s">
        <v>458</v>
      </c>
      <c r="I1407" s="349" t="s">
        <v>280</v>
      </c>
      <c r="J1407" s="157"/>
      <c r="K1407" s="611" t="s">
        <v>45</v>
      </c>
      <c r="L1407" s="630" t="s">
        <v>46</v>
      </c>
      <c r="M1407" s="293"/>
      <c r="N1407" s="158" t="s">
        <v>98</v>
      </c>
      <c r="O1407" s="157"/>
      <c r="P1407" s="294"/>
      <c r="Q1407" s="294"/>
      <c r="R1407" s="157"/>
      <c r="S1407" s="170"/>
      <c r="T1407" s="547"/>
      <c r="U1407" s="157"/>
      <c r="V1407" s="100" t="b">
        <f>IF(G1407&gt;0,IF(AD1407="me","",G1407))</f>
        <v>0</v>
      </c>
      <c r="W1407" s="100"/>
      <c r="X1407" s="100"/>
      <c r="Y1407" s="790"/>
      <c r="Z1407" s="838" t="str">
        <f t="shared" si="3466"/>
        <v/>
      </c>
      <c r="AA1407" s="838"/>
      <c r="AB1407" s="830" t="str">
        <f>IF(G1407=0,"",IF(AD1407="free","re-planting",IF(AD1407="me","not NVP, by",IF($AD$8="yes",(VLOOKUP(A1407,'Discount Lookup'!J:K,2)*G1407*(1-$AC$1786)*(1+$AC$1788)),IF(AD1407="NVP",(VLOOKUP(A1407,'Discount Lookup'!J:K,2)*G1407*(1-$AC$1786)*(1+$AC$1788)),IF(AD1407="free","re-planting",IF(G1407=0,"",IF($AD$8="",IF(AD1407="me","not NVP, by",IF(AD1407="",IF(G1407&gt;0,(VLOOKUP(A1407,'Discount Lookup'!J:K,2)*G1407*(1-$AC$1786)*(1+$AC$1788)),""),"")),"not NVP, by"))))))))</f>
        <v/>
      </c>
      <c r="AC1407" s="830"/>
      <c r="AD1407" s="375" t="str">
        <f t="shared" si="3467"/>
        <v/>
      </c>
      <c r="AE1407" s="833" t="str">
        <f t="shared" ref="AE1407:AE1409" si="3480">IF(G1407&gt;0,(CONCATENATE((G1407)," quantity, ",(A1407)," ",B1407)),"")</f>
        <v/>
      </c>
      <c r="AF1407" s="833"/>
      <c r="AG1407" s="833"/>
      <c r="AH1407" s="91">
        <f>IF(AD1407="free",0,IF(AD1407="me",0,IF(G1407&gt;0,(VLOOKUP(A1407,'Discount Lookup'!J:K,2)*G1407),0)))</f>
        <v>0</v>
      </c>
      <c r="AI1407" s="92" t="str">
        <f t="shared" ref="AI1407:AI1470" si="3481">IF(G1407=0,"",IF(AD1407="free",(K1407*(1-$H$1784)),IF($AD$8="me",(K1407*(1-$H$1784)),IF(AD1407="me",(K1407*(1-$H$1784)),(K1407*(1-$H$1784))+AB1407))))</f>
        <v/>
      </c>
      <c r="AJ1407" s="828" t="str">
        <f t="shared" ref="AJ1407:AJ1409" si="3482">IF(G1407=0,"",IF(AD1407="me","  delivery-only",CONCATENATE(" $",ROUND(AI1407/G1407,2)," each")))</f>
        <v/>
      </c>
      <c r="AK1407" s="828"/>
      <c r="AL1407" s="313" t="str">
        <f t="shared" si="3356"/>
        <v/>
      </c>
      <c r="AM1407" s="312"/>
      <c r="AN1407" s="101"/>
      <c r="AO1407" s="101"/>
      <c r="AP1407" s="101"/>
      <c r="AQ1407" s="101"/>
      <c r="AR1407" s="101"/>
      <c r="AS1407" s="101"/>
      <c r="AT1407" s="101"/>
    </row>
    <row r="1408" spans="1:46" ht="12.95" customHeight="1">
      <c r="A1408" s="455">
        <v>4</v>
      </c>
      <c r="B1408" s="158" t="s">
        <v>669</v>
      </c>
      <c r="C1408" s="160" t="s">
        <v>1665</v>
      </c>
      <c r="D1408" s="161" t="s">
        <v>87</v>
      </c>
      <c r="E1408" s="162">
        <v>41.95</v>
      </c>
      <c r="F1408" s="713" t="s">
        <v>1306</v>
      </c>
      <c r="G1408" s="357">
        <v>0</v>
      </c>
      <c r="H1408" s="748" t="str">
        <f t="shared" ref="H1408" si="3483">IF(G1408=0,"",IF(F1408="Qty=",IF(G1408=1,"plant","plants"),IF(F1408&gt;0.0001,"warranty","Error")))</f>
        <v/>
      </c>
      <c r="I1408" s="592">
        <f t="shared" ref="I1408" si="3484">IF(F1408="Qty=",(E1408*G1408),((E1408*(1-F1408))*G1408))</f>
        <v>0</v>
      </c>
      <c r="J1408" s="592">
        <f>IF(H1408="warranty",0,(I1408*($J$1782)))</f>
        <v>0</v>
      </c>
      <c r="K1408" s="834">
        <f t="shared" ref="K1408" si="3485">I1408+J1408</f>
        <v>0</v>
      </c>
      <c r="L1408" s="834"/>
      <c r="M1408" s="832" t="str">
        <f>IF($H$1784=0,"",IF(G1408=0,"",IF(F1408="Qty=",CONCATENATE("$",ROUND(K1408*(1-$H$1784),2)," with ",($H$1784*100),"% discount"),CONCATENATE("$",ROUND(K1408*(1-$H$1784),2)," with ",(($H$1784*100+F1408*100)-($H$1784*100*F1408)),IF(F1408&gt;0,"% discounts",IF($H$1781&gt;0,"% discounts","% discount"))))))</f>
        <v/>
      </c>
      <c r="N1408" s="832"/>
      <c r="O1408" s="832"/>
      <c r="P1408" s="832"/>
      <c r="Q1408" s="832"/>
      <c r="R1408" s="832"/>
      <c r="S1408" s="303">
        <f t="shared" ref="S1408" si="3486">E1408*G1408</f>
        <v>0</v>
      </c>
      <c r="T1408" s="541">
        <f>VLOOKUP(A1408,'Discount Lookup'!D:E,2,FALSE)*G1408</f>
        <v>0</v>
      </c>
      <c r="U1408" s="83">
        <f>VLOOKUP(A1408,'Discount Lookup'!G:H,2,FALSE)*G1408</f>
        <v>0</v>
      </c>
      <c r="V1408" s="100">
        <f>E1408*($J$1782)*G1408</f>
        <v>0</v>
      </c>
      <c r="W1408" s="100">
        <f t="shared" ref="W1408" si="3487">I1408</f>
        <v>0</v>
      </c>
      <c r="X1408" s="100" t="b">
        <f>IF(G1408&gt;0,IF(AD1408="me","",G1408))</f>
        <v>0</v>
      </c>
      <c r="Y1408" s="790"/>
      <c r="Z1408" s="838" t="str">
        <f t="shared" si="3466"/>
        <v/>
      </c>
      <c r="AA1408" s="838"/>
      <c r="AB1408" s="830" t="str">
        <f>IF(G1408=0,"",IF(AD1408="free","re-planting",IF(AD1408="me","not NVP, by",IF($AD$8="yes",(VLOOKUP(A1408,'Discount Lookup'!J:K,2)*G1408*(1-$AC$1786)*(1+$AC$1788)),IF(AD1408="NVP",(VLOOKUP(A1408,'Discount Lookup'!J:K,2)*G1408*(1-$AC$1786)*(1+$AC$1788)),IF(AD1408="free","re-planting",IF(G1408=0,"",IF($AD$8="",IF(AD1408="me","not NVP, by",IF(AD1408="",IF(G1408&gt;0,(VLOOKUP(A1408,'Discount Lookup'!J:K,2)*G1408*(1-$AC$1786)*(1+$AC$1788)),""),"")),"not NVP, by"))))))))</f>
        <v/>
      </c>
      <c r="AC1408" s="830"/>
      <c r="AD1408" s="375" t="str">
        <f t="shared" si="3467"/>
        <v/>
      </c>
      <c r="AE1408" s="833" t="str">
        <f t="shared" si="3480"/>
        <v/>
      </c>
      <c r="AF1408" s="833"/>
      <c r="AG1408" s="833"/>
      <c r="AH1408" s="91">
        <f>IF(AD1408="free",0,IF(AD1408="me",0,IF(G1408&gt;0,(VLOOKUP(A1408,'Discount Lookup'!J:K,2)*G1408),0)))</f>
        <v>0</v>
      </c>
      <c r="AI1408" s="92" t="str">
        <f t="shared" si="3481"/>
        <v/>
      </c>
      <c r="AJ1408" s="828" t="str">
        <f t="shared" si="3482"/>
        <v/>
      </c>
      <c r="AK1408" s="828"/>
      <c r="AL1408" s="313" t="str">
        <f t="shared" si="3356"/>
        <v/>
      </c>
      <c r="AM1408" s="312"/>
      <c r="AN1408" s="101"/>
      <c r="AO1408" s="101"/>
      <c r="AP1408" s="101"/>
      <c r="AQ1408" s="101"/>
      <c r="AR1408" s="101"/>
      <c r="AS1408" s="101"/>
      <c r="AT1408" s="101"/>
    </row>
    <row r="1409" spans="1:46" ht="12.95" customHeight="1">
      <c r="A1409" s="495"/>
      <c r="B1409" s="198" t="s">
        <v>1666</v>
      </c>
      <c r="C1409" s="104"/>
      <c r="D1409" s="104"/>
      <c r="E1409" s="105"/>
      <c r="F1409" s="709"/>
      <c r="G1409" s="358"/>
      <c r="H1409" s="743"/>
      <c r="I1409" s="102"/>
      <c r="J1409" s="102"/>
      <c r="K1409" s="607"/>
      <c r="L1409" s="607"/>
      <c r="M1409" s="154"/>
      <c r="N1409" s="122" t="s">
        <v>277</v>
      </c>
      <c r="O1409" s="123"/>
      <c r="P1409" s="124"/>
      <c r="W1409" s="100"/>
      <c r="X1409" s="100"/>
      <c r="Y1409" s="790"/>
      <c r="Z1409" s="838" t="str">
        <f t="shared" si="3466"/>
        <v/>
      </c>
      <c r="AA1409" s="838"/>
      <c r="AB1409" s="830" t="str">
        <f>IF(G1409=0,"",IF(AD1409="free","re-planting",IF(AD1409="me","not NVP, by",IF($AD$8="yes",(VLOOKUP(A1409,'Discount Lookup'!J:K,2)*G1409*(1-$AC$1786)*(1+$AC$1788)),IF(AD1409="NVP",(VLOOKUP(A1409,'Discount Lookup'!J:K,2)*G1409*(1-$AC$1786)*(1+$AC$1788)),IF(AD1409="free","re-planting",IF(G1409=0,"",IF($AD$8="",IF(AD1409="me","not NVP, by",IF(AD1409="",IF(G1409&gt;0,(VLOOKUP(A1409,'Discount Lookup'!J:K,2)*G1409*(1-$AC$1786)*(1+$AC$1788)),""),"")),"not NVP, by"))))))))</f>
        <v/>
      </c>
      <c r="AC1409" s="830"/>
      <c r="AD1409" s="375" t="str">
        <f t="shared" si="3467"/>
        <v/>
      </c>
      <c r="AE1409" s="833" t="str">
        <f t="shared" si="3480"/>
        <v/>
      </c>
      <c r="AF1409" s="833"/>
      <c r="AG1409" s="833"/>
      <c r="AH1409" s="91">
        <f>IF(AD1409="free",0,IF(AD1409="me",0,IF(G1409&gt;0,(VLOOKUP(A1409,'Discount Lookup'!J:K,2)*G1409),0)))</f>
        <v>0</v>
      </c>
      <c r="AI1409" s="92" t="str">
        <f t="shared" si="3481"/>
        <v/>
      </c>
      <c r="AJ1409" s="828" t="str">
        <f t="shared" si="3482"/>
        <v/>
      </c>
      <c r="AK1409" s="828"/>
      <c r="AL1409" s="313" t="str">
        <f t="shared" si="3356"/>
        <v/>
      </c>
      <c r="AM1409" s="312"/>
      <c r="AN1409" s="101"/>
      <c r="AO1409" s="101"/>
      <c r="AP1409" s="101"/>
      <c r="AQ1409" s="101"/>
      <c r="AR1409" s="101"/>
      <c r="AS1409" s="101"/>
      <c r="AT1409" s="101"/>
    </row>
    <row r="1410" spans="1:46" ht="12.95" customHeight="1">
      <c r="A1410" s="839" t="s">
        <v>1372</v>
      </c>
      <c r="B1410" s="837"/>
      <c r="C1410" s="837"/>
      <c r="D1410" s="837"/>
      <c r="E1410" s="837"/>
      <c r="F1410" s="837"/>
      <c r="G1410" s="837"/>
      <c r="H1410" s="775" t="s">
        <v>958</v>
      </c>
      <c r="I1410" s="164" t="s">
        <v>79</v>
      </c>
      <c r="J1410" s="569"/>
      <c r="K1410" s="621" t="s">
        <v>45</v>
      </c>
      <c r="L1410" s="637" t="s">
        <v>46</v>
      </c>
      <c r="M1410" s="569"/>
      <c r="N1410" s="158" t="s">
        <v>69</v>
      </c>
      <c r="O1410" s="175"/>
      <c r="P1410" s="175"/>
      <c r="Q1410" s="294"/>
      <c r="R1410" s="835" t="s">
        <v>49</v>
      </c>
      <c r="S1410" s="835"/>
      <c r="T1410" s="835"/>
      <c r="U1410" s="835"/>
      <c r="V1410" s="100" t="b">
        <f>IF(G1410&gt;0,IF(AD1410="me","",G1410))</f>
        <v>0</v>
      </c>
      <c r="W1410" s="100"/>
      <c r="X1410" s="100"/>
      <c r="Y1410" s="201"/>
      <c r="Z1410" s="829" t="str">
        <f t="shared" ref="Z1410:Z1416" si="3488">IF(G1410=0,"",IF(AD1410="me","",IF($AD$8="me","",IF(AD1410="free","warranty",IF($AD$8="yes","NVP planting:","to NVP install:")))))</f>
        <v/>
      </c>
      <c r="AA1410" s="829"/>
      <c r="AB1410" s="830" t="str">
        <f>IF(G1410=0,"",IF(AD1410="free","re-planting",IF(AD1410="me","not NVP, by",IF($AD$8="yes",(VLOOKUP(A1410,'Discount Lookup'!J:K,2)*G1410*(1-$AC$1786)*(1+$AC$1788)),IF(AD1410="NVP",(VLOOKUP(A1410,'Discount Lookup'!J:K,2)*G1410*(1-$AC$1786)*(1+$AC$1788)),IF(AD1410="free","re-planting",IF(G1410=0,"",IF($AD$8="",IF(AD1410="me","not NVP, by",IF(AD1410="",IF(G1410&gt;0,(VLOOKUP(A1410,'Discount Lookup'!J:K,2)*G1410*(1-$AC$1786)*(1+$AC$1788)),""),"")),"not NVP, by"))))))))</f>
        <v/>
      </c>
      <c r="AC1410" s="830"/>
      <c r="AD1410" s="375" t="str">
        <f t="shared" si="3428"/>
        <v/>
      </c>
      <c r="AE1410" s="833" t="str">
        <f t="shared" ref="AE1410:AE1416" si="3489">IF(G1410&gt;0,(CONCATENATE((G1410)," quantity, ",(A1410)," ",B1410)),"")</f>
        <v/>
      </c>
      <c r="AF1410" s="833"/>
      <c r="AG1410" s="833"/>
      <c r="AH1410" s="91" t="s">
        <v>109</v>
      </c>
      <c r="AI1410" s="92" t="str">
        <f t="shared" si="3481"/>
        <v/>
      </c>
      <c r="AJ1410" s="828" t="str">
        <f t="shared" ref="AJ1410:AJ1416" si="3490">IF(G1410=0,"",IF(AD1410="me","  delivery-only",IF($AD$8="me","  delivery-only",CONCATENATE(" $",ROUND(AI1410/G1410,2)," each"))))</f>
        <v/>
      </c>
      <c r="AK1410" s="828"/>
      <c r="AL1410" s="313" t="str">
        <f t="shared" si="3356"/>
        <v/>
      </c>
      <c r="AM1410" s="312"/>
      <c r="AN1410" s="101"/>
      <c r="AO1410" s="101"/>
      <c r="AP1410" s="101"/>
      <c r="AQ1410" s="101"/>
      <c r="AR1410" s="101"/>
      <c r="AS1410" s="101"/>
      <c r="AT1410" s="101"/>
    </row>
    <row r="1411" spans="1:46" ht="12.95" customHeight="1">
      <c r="A1411" s="455">
        <v>3</v>
      </c>
      <c r="B1411" s="158" t="s">
        <v>50</v>
      </c>
      <c r="C1411" s="160" t="s">
        <v>102</v>
      </c>
      <c r="D1411" s="161" t="s">
        <v>94</v>
      </c>
      <c r="E1411" s="162">
        <v>25.95</v>
      </c>
      <c r="F1411" s="713" t="s">
        <v>1306</v>
      </c>
      <c r="G1411" s="357">
        <v>0</v>
      </c>
      <c r="H1411" s="748" t="str">
        <f t="shared" ref="H1411" si="3491">IF(G1411=0,"",IF(F1411="Qty=",IF(G1411=1,"plant","plants"),IF(F1411&gt;0.0001,"warranty","Error")))</f>
        <v/>
      </c>
      <c r="I1411" s="592">
        <f t="shared" ref="I1411" si="3492">IF(F1411="Qty=",(E1411*G1411),((E1411*(1-F1411))*G1411))</f>
        <v>0</v>
      </c>
      <c r="J1411" s="592">
        <f>IF(H1411="warranty",0,(I1411*($J$1782)))</f>
        <v>0</v>
      </c>
      <c r="K1411" s="834">
        <f t="shared" ref="K1411" si="3493">I1411+J1411</f>
        <v>0</v>
      </c>
      <c r="L1411" s="834"/>
      <c r="M1411" s="832" t="str">
        <f>IF($H$1784=0,"",IF(G1411=0,"",IF(F1411="Qty=",CONCATENATE("$",ROUND(K1411*(1-$H$1784),2)," with ",($H$1784*100),"% discount"),CONCATENATE("$",ROUND(K1411*(1-$H$1784),2)," with ",(($H$1784*100+F1411*100)-($H$1784*100*F1411)),IF(F1411&gt;0,"% discounts",IF($H$1781&gt;0,"% discounts","% discount"))))))</f>
        <v/>
      </c>
      <c r="N1411" s="832"/>
      <c r="O1411" s="832"/>
      <c r="P1411" s="832"/>
      <c r="Q1411" s="832"/>
      <c r="R1411" s="832"/>
      <c r="S1411" s="303">
        <f t="shared" ref="S1411" si="3494">E1411*G1411</f>
        <v>0</v>
      </c>
      <c r="T1411" s="541">
        <f>VLOOKUP(A1411,'Discount Lookup'!D:E,2,FALSE)*G1411</f>
        <v>0</v>
      </c>
      <c r="U1411" s="83">
        <f>VLOOKUP(A1411,'Discount Lookup'!G:H,2,FALSE)*G1411</f>
        <v>0</v>
      </c>
      <c r="V1411" s="100">
        <f>E1411*($J$1782)*G1411</f>
        <v>0</v>
      </c>
      <c r="W1411" s="100">
        <f t="shared" ref="W1411" si="3495">I1411</f>
        <v>0</v>
      </c>
      <c r="X1411" s="100" t="b">
        <f>IF(G1411&gt;0,IF(AD1411="me","",G1411))</f>
        <v>0</v>
      </c>
      <c r="Y1411" s="201"/>
      <c r="Z1411" s="829" t="str">
        <f t="shared" si="3488"/>
        <v/>
      </c>
      <c r="AA1411" s="829"/>
      <c r="AB1411" s="830" t="str">
        <f>IF(G1411=0,"",IF(AD1411="free","re-planting",IF(AD1411="me","not NVP, by",IF($AD$8="yes",(VLOOKUP(A1411,'Discount Lookup'!J:K,2)*G1411*(1-$AC$1786)*(1+$AC$1788)),IF(AD1411="NVP",(VLOOKUP(A1411,'Discount Lookup'!J:K,2)*G1411*(1-$AC$1786)*(1+$AC$1788)),IF(AD1411="free","re-planting",IF(G1411=0,"",IF($AD$8="",IF(AD1411="me","not NVP, by",IF(AD1411="",IF(G1411&gt;0,(VLOOKUP(A1411,'Discount Lookup'!J:K,2)*G1411*(1-$AC$1786)*(1+$AC$1788)),""),"")),"not NVP, by"))))))))</f>
        <v/>
      </c>
      <c r="AC1411" s="830"/>
      <c r="AD1411" s="375" t="str">
        <f t="shared" si="3428"/>
        <v/>
      </c>
      <c r="AE1411" s="833" t="str">
        <f t="shared" si="3489"/>
        <v/>
      </c>
      <c r="AF1411" s="833"/>
      <c r="AG1411" s="833"/>
      <c r="AH1411" s="91" t="str">
        <f>IF(AD1411="free",0,IF(AD1411="me","",IF(G1411&gt;0,(VLOOKUP(A1411,'Discount Lookup'!J:K,2)*G1411),"")))</f>
        <v/>
      </c>
      <c r="AI1411" s="92" t="str">
        <f t="shared" si="3481"/>
        <v/>
      </c>
      <c r="AJ1411" s="828" t="str">
        <f t="shared" si="3490"/>
        <v/>
      </c>
      <c r="AK1411" s="828"/>
      <c r="AL1411" s="313" t="str">
        <f t="shared" si="3356"/>
        <v/>
      </c>
      <c r="AM1411" s="312"/>
      <c r="AN1411" s="101"/>
      <c r="AO1411" s="101"/>
      <c r="AP1411" s="101"/>
      <c r="AQ1411" s="101"/>
      <c r="AR1411" s="101"/>
      <c r="AS1411" s="101"/>
      <c r="AT1411" s="101"/>
    </row>
    <row r="1412" spans="1:46" ht="12.95" customHeight="1">
      <c r="A1412" s="495"/>
      <c r="B1412" s="198" t="s">
        <v>1373</v>
      </c>
      <c r="C1412" s="104"/>
      <c r="D1412" s="104"/>
      <c r="E1412" s="105"/>
      <c r="F1412" s="709"/>
      <c r="G1412" s="358"/>
      <c r="H1412" s="743"/>
      <c r="I1412" s="102"/>
      <c r="J1412" s="102"/>
      <c r="K1412" s="607"/>
      <c r="L1412" s="607"/>
      <c r="M1412" s="121"/>
      <c r="N1412" s="122" t="s">
        <v>176</v>
      </c>
      <c r="O1412" s="123"/>
      <c r="P1412" s="124"/>
      <c r="Q1412" s="124"/>
      <c r="R1412" s="83"/>
      <c r="S1412" s="82"/>
      <c r="T1412" s="540"/>
      <c r="U1412" s="83"/>
      <c r="V1412" s="100"/>
      <c r="W1412" s="100"/>
      <c r="X1412" s="100"/>
      <c r="Y1412" s="201"/>
      <c r="Z1412" s="829" t="str">
        <f t="shared" si="3488"/>
        <v/>
      </c>
      <c r="AA1412" s="829"/>
      <c r="AB1412" s="830" t="str">
        <f>IF(G1412=0,"",IF(AD1412="free","re-planting",IF(AD1412="me","not NVP, by",IF($AD$8="yes",(VLOOKUP(A1412,'Discount Lookup'!J:K,2)*G1412*(1-$AC$1786)*(1+$AC$1788)),IF(AD1412="NVP",(VLOOKUP(A1412,'Discount Lookup'!J:K,2)*G1412*(1-$AC$1786)*(1+$AC$1788)),IF(AD1412="free","re-planting",IF(G1412=0,"",IF($AD$8="",IF(AD1412="me","not NVP, by",IF(AD1412="",IF(G1412&gt;0,(VLOOKUP(A1412,'Discount Lookup'!J:K,2)*G1412*(1-$AC$1786)*(1+$AC$1788)),""),"")),"not NVP, by"))))))))</f>
        <v/>
      </c>
      <c r="AC1412" s="830"/>
      <c r="AD1412" s="375" t="str">
        <f t="shared" si="3428"/>
        <v/>
      </c>
      <c r="AE1412" s="833" t="str">
        <f t="shared" si="3489"/>
        <v/>
      </c>
      <c r="AF1412" s="833"/>
      <c r="AG1412" s="833"/>
      <c r="AH1412" s="91" t="s">
        <v>109</v>
      </c>
      <c r="AI1412" s="92" t="str">
        <f t="shared" si="3481"/>
        <v/>
      </c>
      <c r="AJ1412" s="828" t="str">
        <f t="shared" si="3490"/>
        <v/>
      </c>
      <c r="AK1412" s="828"/>
      <c r="AL1412" s="313" t="str">
        <f t="shared" si="3356"/>
        <v/>
      </c>
      <c r="AM1412" s="312"/>
      <c r="AN1412" s="101"/>
      <c r="AO1412" s="101"/>
      <c r="AP1412" s="101"/>
      <c r="AQ1412" s="101"/>
      <c r="AR1412" s="101"/>
      <c r="AS1412" s="101"/>
      <c r="AT1412" s="101"/>
    </row>
    <row r="1413" spans="1:46" ht="12.95" customHeight="1">
      <c r="A1413" s="839" t="s">
        <v>1663</v>
      </c>
      <c r="B1413" s="837"/>
      <c r="C1413" s="837"/>
      <c r="D1413" s="837"/>
      <c r="E1413" s="837"/>
      <c r="F1413" s="837"/>
      <c r="G1413" s="837"/>
      <c r="H1413" s="775" t="s">
        <v>1012</v>
      </c>
      <c r="I1413" s="349" t="s">
        <v>280</v>
      </c>
      <c r="J1413" s="157"/>
      <c r="K1413" s="611" t="s">
        <v>45</v>
      </c>
      <c r="L1413" s="630" t="s">
        <v>46</v>
      </c>
      <c r="M1413" s="157"/>
      <c r="N1413" s="158" t="s">
        <v>98</v>
      </c>
      <c r="O1413" s="158"/>
      <c r="P1413" s="158"/>
      <c r="Q1413" s="158"/>
      <c r="R1413" s="157"/>
      <c r="S1413" s="170"/>
      <c r="T1413" s="547"/>
      <c r="U1413" s="171"/>
      <c r="V1413" s="100" t="b">
        <f>IF(G1413&gt;0,IF(AD1413="me","",G1413))</f>
        <v>0</v>
      </c>
      <c r="W1413" s="100"/>
      <c r="X1413" s="100"/>
      <c r="Y1413" s="201"/>
      <c r="Z1413" s="829" t="str">
        <f t="shared" si="3488"/>
        <v/>
      </c>
      <c r="AA1413" s="829"/>
      <c r="AB1413" s="830" t="str">
        <f>IF(G1413=0,"",IF(AD1413="free","re-planting",IF(AD1413="me","not NVP, by",IF($AD$8="yes",(VLOOKUP(A1413,'Discount Lookup'!J:K,2)*G1413*(1-$AC$1786)*(1+$AC$1788)),IF(AD1413="NVP",(VLOOKUP(A1413,'Discount Lookup'!J:K,2)*G1413*(1-$AC$1786)*(1+$AC$1788)),IF(AD1413="free","re-planting",IF(G1413=0,"",IF($AD$8="",IF(AD1413="me","not NVP, by",IF(AD1413="",IF(G1413&gt;0,(VLOOKUP(A1413,'Discount Lookup'!J:K,2)*G1413*(1-$AC$1786)*(1+$AC$1788)),""),"")),"not NVP, by"))))))))</f>
        <v/>
      </c>
      <c r="AC1413" s="830"/>
      <c r="AD1413" s="375" t="str">
        <f t="shared" si="3428"/>
        <v/>
      </c>
      <c r="AE1413" s="833" t="str">
        <f t="shared" si="3489"/>
        <v/>
      </c>
      <c r="AF1413" s="833"/>
      <c r="AG1413" s="833"/>
      <c r="AH1413" s="91">
        <f>IF(AD1413="free",0,IF(AD1413="me",0,IF(G1413&gt;0,(VLOOKUP(A1413,'Discount Lookup'!J:K,2)*G1413),0)))</f>
        <v>0</v>
      </c>
      <c r="AI1413" s="92" t="str">
        <f t="shared" si="3481"/>
        <v/>
      </c>
      <c r="AJ1413" s="828" t="str">
        <f t="shared" si="3490"/>
        <v/>
      </c>
      <c r="AK1413" s="828"/>
      <c r="AL1413" s="313" t="str">
        <f t="shared" si="3356"/>
        <v/>
      </c>
      <c r="AM1413" s="312"/>
      <c r="AN1413" s="101"/>
      <c r="AO1413" s="101"/>
      <c r="AP1413" s="101"/>
      <c r="AQ1413" s="101"/>
      <c r="AR1413" s="101"/>
      <c r="AS1413" s="101"/>
      <c r="AT1413" s="101"/>
    </row>
    <row r="1414" spans="1:46" ht="12.75" customHeight="1">
      <c r="A1414" s="455">
        <v>3</v>
      </c>
      <c r="B1414" s="158" t="s">
        <v>50</v>
      </c>
      <c r="C1414" s="168" t="s">
        <v>556</v>
      </c>
      <c r="D1414" s="161" t="s">
        <v>87</v>
      </c>
      <c r="E1414" s="162">
        <v>84.95</v>
      </c>
      <c r="F1414" s="713" t="s">
        <v>1306</v>
      </c>
      <c r="G1414" s="357">
        <v>0</v>
      </c>
      <c r="H1414" s="748" t="str">
        <f t="shared" ref="H1414:H1415" si="3496">IF(G1414=0,"",IF(F1414="Qty=",IF(G1414=1,"plant","plants"),IF(F1414&gt;0.0001,"warranty","Error")))</f>
        <v/>
      </c>
      <c r="I1414" s="592">
        <f t="shared" ref="I1414:I1415" si="3497">IF(F1414="Qty=",(E1414*G1414),((E1414*(1-F1414))*G1414))</f>
        <v>0</v>
      </c>
      <c r="J1414" s="592">
        <f>IF(H1414="warranty",0,(I1414*($J$1782)))</f>
        <v>0</v>
      </c>
      <c r="K1414" s="834">
        <f t="shared" ref="K1414:K1415" si="3498">I1414+J1414</f>
        <v>0</v>
      </c>
      <c r="L1414" s="834"/>
      <c r="M1414" s="832" t="str">
        <f>IF($H$1784=0,"",IF(G1414=0,"",IF(F1414="Qty=",CONCATENATE("$",ROUND(K1414*(1-$H$1784),2)," with ",($H$1784*100),"% discount"),CONCATENATE("$",ROUND(K1414*(1-$H$1784),2)," with ",(($H$1784*100+F1414*100)-($H$1784*100*F1414)),IF(F1414&gt;0,"% discounts",IF($H$1781&gt;0,"% discounts","% discount"))))))</f>
        <v/>
      </c>
      <c r="N1414" s="832"/>
      <c r="O1414" s="832"/>
      <c r="P1414" s="832"/>
      <c r="Q1414" s="832"/>
      <c r="R1414" s="832"/>
      <c r="S1414" s="303">
        <f t="shared" ref="S1414:S1415" si="3499">E1414*G1414</f>
        <v>0</v>
      </c>
      <c r="T1414" s="541">
        <f>VLOOKUP(A1414,'Discount Lookup'!D:E,2,FALSE)*G1414</f>
        <v>0</v>
      </c>
      <c r="U1414" s="83">
        <f>VLOOKUP(A1414,'Discount Lookup'!G:H,2,FALSE)*G1414</f>
        <v>0</v>
      </c>
      <c r="V1414" s="100">
        <f>E1414*($J$1782)*G1414</f>
        <v>0</v>
      </c>
      <c r="W1414" s="100">
        <f t="shared" ref="W1414:W1415" si="3500">I1414</f>
        <v>0</v>
      </c>
      <c r="X1414" s="100" t="b">
        <f>IF(G1414&gt;0,IF(AD1414="me","",G1414))</f>
        <v>0</v>
      </c>
      <c r="Y1414" s="201"/>
      <c r="Z1414" s="829" t="str">
        <f t="shared" si="3488"/>
        <v/>
      </c>
      <c r="AA1414" s="829"/>
      <c r="AB1414" s="830" t="str">
        <f>IF(G1414=0,"",IF(AD1414="free","re-planting",IF(AD1414="me","not NVP, by",IF($AD$8="yes",(VLOOKUP(A1414,'Discount Lookup'!J:K,2)*G1414*(1-$AC$1786)*(1+$AC$1788)),IF(AD1414="NVP",(VLOOKUP(A1414,'Discount Lookup'!J:K,2)*G1414*(1-$AC$1786)*(1+$AC$1788)),IF(AD1414="free","re-planting",IF(G1414=0,"",IF($AD$8="",IF(AD1414="me","not NVP, by",IF(AD1414="",IF(G1414&gt;0,(VLOOKUP(A1414,'Discount Lookup'!J:K,2)*G1414*(1-$AC$1786)*(1+$AC$1788)),""),"")),"not NVP, by"))))))))</f>
        <v/>
      </c>
      <c r="AC1414" s="830"/>
      <c r="AD1414" s="375" t="str">
        <f t="shared" si="3428"/>
        <v/>
      </c>
      <c r="AE1414" s="833" t="str">
        <f t="shared" si="3489"/>
        <v/>
      </c>
      <c r="AF1414" s="833"/>
      <c r="AG1414" s="833"/>
      <c r="AH1414" s="91">
        <f>IF(AD1414="free",0,IF(AD1414="me",0,IF(G1414&gt;0,(VLOOKUP(A1414,'Discount Lookup'!J:K,2)*G1414),0)))</f>
        <v>0</v>
      </c>
      <c r="AI1414" s="92" t="str">
        <f t="shared" si="3481"/>
        <v/>
      </c>
      <c r="AJ1414" s="828" t="str">
        <f t="shared" si="3490"/>
        <v/>
      </c>
      <c r="AK1414" s="828"/>
      <c r="AL1414" s="313" t="str">
        <f t="shared" si="3356"/>
        <v/>
      </c>
      <c r="AM1414" s="312"/>
      <c r="AN1414" s="101"/>
      <c r="AO1414" s="101"/>
      <c r="AP1414" s="101"/>
      <c r="AQ1414" s="101"/>
      <c r="AR1414" s="101"/>
      <c r="AS1414" s="101"/>
      <c r="AT1414" s="101"/>
    </row>
    <row r="1415" spans="1:46" ht="12.75" customHeight="1">
      <c r="A1415" s="455">
        <v>5</v>
      </c>
      <c r="B1415" s="158" t="s">
        <v>50</v>
      </c>
      <c r="C1415" s="168" t="s">
        <v>1293</v>
      </c>
      <c r="D1415" s="161" t="s">
        <v>87</v>
      </c>
      <c r="E1415" s="162">
        <v>131.94999999999999</v>
      </c>
      <c r="F1415" s="713" t="s">
        <v>1306</v>
      </c>
      <c r="G1415" s="357">
        <v>0</v>
      </c>
      <c r="H1415" s="748" t="str">
        <f t="shared" si="3496"/>
        <v/>
      </c>
      <c r="I1415" s="592">
        <f t="shared" si="3497"/>
        <v>0</v>
      </c>
      <c r="J1415" s="592">
        <f>IF(H1415="warranty",0,(I1415*($J$1782)))</f>
        <v>0</v>
      </c>
      <c r="K1415" s="834">
        <f t="shared" si="3498"/>
        <v>0</v>
      </c>
      <c r="L1415" s="834"/>
      <c r="M1415" s="832" t="str">
        <f>IF($H$1784=0,"",IF(G1415=0,"",IF(F1415="Qty=",CONCATENATE("$",ROUND(K1415*(1-$H$1784),2)," with ",($H$1784*100),"% discount"),CONCATENATE("$",ROUND(K1415*(1-$H$1784),2)," with ",(($H$1784*100+F1415*100)-($H$1784*100*F1415)),IF(F1415&gt;0,"% discounts",IF($H$1781&gt;0,"% discounts","% discount"))))))</f>
        <v/>
      </c>
      <c r="N1415" s="832"/>
      <c r="O1415" s="832"/>
      <c r="P1415" s="832"/>
      <c r="Q1415" s="832"/>
      <c r="R1415" s="832"/>
      <c r="S1415" s="303">
        <f t="shared" si="3499"/>
        <v>0</v>
      </c>
      <c r="T1415" s="541">
        <f>VLOOKUP(A1415,'Discount Lookup'!D:E,2,FALSE)*G1415</f>
        <v>0</v>
      </c>
      <c r="U1415" s="83">
        <f>VLOOKUP(A1415,'Discount Lookup'!G:H,2,FALSE)*G1415</f>
        <v>0</v>
      </c>
      <c r="V1415" s="100">
        <f>E1415*($J$1782)*G1415</f>
        <v>0</v>
      </c>
      <c r="W1415" s="100">
        <f t="shared" si="3500"/>
        <v>0</v>
      </c>
      <c r="X1415" s="100" t="b">
        <f>IF(G1415&gt;0,IF(AD1415="me","",G1415))</f>
        <v>0</v>
      </c>
      <c r="Y1415" s="201"/>
      <c r="Z1415" s="829" t="str">
        <f t="shared" si="3488"/>
        <v/>
      </c>
      <c r="AA1415" s="829"/>
      <c r="AB1415" s="830" t="str">
        <f>IF(G1415=0,"",IF(AD1415="free","re-planting",IF(AD1415="me","not NVP, by",IF($AD$8="yes",(VLOOKUP(A1415,'Discount Lookup'!J:K,2)*G1415*(1-$AC$1786)*(1+$AC$1788)),IF(AD1415="NVP",(VLOOKUP(A1415,'Discount Lookup'!J:K,2)*G1415*(1-$AC$1786)*(1+$AC$1788)),IF(AD1415="free","re-planting",IF(G1415=0,"",IF($AD$8="",IF(AD1415="me","not NVP, by",IF(AD1415="",IF(G1415&gt;0,(VLOOKUP(A1415,'Discount Lookup'!J:K,2)*G1415*(1-$AC$1786)*(1+$AC$1788)),""),"")),"not NVP, by"))))))))</f>
        <v/>
      </c>
      <c r="AC1415" s="830"/>
      <c r="AD1415" s="375" t="str">
        <f t="shared" si="3428"/>
        <v/>
      </c>
      <c r="AE1415" s="833" t="str">
        <f t="shared" si="3489"/>
        <v/>
      </c>
      <c r="AF1415" s="833"/>
      <c r="AG1415" s="833"/>
      <c r="AH1415" s="91">
        <f>IF(AD1415="free",0,IF(AD1415="me",0,IF(G1415&gt;0,(VLOOKUP(A1415,'Discount Lookup'!J:K,2)*G1415),0)))</f>
        <v>0</v>
      </c>
      <c r="AI1415" s="92" t="str">
        <f t="shared" si="3481"/>
        <v/>
      </c>
      <c r="AJ1415" s="828" t="str">
        <f t="shared" si="3490"/>
        <v/>
      </c>
      <c r="AK1415" s="828"/>
      <c r="AL1415" s="313" t="str">
        <f t="shared" si="3356"/>
        <v/>
      </c>
      <c r="AM1415" s="312"/>
      <c r="AN1415" s="101"/>
      <c r="AO1415" s="101"/>
      <c r="AP1415" s="101"/>
      <c r="AQ1415" s="101"/>
      <c r="AR1415" s="101"/>
      <c r="AS1415" s="101"/>
      <c r="AT1415" s="101"/>
    </row>
    <row r="1416" spans="1:46" ht="12.95" customHeight="1">
      <c r="A1416" s="497"/>
      <c r="B1416" s="198" t="s">
        <v>1667</v>
      </c>
      <c r="C1416" s="117"/>
      <c r="D1416" s="118"/>
      <c r="E1416" s="119"/>
      <c r="F1416" s="711"/>
      <c r="G1416" s="356"/>
      <c r="H1416" s="745"/>
      <c r="I1416" s="119"/>
      <c r="J1416" s="119"/>
      <c r="K1416" s="609"/>
      <c r="L1416" s="609"/>
      <c r="M1416" s="121"/>
      <c r="N1416" s="121"/>
      <c r="O1416" s="123"/>
      <c r="P1416" s="124"/>
      <c r="Q1416" s="124"/>
      <c r="R1416" s="83"/>
      <c r="S1416" s="82">
        <f>E1416*G1416</f>
        <v>0</v>
      </c>
      <c r="T1416" s="540"/>
      <c r="U1416" s="83"/>
      <c r="V1416" s="100" t="b">
        <f>IF(G1416&gt;0,IF(AD1416="me","",G1416))</f>
        <v>0</v>
      </c>
      <c r="W1416" s="100"/>
      <c r="X1416" s="100"/>
      <c r="Y1416" s="201"/>
      <c r="Z1416" s="829" t="str">
        <f t="shared" si="3488"/>
        <v/>
      </c>
      <c r="AA1416" s="829"/>
      <c r="AB1416" s="830" t="str">
        <f>IF(G1416=0,"",IF(AD1416="free","re-planting",IF(AD1416="me","not NVP, by",IF($AD$8="yes",(VLOOKUP(A1416,'Discount Lookup'!J:K,2)*G1416*(1-$AC$1786)*(1+$AC$1788)),IF(AD1416="NVP",(VLOOKUP(A1416,'Discount Lookup'!J:K,2)*G1416*(1-$AC$1786)*(1+$AC$1788)),IF(AD1416="free","re-planting",IF(G1416=0,"",IF($AD$8="",IF(AD1416="me","not NVP, by",IF(AD1416="",IF(G1416&gt;0,(VLOOKUP(A1416,'Discount Lookup'!J:K,2)*G1416*(1-$AC$1786)*(1+$AC$1788)),""),"")),"not NVP, by"))))))))</f>
        <v/>
      </c>
      <c r="AC1416" s="830"/>
      <c r="AD1416" s="375" t="str">
        <f t="shared" si="3428"/>
        <v/>
      </c>
      <c r="AE1416" s="833" t="str">
        <f t="shared" si="3489"/>
        <v/>
      </c>
      <c r="AF1416" s="833"/>
      <c r="AG1416" s="833"/>
      <c r="AH1416" s="91">
        <f>IF(AD1416="free",0,IF(AD1416="me",0,IF(G1416&gt;0,(VLOOKUP(A1416,'Discount Lookup'!J:K,2)*G1416),0)))</f>
        <v>0</v>
      </c>
      <c r="AI1416" s="92" t="str">
        <f t="shared" si="3481"/>
        <v/>
      </c>
      <c r="AJ1416" s="828" t="str">
        <f t="shared" si="3490"/>
        <v/>
      </c>
      <c r="AK1416" s="828"/>
      <c r="AL1416" s="313" t="str">
        <f t="shared" si="3356"/>
        <v/>
      </c>
      <c r="AM1416" s="312"/>
      <c r="AN1416" s="101"/>
      <c r="AO1416" s="101"/>
      <c r="AP1416" s="101"/>
      <c r="AQ1416" s="101"/>
      <c r="AR1416" s="101"/>
      <c r="AS1416" s="101"/>
      <c r="AT1416" s="101"/>
    </row>
    <row r="1417" spans="1:46" ht="12.95" customHeight="1">
      <c r="A1417" s="839" t="s">
        <v>762</v>
      </c>
      <c r="B1417" s="837"/>
      <c r="C1417" s="837"/>
      <c r="D1417" s="837"/>
      <c r="E1417" s="837"/>
      <c r="F1417" s="837"/>
      <c r="G1417" s="837"/>
      <c r="H1417" s="775" t="s">
        <v>253</v>
      </c>
      <c r="I1417" s="164" t="s">
        <v>79</v>
      </c>
      <c r="J1417" s="157"/>
      <c r="K1417" s="611" t="s">
        <v>45</v>
      </c>
      <c r="L1417" s="630" t="s">
        <v>46</v>
      </c>
      <c r="M1417" s="157"/>
      <c r="N1417" s="175" t="s">
        <v>157</v>
      </c>
      <c r="O1417" s="176"/>
      <c r="P1417" s="176"/>
      <c r="Q1417" s="176"/>
      <c r="R1417" s="835" t="s">
        <v>49</v>
      </c>
      <c r="S1417" s="835"/>
      <c r="T1417" s="835"/>
      <c r="U1417" s="835"/>
      <c r="V1417" s="100" t="b">
        <f>IF(G1417&gt;0,IF(AD1417="me","",G1417))</f>
        <v>0</v>
      </c>
      <c r="W1417" s="100"/>
      <c r="X1417" s="100"/>
      <c r="Y1417" s="201"/>
      <c r="Z1417" s="829" t="str">
        <f t="shared" ref="Z1417:Z1424" si="3501">IF(G1417=0,"",IF(AD1417="me","",IF($AD$8="me","",IF(AD1417="free","warranty",IF($AD$8="yes","NVP planting:","to NVP install:")))))</f>
        <v/>
      </c>
      <c r="AA1417" s="829"/>
      <c r="AB1417" s="830" t="str">
        <f>IF(G1417=0,"",IF(AD1417="free","re-planting",IF(AD1417="me","not NVP, by",IF($AD$8="yes",(VLOOKUP(A1417,'Discount Lookup'!J:K,2)*G1417*(1-$AC$1786)*(1+$AC$1788)),IF(AD1417="NVP",(VLOOKUP(A1417,'Discount Lookup'!J:K,2)*G1417*(1-$AC$1786)*(1+$AC$1788)),IF(AD1417="free","re-planting",IF(G1417=0,"",IF($AD$8="",IF(AD1417="me","not NVP, by",IF(AD1417="",IF(G1417&gt;0,(VLOOKUP(A1417,'Discount Lookup'!J:K,2)*G1417*(1-$AC$1786)*(1+$AC$1788)),""),"")),"not NVP, by"))))))))</f>
        <v/>
      </c>
      <c r="AC1417" s="830"/>
      <c r="AD1417" s="375" t="str">
        <f>IF(G1417=0,"",IF($AD$8="me","me",IF(H1417="warranty","free",IF($AD$8="yes","NVP",""))))</f>
        <v/>
      </c>
      <c r="AE1417" s="833" t="str">
        <f>IF(G1417&gt;0,(CONCATENATE((G1417)," quantity, ",(A1417)," ",B1417)),"")</f>
        <v/>
      </c>
      <c r="AF1417" s="833"/>
      <c r="AG1417" s="833"/>
      <c r="AH1417" s="91">
        <f>IF(AD1417="free",0,IF(AD1417="me",0,IF(G1417&gt;0,(VLOOKUP(A1417,'Discount Lookup'!J:K,2)*G1417),0)))</f>
        <v>0</v>
      </c>
      <c r="AI1417" s="92" t="str">
        <f t="shared" si="3481"/>
        <v/>
      </c>
      <c r="AJ1417" s="828" t="str">
        <f>IF(G1417=0,"",IF(AD1417="me","  delivery-only",IF($AD$8="me","  delivery-only",CONCATENATE(" $",ROUND(AI1417/G1417,2)," each"))))</f>
        <v/>
      </c>
      <c r="AK1417" s="828"/>
      <c r="AL1417" s="313" t="str">
        <f t="shared" si="3356"/>
        <v/>
      </c>
      <c r="AM1417" s="312"/>
      <c r="AN1417" s="101"/>
      <c r="AO1417" s="101"/>
      <c r="AP1417" s="101"/>
      <c r="AQ1417" s="101"/>
      <c r="AR1417" s="101"/>
      <c r="AS1417" s="101"/>
      <c r="AT1417" s="101"/>
    </row>
    <row r="1418" spans="1:46" ht="12.95" customHeight="1">
      <c r="A1418" s="455">
        <v>3</v>
      </c>
      <c r="B1418" s="158" t="s">
        <v>50</v>
      </c>
      <c r="C1418" s="168" t="s">
        <v>136</v>
      </c>
      <c r="D1418" s="161" t="s">
        <v>87</v>
      </c>
      <c r="E1418" s="162">
        <v>26.95</v>
      </c>
      <c r="F1418" s="713" t="s">
        <v>1306</v>
      </c>
      <c r="G1418" s="357">
        <v>0</v>
      </c>
      <c r="H1418" s="748" t="str">
        <f t="shared" ref="H1418" si="3502">IF(G1418=0,"",IF(F1418="Qty=",IF(G1418=1,"plant","plants"),IF(F1418&gt;0.0001,"warranty","Error")))</f>
        <v/>
      </c>
      <c r="I1418" s="592">
        <f t="shared" ref="I1418" si="3503">IF(F1418="Qty=",(E1418*G1418),((E1418*(1-F1418))*G1418))</f>
        <v>0</v>
      </c>
      <c r="J1418" s="592">
        <f>IF(H1418="warranty",0,(I1418*($J$1782)))</f>
        <v>0</v>
      </c>
      <c r="K1418" s="834">
        <f t="shared" ref="K1418" si="3504">I1418+J1418</f>
        <v>0</v>
      </c>
      <c r="L1418" s="834"/>
      <c r="M1418" s="832" t="str">
        <f>IF($H$1784=0,"",IF(G1418=0,"",IF(F1418="Qty=",CONCATENATE("$",ROUND(K1418*(1-$H$1784),2)," with ",($H$1784*100),"% discount"),CONCATENATE("$",ROUND(K1418*(1-$H$1784),2)," with ",(($H$1784*100+F1418*100)-($H$1784*100*F1418)),IF(F1418&gt;0,"% discounts",IF($H$1781&gt;0,"% discounts","% discount"))))))</f>
        <v/>
      </c>
      <c r="N1418" s="832"/>
      <c r="O1418" s="832"/>
      <c r="P1418" s="832"/>
      <c r="Q1418" s="832"/>
      <c r="R1418" s="832"/>
      <c r="S1418" s="303">
        <f t="shared" ref="S1418" si="3505">E1418*G1418</f>
        <v>0</v>
      </c>
      <c r="T1418" s="541">
        <f>VLOOKUP(A1418,'Discount Lookup'!D:E,2,FALSE)*G1418</f>
        <v>0</v>
      </c>
      <c r="U1418" s="83">
        <f>VLOOKUP(A1418,'Discount Lookup'!G:H,2,FALSE)*G1418</f>
        <v>0</v>
      </c>
      <c r="V1418" s="100">
        <f>E1418*($J$1782)*G1418</f>
        <v>0</v>
      </c>
      <c r="W1418" s="100">
        <f t="shared" ref="W1418" si="3506">I1418</f>
        <v>0</v>
      </c>
      <c r="X1418" s="100" t="b">
        <f>IF(G1418&gt;0,IF(AD1418="me","",G1418))</f>
        <v>0</v>
      </c>
      <c r="Y1418" s="201"/>
      <c r="Z1418" s="838" t="str">
        <f t="shared" si="3501"/>
        <v/>
      </c>
      <c r="AA1418" s="838"/>
      <c r="AB1418" s="830" t="str">
        <f>IF(G1418=0,"",IF(AD1418="free","re-planting",IF(AD1418="me","not NVP, by",IF($AD$8="yes",(VLOOKUP(A1418,'Discount Lookup'!J:K,2)*G1418*(1-$AC$1786)*(1+$AC$1788)),IF(AD1418="NVP",(VLOOKUP(A1418,'Discount Lookup'!J:K,2)*G1418*(1-$AC$1786)*(1+$AC$1788)),IF(AD1418="free","re-planting",IF(G1418=0,"",IF($AD$8="",IF(AD1418="me","not NVP, by",IF(AD1418="",IF(G1418&gt;0,(VLOOKUP(A1418,'Discount Lookup'!J:K,2)*G1418*(1-$AC$1786)*(1+$AC$1788)),""),"")),"not NVP, by"))))))))</f>
        <v/>
      </c>
      <c r="AC1418" s="830"/>
      <c r="AD1418" s="375" t="str">
        <f t="shared" ref="AD1418" si="3507">IF(G1418=0,"",IF($AD$8="me","me",IF(H1418="warranty","free",IF($AD$8="yes","NVP",""))))</f>
        <v/>
      </c>
      <c r="AE1418" s="833" t="str">
        <f t="shared" ref="AE1418" si="3508">IF(G1418&gt;0,(CONCATENATE((G1418)," quantity, ",(A1418)," ",B1418)),"")</f>
        <v/>
      </c>
      <c r="AF1418" s="833"/>
      <c r="AG1418" s="833"/>
      <c r="AH1418" s="91">
        <f>IF(AD1418="free",0,IF(AD1418="me",0,IF(G1418&gt;0,(VLOOKUP(A1418,'Discount Lookup'!J:K,2)*G1418),0)))</f>
        <v>0</v>
      </c>
      <c r="AI1418" s="92" t="str">
        <f t="shared" si="3481"/>
        <v/>
      </c>
      <c r="AJ1418" s="828" t="str">
        <f t="shared" ref="AJ1418" si="3509">IF(G1418=0,"",IF(AD1418="me","  delivery-only",CONCATENATE(" $",ROUND(AI1418/G1418,2)," each")))</f>
        <v/>
      </c>
      <c r="AK1418" s="828"/>
      <c r="AL1418" s="313" t="str">
        <f t="shared" si="3356"/>
        <v/>
      </c>
      <c r="AM1418" s="312"/>
      <c r="AN1418" s="101"/>
      <c r="AO1418" s="101"/>
      <c r="AP1418" s="101"/>
      <c r="AQ1418" s="101"/>
      <c r="AR1418" s="101"/>
      <c r="AS1418" s="101"/>
      <c r="AT1418" s="101"/>
    </row>
    <row r="1419" spans="1:46" ht="12.95" customHeight="1">
      <c r="A1419" s="496"/>
      <c r="B1419" s="198" t="s">
        <v>763</v>
      </c>
      <c r="C1419" s="118"/>
      <c r="D1419" s="118"/>
      <c r="E1419" s="208"/>
      <c r="F1419" s="721"/>
      <c r="G1419" s="358"/>
      <c r="H1419" s="365"/>
      <c r="I1419" s="207"/>
      <c r="J1419" s="207"/>
      <c r="K1419" s="622"/>
      <c r="L1419" s="622"/>
      <c r="M1419" s="121"/>
      <c r="N1419" s="122" t="s">
        <v>176</v>
      </c>
      <c r="O1419" s="123"/>
      <c r="P1419" s="124"/>
      <c r="Q1419" s="124"/>
      <c r="R1419" s="83"/>
      <c r="S1419" s="82">
        <f>E1419*G1419</f>
        <v>0</v>
      </c>
      <c r="T1419" s="540"/>
      <c r="U1419" s="83"/>
      <c r="V1419" s="100" t="b">
        <f>IF(G1419&gt;0,IF(AD1419="me","",G1419))</f>
        <v>0</v>
      </c>
      <c r="W1419" s="100"/>
      <c r="X1419" s="100"/>
      <c r="Y1419" s="201"/>
      <c r="Z1419" s="829" t="str">
        <f t="shared" si="3501"/>
        <v/>
      </c>
      <c r="AA1419" s="829"/>
      <c r="AB1419" s="830" t="str">
        <f>IF(G1419=0,"",IF(AD1419="free","re-planting",IF(AD1419="me","not NVP, by",IF($AD$8="yes",(VLOOKUP(A1419,'Discount Lookup'!J:K,2)*G1419*(1-$AC$1786)*(1+$AC$1788)),IF(AD1419="NVP",(VLOOKUP(A1419,'Discount Lookup'!J:K,2)*G1419*(1-$AC$1786)*(1+$AC$1788)),IF(AD1419="free","re-planting",IF(G1419=0,"",IF($AD$8="",IF(AD1419="me","not NVP, by",IF(AD1419="",IF(G1419&gt;0,(VLOOKUP(A1419,'Discount Lookup'!J:K,2)*G1419*(1-$AC$1786)*(1+$AC$1788)),""),"")),"not NVP, by"))))))))</f>
        <v/>
      </c>
      <c r="AC1419" s="830"/>
      <c r="AD1419" s="375" t="str">
        <f>IF(G1419=0,"",IF($AD$8="me","me",IF(H1419="warranty","free",IF($AD$8="yes","NVP",""))))</f>
        <v/>
      </c>
      <c r="AE1419" s="833" t="str">
        <f>IF(G1419&gt;0,(CONCATENATE((G1419)," quantity, ",(A1419)," ",B1419)),"")</f>
        <v/>
      </c>
      <c r="AF1419" s="833"/>
      <c r="AG1419" s="833"/>
      <c r="AH1419" s="91">
        <f>IF(AD1419="free",0,IF(AD1419="me",0,IF(G1419&gt;0,(VLOOKUP(A1419,'Discount Lookup'!J:K,2)*G1419),0)))</f>
        <v>0</v>
      </c>
      <c r="AI1419" s="92" t="str">
        <f t="shared" si="3481"/>
        <v/>
      </c>
      <c r="AJ1419" s="828" t="str">
        <f>IF(G1419=0,"",IF(AD1419="me","  delivery-only",IF($AD$8="me","  delivery-only",CONCATENATE(" $",ROUND(AI1419/G1419,2)," each"))))</f>
        <v/>
      </c>
      <c r="AK1419" s="828"/>
      <c r="AL1419" s="313" t="str">
        <f t="shared" ref="AL1419:AL1482" si="3510">IF(AD1419="free","      ~ discounts included, no tax or planting fee applies ~",IF(G1419=0,"",IF($AD$8="me",CONCATENATE(" $",ROUND(AI1419/G1419,2)," per plant, with tax &amp; discount"),IF(AD1419="me",CONCATENATE(" $",ROUND(AI1419/G1419,2)," per plant, with tax &amp; discount"),CONCATENATE("= $",ROUND((K1419*(1-$H$1784))/G1419,2)," per plant + $",AB1419/G1419,(" per planting      ~ includes tax &amp; discounts ~"))))))</f>
        <v/>
      </c>
      <c r="AM1419" s="312"/>
      <c r="AN1419" s="101"/>
      <c r="AO1419" s="101"/>
      <c r="AP1419" s="101"/>
      <c r="AQ1419" s="101"/>
      <c r="AR1419" s="101"/>
      <c r="AS1419" s="101"/>
      <c r="AT1419" s="101"/>
    </row>
    <row r="1420" spans="1:46" ht="12.95" customHeight="1">
      <c r="A1420" s="839" t="s">
        <v>764</v>
      </c>
      <c r="B1420" s="837"/>
      <c r="C1420" s="837"/>
      <c r="D1420" s="837"/>
      <c r="E1420" s="837"/>
      <c r="F1420" s="837"/>
      <c r="G1420" s="837"/>
      <c r="H1420" s="775" t="s">
        <v>253</v>
      </c>
      <c r="I1420" s="164" t="s">
        <v>79</v>
      </c>
      <c r="J1420" s="157"/>
      <c r="K1420" s="611" t="s">
        <v>45</v>
      </c>
      <c r="L1420" s="630" t="s">
        <v>46</v>
      </c>
      <c r="M1420" s="157"/>
      <c r="N1420" s="175" t="s">
        <v>157</v>
      </c>
      <c r="O1420" s="175"/>
      <c r="P1420" s="175"/>
      <c r="Q1420" s="175"/>
      <c r="R1420" s="835" t="s">
        <v>49</v>
      </c>
      <c r="S1420" s="835"/>
      <c r="T1420" s="835"/>
      <c r="U1420" s="835"/>
      <c r="V1420" s="100" t="b">
        <f>IF(G1420&gt;0,IF(AD1420="me","",G1420))</f>
        <v>0</v>
      </c>
      <c r="W1420" s="100"/>
      <c r="X1420" s="100"/>
      <c r="Y1420" s="201"/>
      <c r="Z1420" s="838" t="str">
        <f t="shared" si="3501"/>
        <v/>
      </c>
      <c r="AA1420" s="838"/>
      <c r="AB1420" s="830" t="str">
        <f>IF(G1420=0,"",IF(AD1420="free","re-planting",IF(AD1420="me","not NVP, by",IF($AD$8="yes",(VLOOKUP(A1420,'Discount Lookup'!J:K,2)*G1420*(1-$AC$1786)*(1+$AC$1788)),IF(AD1420="NVP",(VLOOKUP(A1420,'Discount Lookup'!J:K,2)*G1420*(1-$AC$1786)*(1+$AC$1788)),IF(AD1420="free","re-planting",IF(G1420=0,"",IF($AD$8="",IF(AD1420="me","not NVP, by",IF(AD1420="",IF(G1420&gt;0,(VLOOKUP(A1420,'Discount Lookup'!J:K,2)*G1420*(1-$AC$1786)*(1+$AC$1788)),""),"")),"not NVP, by"))))))))</f>
        <v/>
      </c>
      <c r="AC1420" s="830"/>
      <c r="AD1420" s="375" t="str">
        <f t="shared" si="3428"/>
        <v/>
      </c>
      <c r="AE1420" s="833" t="str">
        <f>IF(G1420&gt;0,(CONCATENATE((G1420)," quantity, ",(A1420)," ",B1420)),"")</f>
        <v/>
      </c>
      <c r="AF1420" s="833"/>
      <c r="AG1420" s="833"/>
      <c r="AH1420" s="91">
        <f>IF(AD1420="free",0,IF(AD1420="me",0,IF(G1420&gt;0,(VLOOKUP(A1420,'Discount Lookup'!J:K,2)*G1420),0)))</f>
        <v>0</v>
      </c>
      <c r="AI1420" s="92" t="str">
        <f t="shared" si="3481"/>
        <v/>
      </c>
      <c r="AJ1420" s="828" t="str">
        <f>IF(G1420=0,"",IF(AD1420="me","  delivery-only",CONCATENATE(" $",ROUND(AI1420/G1420,2)," each")))</f>
        <v/>
      </c>
      <c r="AK1420" s="828"/>
      <c r="AL1420" s="313" t="str">
        <f t="shared" si="3510"/>
        <v/>
      </c>
      <c r="AM1420" s="312"/>
      <c r="AN1420" s="101"/>
      <c r="AO1420" s="101"/>
      <c r="AP1420" s="101"/>
      <c r="AQ1420" s="101"/>
      <c r="AR1420" s="101"/>
      <c r="AS1420" s="101"/>
      <c r="AT1420" s="101"/>
    </row>
    <row r="1421" spans="1:46" ht="12.95" customHeight="1">
      <c r="A1421" s="455">
        <v>3</v>
      </c>
      <c r="B1421" s="158" t="s">
        <v>50</v>
      </c>
      <c r="C1421" s="168" t="s">
        <v>136</v>
      </c>
      <c r="D1421" s="161" t="s">
        <v>86</v>
      </c>
      <c r="E1421" s="162">
        <v>24.95</v>
      </c>
      <c r="F1421" s="713" t="s">
        <v>1306</v>
      </c>
      <c r="G1421" s="357">
        <v>0</v>
      </c>
      <c r="H1421" s="748" t="str">
        <f t="shared" ref="H1421:H1422" si="3511">IF(G1421=0,"",IF(F1421="Qty=",IF(G1421=1,"plant","plants"),IF(F1421&gt;0.0001,"warranty","Error")))</f>
        <v/>
      </c>
      <c r="I1421" s="592">
        <f t="shared" ref="I1421:I1422" si="3512">IF(F1421="Qty=",(E1421*G1421),((E1421*(1-F1421))*G1421))</f>
        <v>0</v>
      </c>
      <c r="J1421" s="592">
        <f>IF(H1421="warranty",0,(I1421*($J$1782)))</f>
        <v>0</v>
      </c>
      <c r="K1421" s="834">
        <f t="shared" ref="K1421:K1423" si="3513">I1421+J1421</f>
        <v>0</v>
      </c>
      <c r="L1421" s="834"/>
      <c r="M1421" s="832" t="str">
        <f>IF($H$1784=0,"",IF(G1421=0,"",IF(F1421="Qty=",CONCATENATE("$",ROUND(K1421*(1-$H$1784),2)," with ",($H$1784*100),"% discount"),CONCATENATE("$",ROUND(K1421*(1-$H$1784),2)," with ",(($H$1784*100+F1421*100)-($H$1784*100*F1421)),IF(F1421&gt;0,"% discounts",IF($H$1781&gt;0,"% discounts","% discount"))))))</f>
        <v/>
      </c>
      <c r="N1421" s="832"/>
      <c r="O1421" s="832"/>
      <c r="P1421" s="832"/>
      <c r="Q1421" s="832"/>
      <c r="R1421" s="832"/>
      <c r="S1421" s="303">
        <f t="shared" ref="S1421:S1422" si="3514">E1421*G1421</f>
        <v>0</v>
      </c>
      <c r="T1421" s="541">
        <f>VLOOKUP(A1421,'Discount Lookup'!D:E,2,FALSE)*G1421</f>
        <v>0</v>
      </c>
      <c r="U1421" s="83">
        <f>VLOOKUP(A1421,'Discount Lookup'!G:H,2,FALSE)*G1421</f>
        <v>0</v>
      </c>
      <c r="V1421" s="100">
        <f>E1421*($J$1782)*G1421</f>
        <v>0</v>
      </c>
      <c r="W1421" s="100">
        <f t="shared" ref="W1421:W1422" si="3515">I1421</f>
        <v>0</v>
      </c>
      <c r="X1421" s="100" t="b">
        <f>IF(G1421&gt;0,IF(AD1421="me","",G1421))</f>
        <v>0</v>
      </c>
      <c r="Y1421" s="201"/>
      <c r="Z1421" s="838" t="str">
        <f t="shared" si="3501"/>
        <v/>
      </c>
      <c r="AA1421" s="838"/>
      <c r="AB1421" s="830" t="str">
        <f>IF(G1421=0,"",IF(AD1421="free","re-planting",IF(AD1421="me","not NVP, by",IF($AD$8="yes",(VLOOKUP(A1421,'Discount Lookup'!J:K,2)*G1421*(1-$AC$1786)*(1+$AC$1788)),IF(AD1421="NVP",(VLOOKUP(A1421,'Discount Lookup'!J:K,2)*G1421*(1-$AC$1786)*(1+$AC$1788)),IF(AD1421="free","re-planting",IF(G1421=0,"",IF($AD$8="",IF(AD1421="me","not NVP, by",IF(AD1421="",IF(G1421&gt;0,(VLOOKUP(A1421,'Discount Lookup'!J:K,2)*G1421*(1-$AC$1786)*(1+$AC$1788)),""),"")),"not NVP, by"))))))))</f>
        <v/>
      </c>
      <c r="AC1421" s="830"/>
      <c r="AD1421" s="375" t="str">
        <f t="shared" si="3428"/>
        <v/>
      </c>
      <c r="AE1421" s="833" t="str">
        <f t="shared" ref="AE1421:AE1422" si="3516">IF(G1421&gt;0,(CONCATENATE((G1421)," quantity, ",(A1421)," ",B1421)),"")</f>
        <v/>
      </c>
      <c r="AF1421" s="833"/>
      <c r="AG1421" s="833"/>
      <c r="AH1421" s="91">
        <f>IF(AD1421="free",0,IF(AD1421="me",0,IF(G1421&gt;0,(VLOOKUP(A1421,'Discount Lookup'!J:K,2)*G1421),0)))</f>
        <v>0</v>
      </c>
      <c r="AI1421" s="92" t="str">
        <f t="shared" si="3481"/>
        <v/>
      </c>
      <c r="AJ1421" s="828" t="str">
        <f t="shared" ref="AJ1421:AJ1422" si="3517">IF(G1421=0,"",IF(AD1421="me","  delivery-only",CONCATENATE(" $",ROUND(AI1421/G1421,2)," each")))</f>
        <v/>
      </c>
      <c r="AK1421" s="828"/>
      <c r="AL1421" s="313" t="str">
        <f t="shared" si="3510"/>
        <v/>
      </c>
      <c r="AM1421" s="312"/>
      <c r="AN1421" s="101"/>
      <c r="AO1421" s="101"/>
      <c r="AP1421" s="101"/>
      <c r="AQ1421" s="101"/>
      <c r="AR1421" s="101"/>
      <c r="AS1421" s="101"/>
      <c r="AT1421" s="101"/>
    </row>
    <row r="1422" spans="1:46" ht="12.95" customHeight="1">
      <c r="A1422" s="455">
        <v>3</v>
      </c>
      <c r="B1422" s="158" t="s">
        <v>50</v>
      </c>
      <c r="C1422" s="168" t="s">
        <v>1526</v>
      </c>
      <c r="D1422" s="161" t="s">
        <v>87</v>
      </c>
      <c r="E1422" s="162">
        <v>28.95</v>
      </c>
      <c r="F1422" s="713" t="s">
        <v>1306</v>
      </c>
      <c r="G1422" s="357">
        <v>0</v>
      </c>
      <c r="H1422" s="748" t="str">
        <f t="shared" si="3511"/>
        <v/>
      </c>
      <c r="I1422" s="592">
        <f t="shared" si="3512"/>
        <v>0</v>
      </c>
      <c r="J1422" s="592">
        <f>IF(H1422="warranty",0,(I1422*($J$1782)))</f>
        <v>0</v>
      </c>
      <c r="K1422" s="834">
        <f t="shared" ref="K1422" si="3518">I1422+J1422</f>
        <v>0</v>
      </c>
      <c r="L1422" s="834"/>
      <c r="M1422" s="832" t="str">
        <f>IF($H$1784=0,"",IF(G1422=0,"",IF(F1422="Qty=",CONCATENATE("$",ROUND(K1422*(1-$H$1784),2)," with ",($H$1784*100),"% discount"),CONCATENATE("$",ROUND(K1422*(1-$H$1784),2)," with ",(($H$1784*100+F1422*100)-($H$1784*100*F1422)),IF(F1422&gt;0,"% discounts",IF($H$1781&gt;0,"% discounts","% discount"))))))</f>
        <v/>
      </c>
      <c r="N1422" s="832"/>
      <c r="O1422" s="832"/>
      <c r="P1422" s="832"/>
      <c r="Q1422" s="832"/>
      <c r="R1422" s="832"/>
      <c r="S1422" s="303">
        <f t="shared" si="3514"/>
        <v>0</v>
      </c>
      <c r="T1422" s="541">
        <f>VLOOKUP(A1422,'Discount Lookup'!D:E,2,FALSE)*G1422</f>
        <v>0</v>
      </c>
      <c r="U1422" s="83">
        <f>VLOOKUP(A1422,'Discount Lookup'!G:H,2,FALSE)*G1422</f>
        <v>0</v>
      </c>
      <c r="V1422" s="100">
        <f>E1422*($J$1782)*G1422</f>
        <v>0</v>
      </c>
      <c r="W1422" s="100">
        <f t="shared" si="3515"/>
        <v>0</v>
      </c>
      <c r="X1422" s="100" t="b">
        <f>IF(G1422&gt;0,IF(AD1422="me","",G1422))</f>
        <v>0</v>
      </c>
      <c r="Y1422" s="201"/>
      <c r="Z1422" s="838" t="str">
        <f t="shared" si="3501"/>
        <v/>
      </c>
      <c r="AA1422" s="838"/>
      <c r="AB1422" s="830" t="str">
        <f>IF(G1422=0,"",IF(AD1422="free","re-planting",IF(AD1422="me","not NVP, by",IF($AD$8="yes",(VLOOKUP(A1422,'Discount Lookup'!J:K,2)*G1422*(1-$AC$1786)*(1+$AC$1788)),IF(AD1422="NVP",(VLOOKUP(A1422,'Discount Lookup'!J:K,2)*G1422*(1-$AC$1786)*(1+$AC$1788)),IF(AD1422="free","re-planting",IF(G1422=0,"",IF($AD$8="",IF(AD1422="me","not NVP, by",IF(AD1422="",IF(G1422&gt;0,(VLOOKUP(A1422,'Discount Lookup'!J:K,2)*G1422*(1-$AC$1786)*(1+$AC$1788)),""),"")),"not NVP, by"))))))))</f>
        <v/>
      </c>
      <c r="AC1422" s="830"/>
      <c r="AD1422" s="375" t="str">
        <f t="shared" ref="AD1422" si="3519">IF(G1422=0,"",IF($AD$8="me","me",IF(H1422="warranty","free",IF($AD$8="yes","NVP",""))))</f>
        <v/>
      </c>
      <c r="AE1422" s="833" t="str">
        <f t="shared" si="3516"/>
        <v/>
      </c>
      <c r="AF1422" s="833"/>
      <c r="AG1422" s="833"/>
      <c r="AH1422" s="91">
        <f>IF(AD1422="free",0,IF(AD1422="me",0,IF(G1422&gt;0,(VLOOKUP(A1422,'Discount Lookup'!J:K,2)*G1422),0)))</f>
        <v>0</v>
      </c>
      <c r="AI1422" s="92" t="str">
        <f t="shared" si="3481"/>
        <v/>
      </c>
      <c r="AJ1422" s="828" t="str">
        <f t="shared" si="3517"/>
        <v/>
      </c>
      <c r="AK1422" s="828"/>
      <c r="AL1422" s="313" t="str">
        <f t="shared" si="3510"/>
        <v/>
      </c>
      <c r="AM1422" s="312"/>
      <c r="AN1422" s="101"/>
      <c r="AO1422" s="101"/>
      <c r="AP1422" s="101"/>
      <c r="AQ1422" s="101"/>
      <c r="AR1422" s="101"/>
      <c r="AS1422" s="101"/>
      <c r="AT1422" s="101"/>
    </row>
    <row r="1423" spans="1:46" ht="12.95" customHeight="1">
      <c r="A1423" s="455">
        <v>3</v>
      </c>
      <c r="B1423" s="158" t="s">
        <v>50</v>
      </c>
      <c r="C1423" s="168" t="s">
        <v>136</v>
      </c>
      <c r="D1423" s="161" t="s">
        <v>63</v>
      </c>
      <c r="E1423" s="162">
        <v>33.950000000000003</v>
      </c>
      <c r="F1423" s="713" t="s">
        <v>1306</v>
      </c>
      <c r="G1423" s="357">
        <v>0</v>
      </c>
      <c r="H1423" s="748" t="str">
        <f t="shared" ref="H1423" si="3520">IF(G1423=0,"",IF(F1423="Qty=",IF(G1423=1,"plant","plants"),IF(F1423&gt;0.0001,"warranty","Error")))</f>
        <v/>
      </c>
      <c r="I1423" s="592">
        <f t="shared" ref="I1423" si="3521">IF(F1423="Qty=",(E1423*G1423),((E1423*(1-F1423))*G1423))</f>
        <v>0</v>
      </c>
      <c r="J1423" s="592">
        <f>IF(H1423="warranty",0,(I1423*($J$1782)))</f>
        <v>0</v>
      </c>
      <c r="K1423" s="834">
        <f t="shared" si="3513"/>
        <v>0</v>
      </c>
      <c r="L1423" s="834"/>
      <c r="M1423" s="832" t="str">
        <f>IF($H$1784=0,"",IF(G1423=0,"",IF(F1423="Qty=",CONCATENATE("$",ROUND(K1423*(1-$H$1784),2)," with ",($H$1784*100),"% discount"),CONCATENATE("$",ROUND(K1423*(1-$H$1784),2)," with ",(($H$1784*100+F1423*100)-($H$1784*100*F1423)),IF(F1423&gt;0,"% discounts",IF($H$1781&gt;0,"% discounts","% discount"))))))</f>
        <v/>
      </c>
      <c r="N1423" s="832"/>
      <c r="O1423" s="832"/>
      <c r="P1423" s="832"/>
      <c r="Q1423" s="832"/>
      <c r="R1423" s="832"/>
      <c r="S1423" s="303">
        <f t="shared" ref="S1423" si="3522">E1423*G1423</f>
        <v>0</v>
      </c>
      <c r="T1423" s="541">
        <f>VLOOKUP(A1423,'Discount Lookup'!D:E,2,FALSE)*G1423</f>
        <v>0</v>
      </c>
      <c r="U1423" s="83">
        <f>VLOOKUP(A1423,'Discount Lookup'!G:H,2,FALSE)*G1423</f>
        <v>0</v>
      </c>
      <c r="V1423" s="100">
        <f>E1423*($J$1782)*G1423</f>
        <v>0</v>
      </c>
      <c r="W1423" s="100">
        <f t="shared" ref="W1423" si="3523">I1423</f>
        <v>0</v>
      </c>
      <c r="X1423" s="100" t="b">
        <f>IF(G1423&gt;0,IF(AD1423="me","",G1423))</f>
        <v>0</v>
      </c>
      <c r="Y1423" s="201"/>
      <c r="Z1423" s="838" t="str">
        <f t="shared" si="3501"/>
        <v/>
      </c>
      <c r="AA1423" s="838"/>
      <c r="AB1423" s="830" t="str">
        <f>IF(G1423=0,"",IF(AD1423="free","re-planting",IF(AD1423="me","not NVP, by",IF($AD$8="yes",(VLOOKUP(A1423,'Discount Lookup'!J:K,2)*G1423*(1-$AC$1786)*(1+$AC$1788)),IF(AD1423="NVP",(VLOOKUP(A1423,'Discount Lookup'!J:K,2)*G1423*(1-$AC$1786)*(1+$AC$1788)),IF(AD1423="free","re-planting",IF(G1423=0,"",IF($AD$8="",IF(AD1423="me","not NVP, by",IF(AD1423="",IF(G1423&gt;0,(VLOOKUP(A1423,'Discount Lookup'!J:K,2)*G1423*(1-$AC$1786)*(1+$AC$1788)),""),"")),"not NVP, by"))))))))</f>
        <v/>
      </c>
      <c r="AC1423" s="830"/>
      <c r="AD1423" s="375" t="str">
        <f t="shared" si="3428"/>
        <v/>
      </c>
      <c r="AE1423" s="833" t="str">
        <f t="shared" ref="AE1423" si="3524">IF(G1423&gt;0,(CONCATENATE((G1423)," quantity, ",(A1423)," ",B1423)),"")</f>
        <v/>
      </c>
      <c r="AF1423" s="833"/>
      <c r="AG1423" s="833"/>
      <c r="AH1423" s="91">
        <f>IF(AD1423="free",0,IF(AD1423="me",0,IF(G1423&gt;0,(VLOOKUP(A1423,'Discount Lookup'!J:K,2)*G1423),0)))</f>
        <v>0</v>
      </c>
      <c r="AI1423" s="92" t="str">
        <f t="shared" si="3481"/>
        <v/>
      </c>
      <c r="AJ1423" s="828" t="str">
        <f t="shared" ref="AJ1423" si="3525">IF(G1423=0,"",IF(AD1423="me","  delivery-only",CONCATENATE(" $",ROUND(AI1423/G1423,2)," each")))</f>
        <v/>
      </c>
      <c r="AK1423" s="828"/>
      <c r="AL1423" s="313" t="str">
        <f t="shared" si="3510"/>
        <v/>
      </c>
      <c r="AM1423" s="312"/>
      <c r="AN1423" s="101"/>
      <c r="AO1423" s="101"/>
      <c r="AP1423" s="101"/>
      <c r="AQ1423" s="101"/>
      <c r="AR1423" s="101"/>
      <c r="AS1423" s="101"/>
      <c r="AT1423" s="101"/>
    </row>
    <row r="1424" spans="1:46" ht="12.95" customHeight="1">
      <c r="A1424" s="493"/>
      <c r="B1424" s="198" t="s">
        <v>765</v>
      </c>
      <c r="C1424" s="181"/>
      <c r="D1424" s="118"/>
      <c r="E1424" s="119"/>
      <c r="F1424" s="711"/>
      <c r="G1424" s="356"/>
      <c r="H1424" s="745"/>
      <c r="I1424" s="119"/>
      <c r="J1424" s="119"/>
      <c r="K1424" s="609"/>
      <c r="L1424" s="609"/>
      <c r="M1424" s="121"/>
      <c r="N1424" s="122" t="s">
        <v>176</v>
      </c>
      <c r="O1424" s="123"/>
      <c r="P1424" s="124"/>
      <c r="Q1424" s="124"/>
      <c r="R1424" s="83"/>
      <c r="S1424" s="82">
        <f>E1424*G1424</f>
        <v>0</v>
      </c>
      <c r="T1424" s="540"/>
      <c r="U1424" s="83"/>
      <c r="V1424" s="100" t="b">
        <f>IF(G1424&gt;0,IF(AD1424="me","",G1424))</f>
        <v>0</v>
      </c>
      <c r="W1424" s="100"/>
      <c r="X1424" s="100"/>
      <c r="Y1424" s="201"/>
      <c r="Z1424" s="838" t="str">
        <f t="shared" si="3501"/>
        <v/>
      </c>
      <c r="AA1424" s="838"/>
      <c r="AB1424" s="830" t="str">
        <f>IF(G1424=0,"",IF(AD1424="free","re-planting",IF(AD1424="me","not NVP, by",IF($AD$8="yes",(VLOOKUP(A1424,'Discount Lookup'!J:K,2)*G1424*(1-$AC$1786)*(1+$AC$1788)),IF(AD1424="NVP",(VLOOKUP(A1424,'Discount Lookup'!J:K,2)*G1424*(1-$AC$1786)*(1+$AC$1788)),IF(AD1424="free","re-planting",IF(G1424=0,"",IF($AD$8="",IF(AD1424="me","not NVP, by",IF(AD1424="",IF(G1424&gt;0,(VLOOKUP(A1424,'Discount Lookup'!J:K,2)*G1424*(1-$AC$1786)*(1+$AC$1788)),""),"")),"not NVP, by"))))))))</f>
        <v/>
      </c>
      <c r="AC1424" s="830"/>
      <c r="AD1424" s="375" t="str">
        <f t="shared" si="3428"/>
        <v/>
      </c>
      <c r="AE1424" s="833" t="str">
        <f>IF(G1424&gt;0,(CONCATENATE((G1424)," quantity, ",(A1424)," ",B1424)),"")</f>
        <v/>
      </c>
      <c r="AF1424" s="833"/>
      <c r="AG1424" s="833"/>
      <c r="AH1424" s="91">
        <f>IF(AD1424="free",0,IF(AD1424="me",0,IF(G1424&gt;0,(VLOOKUP(A1424,'Discount Lookup'!J:K,2)*G1424),0)))</f>
        <v>0</v>
      </c>
      <c r="AI1424" s="92" t="str">
        <f t="shared" si="3481"/>
        <v/>
      </c>
      <c r="AJ1424" s="828" t="str">
        <f>IF(G1424=0,"",IF(AD1424="me","  delivery-only",CONCATENATE(" $",ROUND(AI1424/G1424,2)," each")))</f>
        <v/>
      </c>
      <c r="AK1424" s="828"/>
      <c r="AL1424" s="313" t="str">
        <f t="shared" si="3510"/>
        <v/>
      </c>
      <c r="AM1424" s="312"/>
      <c r="AN1424" s="101"/>
      <c r="AO1424" s="101"/>
      <c r="AP1424" s="101"/>
      <c r="AQ1424" s="101"/>
      <c r="AR1424" s="101"/>
      <c r="AS1424" s="101"/>
      <c r="AT1424" s="101"/>
    </row>
    <row r="1425" spans="1:46" ht="12.95" customHeight="1">
      <c r="A1425" s="839" t="s">
        <v>766</v>
      </c>
      <c r="B1425" s="837"/>
      <c r="C1425" s="837"/>
      <c r="D1425" s="837"/>
      <c r="E1425" s="837"/>
      <c r="F1425" s="837"/>
      <c r="G1425" s="837"/>
      <c r="H1425" s="775" t="s">
        <v>253</v>
      </c>
      <c r="I1425" s="164" t="s">
        <v>79</v>
      </c>
      <c r="J1425" s="157"/>
      <c r="K1425" s="611" t="s">
        <v>45</v>
      </c>
      <c r="L1425" s="631" t="s">
        <v>46</v>
      </c>
      <c r="M1425" s="157"/>
      <c r="N1425" s="175" t="s">
        <v>157</v>
      </c>
      <c r="O1425" s="176"/>
      <c r="P1425" s="176"/>
      <c r="Q1425" s="176"/>
      <c r="R1425" s="835" t="s">
        <v>49</v>
      </c>
      <c r="S1425" s="835"/>
      <c r="T1425" s="835"/>
      <c r="U1425" s="842"/>
      <c r="V1425" s="90" t="b">
        <f>IF(G1425&gt;0,IF(AD1425="me","",G1425))</f>
        <v>0</v>
      </c>
      <c r="W1425" s="100"/>
      <c r="X1425" s="100"/>
      <c r="Y1425" s="201"/>
      <c r="Z1425" s="829" t="str">
        <f t="shared" si="3442"/>
        <v/>
      </c>
      <c r="AA1425" s="829"/>
      <c r="AB1425" s="830" t="str">
        <f>IF(G1425=0,"",IF(AD1425="free","re-planting",IF(AD1425="me","not NVP, by",IF($AD$8="yes",(VLOOKUP(A1425,'Discount Lookup'!J:K,2)*G1425*(1-$AC$1786)*(1+$AC$1788)),IF(AD1425="NVP",(VLOOKUP(A1425,'Discount Lookup'!J:K,2)*G1425*(1-$AC$1786)*(1+$AC$1788)),IF(AD1425="free","re-planting",IF(G1425=0,"",IF($AD$8="",IF(AD1425="me","not NVP, by",IF(AD1425="",IF(G1425&gt;0,(VLOOKUP(A1425,'Discount Lookup'!J:K,2)*G1425*(1-$AC$1786)*(1+$AC$1788)),""),"")),"not NVP, by"))))))))</f>
        <v/>
      </c>
      <c r="AC1425" s="830"/>
      <c r="AD1425" s="375" t="str">
        <f t="shared" si="3428"/>
        <v/>
      </c>
      <c r="AE1425" s="833" t="str">
        <f t="shared" si="3427"/>
        <v/>
      </c>
      <c r="AF1425" s="833"/>
      <c r="AG1425" s="833"/>
      <c r="AH1425" s="91">
        <f>IF(AD1425="free",0,IF(AD1425="me",0,IF(G1425&gt;0,(VLOOKUP(A1425,'Discount Lookup'!J:K,2)*G1425),0)))</f>
        <v>0</v>
      </c>
      <c r="AI1425" s="92" t="str">
        <f t="shared" si="3481"/>
        <v/>
      </c>
      <c r="AJ1425" s="828" t="str">
        <f t="shared" si="3444"/>
        <v/>
      </c>
      <c r="AK1425" s="828"/>
      <c r="AL1425" s="313" t="str">
        <f t="shared" si="3510"/>
        <v/>
      </c>
      <c r="AM1425" s="312"/>
      <c r="AN1425" s="101"/>
      <c r="AO1425" s="101"/>
      <c r="AP1425" s="101"/>
      <c r="AQ1425" s="101"/>
      <c r="AR1425" s="101"/>
      <c r="AS1425" s="101"/>
      <c r="AT1425" s="101"/>
    </row>
    <row r="1426" spans="1:46" ht="12.95" customHeight="1">
      <c r="A1426" s="455">
        <v>3</v>
      </c>
      <c r="B1426" s="158" t="s">
        <v>50</v>
      </c>
      <c r="C1426" s="168" t="s">
        <v>136</v>
      </c>
      <c r="D1426" s="161" t="s">
        <v>86</v>
      </c>
      <c r="E1426" s="162">
        <v>24.95</v>
      </c>
      <c r="F1426" s="713" t="s">
        <v>1306</v>
      </c>
      <c r="G1426" s="357">
        <v>0</v>
      </c>
      <c r="H1426" s="748" t="str">
        <f t="shared" ref="H1426" si="3526">IF(G1426=0,"",IF(F1426="Qty=",IF(G1426=1,"plant","plants"),IF(F1426&gt;0.0001,"warranty","Error")))</f>
        <v/>
      </c>
      <c r="I1426" s="592">
        <f t="shared" ref="I1426" si="3527">IF(F1426="Qty=",(E1426*G1426),((E1426*(1-F1426))*G1426))</f>
        <v>0</v>
      </c>
      <c r="J1426" s="592">
        <f>IF(H1426="warranty",0,(I1426*($J$1782)))</f>
        <v>0</v>
      </c>
      <c r="K1426" s="834">
        <f t="shared" ref="K1426" si="3528">I1426+J1426</f>
        <v>0</v>
      </c>
      <c r="L1426" s="834"/>
      <c r="M1426" s="832" t="str">
        <f>IF($H$1784=0,"",IF(G1426=0,"",IF(F1426="Qty=",CONCATENATE("$",ROUND(K1426*(1-$H$1784),2)," with ",($H$1784*100),"% discount"),CONCATENATE("$",ROUND(K1426*(1-$H$1784),2)," with ",(($H$1784*100+F1426*100)-($H$1784*100*F1426)),IF(F1426&gt;0,"% discounts",IF($H$1781&gt;0,"% discounts","% discount"))))))</f>
        <v/>
      </c>
      <c r="N1426" s="832"/>
      <c r="O1426" s="832"/>
      <c r="P1426" s="832"/>
      <c r="Q1426" s="832"/>
      <c r="R1426" s="832"/>
      <c r="S1426" s="303">
        <f t="shared" ref="S1426" si="3529">E1426*G1426</f>
        <v>0</v>
      </c>
      <c r="T1426" s="541">
        <f>VLOOKUP(A1426,'Discount Lookup'!D:E,2,FALSE)*G1426</f>
        <v>0</v>
      </c>
      <c r="U1426" s="83">
        <f>VLOOKUP(A1426,'Discount Lookup'!G:H,2,FALSE)*G1426</f>
        <v>0</v>
      </c>
      <c r="V1426" s="100">
        <f>E1426*($J$1782)*G1426</f>
        <v>0</v>
      </c>
      <c r="W1426" s="100">
        <f t="shared" ref="W1426" si="3530">I1426</f>
        <v>0</v>
      </c>
      <c r="X1426" s="100" t="b">
        <f>IF(G1426&gt;0,IF(AD1426="me","",G1426))</f>
        <v>0</v>
      </c>
      <c r="Y1426" s="201"/>
      <c r="Z1426" s="829" t="str">
        <f t="shared" si="3442"/>
        <v/>
      </c>
      <c r="AA1426" s="829"/>
      <c r="AB1426" s="830" t="str">
        <f>IF(G1426=0,"",IF(AD1426="free","re-planting",IF(AD1426="me","not NVP, by",IF($AD$8="yes",(VLOOKUP(A1426,'Discount Lookup'!J:K,2)*G1426*(1-$AC$1786)*(1+$AC$1788)),IF(AD1426="NVP",(VLOOKUP(A1426,'Discount Lookup'!J:K,2)*G1426*(1-$AC$1786)*(1+$AC$1788)),IF(AD1426="free","re-planting",IF(G1426=0,"",IF($AD$8="",IF(AD1426="me","not NVP, by",IF(AD1426="",IF(G1426&gt;0,(VLOOKUP(A1426,'Discount Lookup'!J:K,2)*G1426*(1-$AC$1786)*(1+$AC$1788)),""),"")),"not NVP, by"))))))))</f>
        <v/>
      </c>
      <c r="AC1426" s="830"/>
      <c r="AD1426" s="375" t="str">
        <f t="shared" si="3428"/>
        <v/>
      </c>
      <c r="AE1426" s="833" t="str">
        <f t="shared" ref="AE1426" si="3531">IF(G1426&gt;0,(CONCATENATE((G1426)," quantity, ",(A1426)," ",B1426)),"")</f>
        <v/>
      </c>
      <c r="AF1426" s="833"/>
      <c r="AG1426" s="833"/>
      <c r="AH1426" s="91">
        <f>IF(AD1426="free",0,IF(AD1426="me",0,IF(G1426&gt;0,(VLOOKUP(A1426,'Discount Lookup'!J:K,2)*G1426),0)))</f>
        <v>0</v>
      </c>
      <c r="AI1426" s="92" t="str">
        <f t="shared" si="3481"/>
        <v/>
      </c>
      <c r="AJ1426" s="828" t="str">
        <f t="shared" si="3444"/>
        <v/>
      </c>
      <c r="AK1426" s="828"/>
      <c r="AL1426" s="313" t="str">
        <f t="shared" si="3510"/>
        <v/>
      </c>
      <c r="AM1426" s="312"/>
      <c r="AN1426" s="101"/>
      <c r="AO1426" s="101"/>
      <c r="AP1426" s="101"/>
      <c r="AQ1426" s="101"/>
      <c r="AR1426" s="101"/>
      <c r="AS1426" s="101"/>
      <c r="AT1426" s="101"/>
    </row>
    <row r="1427" spans="1:46" ht="12.95" customHeight="1">
      <c r="A1427" s="494"/>
      <c r="B1427" s="198" t="s">
        <v>767</v>
      </c>
      <c r="C1427" s="117"/>
      <c r="D1427" s="118"/>
      <c r="E1427" s="119"/>
      <c r="F1427" s="711"/>
      <c r="G1427" s="356"/>
      <c r="H1427" s="745"/>
      <c r="I1427" s="119"/>
      <c r="J1427" s="119"/>
      <c r="K1427" s="609"/>
      <c r="L1427" s="609"/>
      <c r="M1427" s="121"/>
      <c r="N1427" s="122" t="s">
        <v>176</v>
      </c>
      <c r="O1427" s="123"/>
      <c r="P1427" s="124"/>
      <c r="Q1427" s="124"/>
      <c r="R1427" s="83"/>
      <c r="S1427" s="82">
        <f>E1427*G1427</f>
        <v>0</v>
      </c>
      <c r="T1427" s="540"/>
      <c r="U1427" s="83"/>
      <c r="V1427" s="100" t="b">
        <f>IF(G1427&gt;0,IF(AD1427="me","",G1427))</f>
        <v>0</v>
      </c>
      <c r="W1427" s="100"/>
      <c r="X1427" s="100"/>
      <c r="Y1427" s="201"/>
      <c r="Z1427" s="829" t="str">
        <f t="shared" si="3442"/>
        <v/>
      </c>
      <c r="AA1427" s="829"/>
      <c r="AB1427" s="830" t="str">
        <f>IF(G1427=0,"",IF(AD1427="free","re-planting",IF(AD1427="me","not NVP, by",IF($AD$8="yes",(VLOOKUP(A1427,'Discount Lookup'!J:K,2)*G1427*(1-$AC$1786)*(1+$AC$1788)),IF(AD1427="NVP",(VLOOKUP(A1427,'Discount Lookup'!J:K,2)*G1427*(1-$AC$1786)*(1+$AC$1788)),IF(AD1427="free","re-planting",IF(G1427=0,"",IF($AD$8="",IF(AD1427="me","not NVP, by",IF(AD1427="",IF(G1427&gt;0,(VLOOKUP(A1427,'Discount Lookup'!J:K,2)*G1427*(1-$AC$1786)*(1+$AC$1788)),""),"")),"not NVP, by"))))))))</f>
        <v/>
      </c>
      <c r="AC1427" s="830"/>
      <c r="AD1427" s="375" t="str">
        <f t="shared" si="3428"/>
        <v/>
      </c>
      <c r="AE1427" s="833" t="str">
        <f t="shared" si="3427"/>
        <v/>
      </c>
      <c r="AF1427" s="833"/>
      <c r="AG1427" s="833"/>
      <c r="AH1427" s="91">
        <f>IF(AD1427="free",0,IF(AD1427="me",0,IF(G1427&gt;0,(VLOOKUP(A1427,'Discount Lookup'!J:K,2)*G1427),0)))</f>
        <v>0</v>
      </c>
      <c r="AI1427" s="92" t="str">
        <f t="shared" si="3481"/>
        <v/>
      </c>
      <c r="AJ1427" s="828" t="str">
        <f t="shared" si="3444"/>
        <v/>
      </c>
      <c r="AK1427" s="828"/>
      <c r="AL1427" s="313" t="str">
        <f t="shared" si="3510"/>
        <v/>
      </c>
      <c r="AM1427" s="312"/>
      <c r="AN1427" s="101"/>
      <c r="AO1427" s="101"/>
      <c r="AP1427" s="101"/>
      <c r="AQ1427" s="101"/>
      <c r="AR1427" s="101"/>
      <c r="AS1427" s="101"/>
      <c r="AT1427" s="101"/>
    </row>
    <row r="1428" spans="1:46" ht="12.75" customHeight="1">
      <c r="A1428" s="839" t="s">
        <v>768</v>
      </c>
      <c r="B1428" s="837"/>
      <c r="C1428" s="837"/>
      <c r="D1428" s="837"/>
      <c r="E1428" s="837"/>
      <c r="F1428" s="837"/>
      <c r="G1428" s="837"/>
      <c r="H1428" s="775" t="s">
        <v>253</v>
      </c>
      <c r="I1428" s="164" t="s">
        <v>79</v>
      </c>
      <c r="J1428" s="157"/>
      <c r="K1428" s="611" t="s">
        <v>45</v>
      </c>
      <c r="L1428" s="630" t="s">
        <v>46</v>
      </c>
      <c r="M1428" s="157"/>
      <c r="N1428" s="175" t="s">
        <v>157</v>
      </c>
      <c r="O1428" s="176"/>
      <c r="P1428" s="176"/>
      <c r="Q1428" s="176"/>
      <c r="R1428" s="835" t="s">
        <v>49</v>
      </c>
      <c r="S1428" s="835"/>
      <c r="T1428" s="835"/>
      <c r="U1428" s="835"/>
      <c r="V1428" s="100" t="b">
        <f>IF(G1428&gt;0,IF(AD1428="me","",G1428))</f>
        <v>0</v>
      </c>
      <c r="W1428" s="100"/>
      <c r="X1428" s="100"/>
      <c r="Y1428" s="201"/>
      <c r="Z1428" s="829" t="str">
        <f t="shared" si="3442"/>
        <v/>
      </c>
      <c r="AA1428" s="829"/>
      <c r="AB1428" s="830" t="str">
        <f>IF(G1428=0,"",IF(AD1428="free","re-planting",IF(AD1428="me","not NVP, by",IF($AD$8="yes",(VLOOKUP(A1428,'Discount Lookup'!J:K,2)*G1428*(1-$AC$1786)*(1+$AC$1788)),IF(AD1428="NVP",(VLOOKUP(A1428,'Discount Lookup'!J:K,2)*G1428*(1-$AC$1786)*(1+$AC$1788)),IF(AD1428="free","re-planting",IF(G1428=0,"",IF($AD$8="",IF(AD1428="me","not NVP, by",IF(AD1428="",IF(G1428&gt;0,(VLOOKUP(A1428,'Discount Lookup'!J:K,2)*G1428*(1-$AC$1786)*(1+$AC$1788)),""),"")),"not NVP, by"))))))))</f>
        <v/>
      </c>
      <c r="AC1428" s="830"/>
      <c r="AD1428" s="375" t="str">
        <f t="shared" si="3428"/>
        <v/>
      </c>
      <c r="AE1428" s="833" t="str">
        <f t="shared" si="3427"/>
        <v/>
      </c>
      <c r="AF1428" s="833"/>
      <c r="AG1428" s="833"/>
      <c r="AH1428" s="91">
        <f>IF(AD1428="free",0,IF(AD1428="me",0,IF(G1428&gt;0,(VLOOKUP(A1428,'Discount Lookup'!J:K,2)*G1428),0)))</f>
        <v>0</v>
      </c>
      <c r="AI1428" s="92" t="str">
        <f t="shared" si="3481"/>
        <v/>
      </c>
      <c r="AJ1428" s="828" t="str">
        <f t="shared" si="3444"/>
        <v/>
      </c>
      <c r="AK1428" s="828"/>
      <c r="AL1428" s="313" t="str">
        <f t="shared" si="3510"/>
        <v/>
      </c>
      <c r="AM1428" s="312"/>
      <c r="AN1428" s="101"/>
      <c r="AO1428" s="101"/>
      <c r="AP1428" s="101"/>
      <c r="AQ1428" s="101"/>
      <c r="AR1428" s="101"/>
      <c r="AS1428" s="101"/>
      <c r="AT1428" s="101"/>
    </row>
    <row r="1429" spans="1:46" ht="12.95" customHeight="1">
      <c r="A1429" s="455">
        <v>3</v>
      </c>
      <c r="B1429" s="158" t="s">
        <v>50</v>
      </c>
      <c r="C1429" s="168" t="s">
        <v>136</v>
      </c>
      <c r="D1429" s="161" t="s">
        <v>86</v>
      </c>
      <c r="E1429" s="162">
        <v>24.95</v>
      </c>
      <c r="F1429" s="713" t="s">
        <v>1306</v>
      </c>
      <c r="G1429" s="357">
        <v>0</v>
      </c>
      <c r="H1429" s="748" t="str">
        <f t="shared" ref="H1429:H1430" si="3532">IF(G1429=0,"",IF(F1429="Qty=",IF(G1429=1,"plant","plants"),IF(F1429&gt;0.0001,"warranty","Error")))</f>
        <v/>
      </c>
      <c r="I1429" s="592">
        <f t="shared" ref="I1429:I1430" si="3533">IF(F1429="Qty=",(E1429*G1429),((E1429*(1-F1429))*G1429))</f>
        <v>0</v>
      </c>
      <c r="J1429" s="592">
        <f>IF(H1429="warranty",0,(I1429*($J$1782)))</f>
        <v>0</v>
      </c>
      <c r="K1429" s="834">
        <f t="shared" ref="K1429:K1430" si="3534">I1429+J1429</f>
        <v>0</v>
      </c>
      <c r="L1429" s="834"/>
      <c r="M1429" s="832" t="str">
        <f>IF($H$1784=0,"",IF(G1429=0,"",IF(F1429="Qty=",CONCATENATE("$",ROUND(K1429*(1-$H$1784),2)," with ",($H$1784*100),"% discount"),CONCATENATE("$",ROUND(K1429*(1-$H$1784),2)," with ",(($H$1784*100+F1429*100)-($H$1784*100*F1429)),IF(F1429&gt;0,"% discounts",IF($H$1781&gt;0,"% discounts","% discount"))))))</f>
        <v/>
      </c>
      <c r="N1429" s="832"/>
      <c r="O1429" s="832"/>
      <c r="P1429" s="832"/>
      <c r="Q1429" s="832"/>
      <c r="R1429" s="832"/>
      <c r="S1429" s="303">
        <f t="shared" ref="S1429:S1430" si="3535">E1429*G1429</f>
        <v>0</v>
      </c>
      <c r="T1429" s="541">
        <f>VLOOKUP(A1429,'Discount Lookup'!D:E,2,FALSE)*G1429</f>
        <v>0</v>
      </c>
      <c r="U1429" s="83">
        <f>VLOOKUP(A1429,'Discount Lookup'!G:H,2,FALSE)*G1429</f>
        <v>0</v>
      </c>
      <c r="V1429" s="100">
        <f>E1429*($J$1782)*G1429</f>
        <v>0</v>
      </c>
      <c r="W1429" s="100">
        <f t="shared" ref="W1429:W1430" si="3536">I1429</f>
        <v>0</v>
      </c>
      <c r="X1429" s="100" t="b">
        <f>IF(G1429&gt;0,IF(AD1429="me","",G1429))</f>
        <v>0</v>
      </c>
      <c r="Y1429" s="201"/>
      <c r="Z1429" s="838" t="str">
        <f>IF(G1429=0,"",IF(AD1429="me","",IF($AD$8="me","",IF(AD1429="free","warranty",IF($AD$8="yes","NVP planting:","to NVP install:")))))</f>
        <v/>
      </c>
      <c r="AA1429" s="838"/>
      <c r="AB1429" s="830" t="str">
        <f>IF(G1429=0,"",IF(AD1429="free","re-planting",IF(AD1429="me","not NVP, by",IF($AD$8="yes",(VLOOKUP(A1429,'Discount Lookup'!J:K,2)*G1429*(1-$AC$1786)*(1+$AC$1788)),IF(AD1429="NVP",(VLOOKUP(A1429,'Discount Lookup'!J:K,2)*G1429*(1-$AC$1786)*(1+$AC$1788)),IF(AD1429="free","re-planting",IF(G1429=0,"",IF($AD$8="",IF(AD1429="me","not NVP, by",IF(AD1429="",IF(G1429&gt;0,(VLOOKUP(A1429,'Discount Lookup'!J:K,2)*G1429*(1-$AC$1786)*(1+$AC$1788)),""),"")),"not NVP, by"))))))))</f>
        <v/>
      </c>
      <c r="AC1429" s="830"/>
      <c r="AD1429" s="375" t="str">
        <f t="shared" si="3428"/>
        <v/>
      </c>
      <c r="AE1429" s="833" t="str">
        <f t="shared" ref="AE1429:AE1430" si="3537">IF(G1429&gt;0,(CONCATENATE((G1429)," quantity, ",(A1429)," ",B1429)),"")</f>
        <v/>
      </c>
      <c r="AF1429" s="833"/>
      <c r="AG1429" s="833"/>
      <c r="AH1429" s="91">
        <f>IF(AD1429="free",0,IF(AD1429="me",0,IF(G1429&gt;0,(VLOOKUP(A1429,'Discount Lookup'!J:K,2)*G1429),0)))</f>
        <v>0</v>
      </c>
      <c r="AI1429" s="92" t="str">
        <f t="shared" si="3481"/>
        <v/>
      </c>
      <c r="AJ1429" s="828" t="str">
        <f t="shared" ref="AJ1429:AJ1430" si="3538">IF(G1429=0,"",IF(AD1429="me","  delivery-only",CONCATENATE(" $",ROUND(AI1429/G1429,2)," each")))</f>
        <v/>
      </c>
      <c r="AK1429" s="828"/>
      <c r="AL1429" s="313" t="str">
        <f t="shared" si="3510"/>
        <v/>
      </c>
      <c r="AM1429" s="312"/>
      <c r="AN1429" s="101"/>
      <c r="AO1429" s="101"/>
      <c r="AP1429" s="101"/>
      <c r="AQ1429" s="101"/>
      <c r="AR1429" s="101"/>
      <c r="AS1429" s="101"/>
      <c r="AT1429" s="101"/>
    </row>
    <row r="1430" spans="1:46" ht="12.95" customHeight="1">
      <c r="A1430" s="455">
        <v>3</v>
      </c>
      <c r="B1430" s="158" t="s">
        <v>50</v>
      </c>
      <c r="C1430" s="168" t="s">
        <v>136</v>
      </c>
      <c r="D1430" s="161" t="s">
        <v>87</v>
      </c>
      <c r="E1430" s="162">
        <v>28.95</v>
      </c>
      <c r="F1430" s="713" t="s">
        <v>1306</v>
      </c>
      <c r="G1430" s="357">
        <v>0</v>
      </c>
      <c r="H1430" s="748" t="str">
        <f t="shared" si="3532"/>
        <v/>
      </c>
      <c r="I1430" s="592">
        <f t="shared" si="3533"/>
        <v>0</v>
      </c>
      <c r="J1430" s="592">
        <f>IF(H1430="warranty",0,(I1430*($J$1782)))</f>
        <v>0</v>
      </c>
      <c r="K1430" s="834">
        <f t="shared" si="3534"/>
        <v>0</v>
      </c>
      <c r="L1430" s="834"/>
      <c r="M1430" s="832" t="str">
        <f>IF($H$1784=0,"",IF(G1430=0,"",IF(F1430="Qty=",CONCATENATE("$",ROUND(K1430*(1-$H$1784),2)," with ",($H$1784*100),"% discount"),CONCATENATE("$",ROUND(K1430*(1-$H$1784),2)," with ",(($H$1784*100+F1430*100)-($H$1784*100*F1430)),IF(F1430&gt;0,"% discounts",IF($H$1781&gt;0,"% discounts","% discount"))))))</f>
        <v/>
      </c>
      <c r="N1430" s="832"/>
      <c r="O1430" s="832"/>
      <c r="P1430" s="832"/>
      <c r="Q1430" s="832"/>
      <c r="R1430" s="832"/>
      <c r="S1430" s="303">
        <f t="shared" si="3535"/>
        <v>0</v>
      </c>
      <c r="T1430" s="541">
        <f>VLOOKUP(A1430,'Discount Lookup'!D:E,2,FALSE)*G1430</f>
        <v>0</v>
      </c>
      <c r="U1430" s="83">
        <f>VLOOKUP(A1430,'Discount Lookup'!G:H,2,FALSE)*G1430</f>
        <v>0</v>
      </c>
      <c r="V1430" s="100">
        <f>E1430*($J$1782)*G1430</f>
        <v>0</v>
      </c>
      <c r="W1430" s="100">
        <f t="shared" si="3536"/>
        <v>0</v>
      </c>
      <c r="X1430" s="100" t="b">
        <f>IF(G1430&gt;0,IF(AD1430="me","",G1430))</f>
        <v>0</v>
      </c>
      <c r="Y1430" s="201"/>
      <c r="Z1430" s="838" t="str">
        <f>IF(G1430=0,"",IF(AD1430="me","",IF($AD$8="me","",IF(AD1430="free","warranty",IF($AD$8="yes","NVP planting:","to NVP install:")))))</f>
        <v/>
      </c>
      <c r="AA1430" s="838"/>
      <c r="AB1430" s="830" t="str">
        <f>IF(G1430=0,"",IF(AD1430="free","re-planting",IF(AD1430="me","not NVP, by",IF($AD$8="yes",(VLOOKUP(A1430,'Discount Lookup'!J:K,2)*G1430*(1-$AC$1786)*(1+$AC$1788)),IF(AD1430="NVP",(VLOOKUP(A1430,'Discount Lookup'!J:K,2)*G1430*(1-$AC$1786)*(1+$AC$1788)),IF(AD1430="free","re-planting",IF(G1430=0,"",IF($AD$8="",IF(AD1430="me","not NVP, by",IF(AD1430="",IF(G1430&gt;0,(VLOOKUP(A1430,'Discount Lookup'!J:K,2)*G1430*(1-$AC$1786)*(1+$AC$1788)),""),"")),"not NVP, by"))))))))</f>
        <v/>
      </c>
      <c r="AC1430" s="830"/>
      <c r="AD1430" s="375" t="str">
        <f t="shared" si="3428"/>
        <v/>
      </c>
      <c r="AE1430" s="833" t="str">
        <f t="shared" si="3537"/>
        <v/>
      </c>
      <c r="AF1430" s="833"/>
      <c r="AG1430" s="833"/>
      <c r="AH1430" s="91">
        <f>IF(AD1430="free",0,IF(AD1430="me",0,IF(G1430&gt;0,(VLOOKUP(A1430,'Discount Lookup'!J:K,2)*G1430),0)))</f>
        <v>0</v>
      </c>
      <c r="AI1430" s="92" t="str">
        <f t="shared" si="3481"/>
        <v/>
      </c>
      <c r="AJ1430" s="828" t="str">
        <f t="shared" si="3538"/>
        <v/>
      </c>
      <c r="AK1430" s="828"/>
      <c r="AL1430" s="313" t="str">
        <f t="shared" si="3510"/>
        <v/>
      </c>
      <c r="AM1430" s="312"/>
      <c r="AN1430" s="101"/>
      <c r="AO1430" s="101"/>
      <c r="AP1430" s="101"/>
      <c r="AQ1430" s="101"/>
      <c r="AR1430" s="101"/>
      <c r="AS1430" s="101"/>
      <c r="AT1430" s="101"/>
    </row>
    <row r="1431" spans="1:46" ht="12.95" customHeight="1">
      <c r="A1431" s="494"/>
      <c r="B1431" s="198" t="s">
        <v>769</v>
      </c>
      <c r="C1431" s="117"/>
      <c r="D1431" s="118"/>
      <c r="E1431" s="119"/>
      <c r="F1431" s="711"/>
      <c r="G1431" s="356"/>
      <c r="H1431" s="745"/>
      <c r="I1431" s="119"/>
      <c r="J1431" s="119"/>
      <c r="K1431" s="609"/>
      <c r="L1431" s="609"/>
      <c r="M1431" s="121"/>
      <c r="N1431" s="122" t="s">
        <v>176</v>
      </c>
      <c r="O1431" s="123"/>
      <c r="P1431" s="124"/>
      <c r="Q1431" s="124"/>
      <c r="R1431" s="83"/>
      <c r="S1431" s="82">
        <f>E1431*G1431</f>
        <v>0</v>
      </c>
      <c r="T1431" s="540"/>
      <c r="U1431" s="209"/>
      <c r="V1431" s="100" t="b">
        <f>IF(G1431&gt;0,IF(AD1431="me","",G1431))</f>
        <v>0</v>
      </c>
      <c r="W1431" s="100"/>
      <c r="X1431" s="100"/>
      <c r="Y1431" s="201"/>
      <c r="Z1431" s="829" t="str">
        <f t="shared" si="3442"/>
        <v/>
      </c>
      <c r="AA1431" s="829"/>
      <c r="AB1431" s="830" t="str">
        <f>IF(G1431=0,"",IF(AD1431="free","re-planting",IF(AD1431="me","not NVP, by",IF($AD$8="yes",(VLOOKUP(A1431,'Discount Lookup'!J:K,2)*G1431*(1-$AC$1786)*(1+$AC$1788)),IF(AD1431="NVP",(VLOOKUP(A1431,'Discount Lookup'!J:K,2)*G1431*(1-$AC$1786)*(1+$AC$1788)),IF(AD1431="free","re-planting",IF(G1431=0,"",IF($AD$8="",IF(AD1431="me","not NVP, by",IF(AD1431="",IF(G1431&gt;0,(VLOOKUP(A1431,'Discount Lookup'!J:K,2)*G1431*(1-$AC$1786)*(1+$AC$1788)),""),"")),"not NVP, by"))))))))</f>
        <v/>
      </c>
      <c r="AC1431" s="830"/>
      <c r="AD1431" s="375" t="str">
        <f t="shared" si="3428"/>
        <v/>
      </c>
      <c r="AE1431" s="833" t="str">
        <f t="shared" si="3427"/>
        <v/>
      </c>
      <c r="AF1431" s="833"/>
      <c r="AG1431" s="833"/>
      <c r="AH1431" s="91">
        <f>IF(AD1431="free",0,IF(AD1431="me",0,IF(G1431&gt;0,(VLOOKUP(A1431,'Discount Lookup'!J:K,2)*G1431),0)))</f>
        <v>0</v>
      </c>
      <c r="AI1431" s="92" t="str">
        <f t="shared" si="3481"/>
        <v/>
      </c>
      <c r="AJ1431" s="828" t="str">
        <f t="shared" si="3444"/>
        <v/>
      </c>
      <c r="AK1431" s="828"/>
      <c r="AL1431" s="313" t="str">
        <f t="shared" si="3510"/>
        <v/>
      </c>
      <c r="AM1431" s="312"/>
      <c r="AN1431" s="101"/>
      <c r="AO1431" s="101"/>
      <c r="AP1431" s="101"/>
      <c r="AQ1431" s="101"/>
      <c r="AR1431" s="101"/>
      <c r="AS1431" s="101"/>
      <c r="AT1431" s="101"/>
    </row>
    <row r="1432" spans="1:46" ht="12.95" customHeight="1">
      <c r="A1432" s="839" t="s">
        <v>770</v>
      </c>
      <c r="B1432" s="837"/>
      <c r="C1432" s="837"/>
      <c r="D1432" s="837"/>
      <c r="E1432" s="837"/>
      <c r="F1432" s="837"/>
      <c r="G1432" s="837"/>
      <c r="H1432" s="775" t="s">
        <v>253</v>
      </c>
      <c r="I1432" s="164" t="s">
        <v>79</v>
      </c>
      <c r="J1432" s="157"/>
      <c r="K1432" s="611" t="s">
        <v>45</v>
      </c>
      <c r="L1432" s="630" t="s">
        <v>46</v>
      </c>
      <c r="M1432" s="157"/>
      <c r="N1432" s="175" t="s">
        <v>157</v>
      </c>
      <c r="O1432" s="175"/>
      <c r="P1432" s="175"/>
      <c r="Q1432" s="175"/>
      <c r="R1432" s="835" t="s">
        <v>49</v>
      </c>
      <c r="S1432" s="835"/>
      <c r="T1432" s="835"/>
      <c r="U1432" s="835"/>
      <c r="V1432" s="100" t="b">
        <f>IF(G1432&gt;0,IF(AD1432="me","",G1432))</f>
        <v>0</v>
      </c>
      <c r="W1432" s="100"/>
      <c r="X1432" s="100"/>
      <c r="Y1432" s="201"/>
      <c r="Z1432" s="829" t="str">
        <f t="shared" si="3442"/>
        <v/>
      </c>
      <c r="AA1432" s="829"/>
      <c r="AB1432" s="830" t="str">
        <f>IF(G1432=0,"",IF(AD1432="free","re-planting",IF(AD1432="me","not NVP, by",IF($AD$8="yes",(VLOOKUP(A1432,'Discount Lookup'!J:K,2)*G1432*(1-$AC$1786)*(1+$AC$1788)),IF(AD1432="NVP",(VLOOKUP(A1432,'Discount Lookup'!J:K,2)*G1432*(1-$AC$1786)*(1+$AC$1788)),IF(AD1432="free","re-planting",IF(G1432=0,"",IF($AD$8="",IF(AD1432="me","not NVP, by",IF(AD1432="",IF(G1432&gt;0,(VLOOKUP(A1432,'Discount Lookup'!J:K,2)*G1432*(1-$AC$1786)*(1+$AC$1788)),""),"")),"not NVP, by"))))))))</f>
        <v/>
      </c>
      <c r="AC1432" s="830"/>
      <c r="AD1432" s="375" t="str">
        <f t="shared" si="3428"/>
        <v/>
      </c>
      <c r="AE1432" s="833" t="str">
        <f t="shared" si="3427"/>
        <v/>
      </c>
      <c r="AF1432" s="833"/>
      <c r="AG1432" s="833"/>
      <c r="AH1432" s="91">
        <f>IF(AD1432="free",0,IF(AD1432="me",0,IF(G1432&gt;0,(VLOOKUP(A1432,'Discount Lookup'!J:K,2)*G1432),0)))</f>
        <v>0</v>
      </c>
      <c r="AI1432" s="92" t="str">
        <f t="shared" si="3481"/>
        <v/>
      </c>
      <c r="AJ1432" s="828" t="str">
        <f t="shared" si="3444"/>
        <v/>
      </c>
      <c r="AK1432" s="828"/>
      <c r="AL1432" s="313" t="str">
        <f t="shared" si="3510"/>
        <v/>
      </c>
      <c r="AM1432" s="312"/>
      <c r="AN1432" s="101"/>
      <c r="AO1432" s="101"/>
      <c r="AP1432" s="101"/>
      <c r="AQ1432" s="101"/>
      <c r="AR1432" s="101"/>
      <c r="AS1432" s="101"/>
      <c r="AT1432" s="101"/>
    </row>
    <row r="1433" spans="1:46" ht="12.75" customHeight="1">
      <c r="A1433" s="455">
        <v>3</v>
      </c>
      <c r="B1433" s="158" t="s">
        <v>50</v>
      </c>
      <c r="C1433" s="168" t="s">
        <v>136</v>
      </c>
      <c r="D1433" s="161" t="s">
        <v>86</v>
      </c>
      <c r="E1433" s="162">
        <v>24.95</v>
      </c>
      <c r="F1433" s="713" t="s">
        <v>1306</v>
      </c>
      <c r="G1433" s="357">
        <v>0</v>
      </c>
      <c r="H1433" s="748" t="str">
        <f t="shared" ref="H1433" si="3539">IF(G1433=0,"",IF(F1433="Qty=",IF(G1433=1,"plant","plants"),IF(F1433&gt;0.0001,"warranty","Error")))</f>
        <v/>
      </c>
      <c r="I1433" s="592">
        <f t="shared" ref="I1433" si="3540">IF(F1433="Qty=",(E1433*G1433),((E1433*(1-F1433))*G1433))</f>
        <v>0</v>
      </c>
      <c r="J1433" s="592">
        <f>IF(H1433="warranty",0,(I1433*($J$1782)))</f>
        <v>0</v>
      </c>
      <c r="K1433" s="834">
        <f t="shared" ref="K1433" si="3541">I1433+J1433</f>
        <v>0</v>
      </c>
      <c r="L1433" s="834"/>
      <c r="M1433" s="832" t="str">
        <f>IF($H$1784=0,"",IF(G1433=0,"",IF(F1433="Qty=",CONCATENATE("$",ROUND(K1433*(1-$H$1784),2)," with ",($H$1784*100),"% discount"),CONCATENATE("$",ROUND(K1433*(1-$H$1784),2)," with ",(($H$1784*100+F1433*100)-($H$1784*100*F1433)),IF(F1433&gt;0,"% discounts",IF($H$1781&gt;0,"% discounts","% discount"))))))</f>
        <v/>
      </c>
      <c r="N1433" s="832"/>
      <c r="O1433" s="832"/>
      <c r="P1433" s="832"/>
      <c r="Q1433" s="832"/>
      <c r="R1433" s="832"/>
      <c r="S1433" s="303">
        <f t="shared" ref="S1433" si="3542">E1433*G1433</f>
        <v>0</v>
      </c>
      <c r="T1433" s="541">
        <f>VLOOKUP(A1433,'Discount Lookup'!D:E,2,FALSE)*G1433</f>
        <v>0</v>
      </c>
      <c r="U1433" s="83">
        <f>VLOOKUP(A1433,'Discount Lookup'!G:H,2,FALSE)*G1433</f>
        <v>0</v>
      </c>
      <c r="V1433" s="100">
        <f>E1433*($J$1782)*G1433</f>
        <v>0</v>
      </c>
      <c r="W1433" s="100">
        <f t="shared" ref="W1433" si="3543">I1433</f>
        <v>0</v>
      </c>
      <c r="X1433" s="100" t="b">
        <f t="shared" ref="X1433" si="3544">IF(G1433&gt;0,IF(AD1433="me","",G1433))</f>
        <v>0</v>
      </c>
      <c r="Y1433" s="201"/>
      <c r="Z1433" s="829" t="str">
        <f t="shared" si="3442"/>
        <v/>
      </c>
      <c r="AA1433" s="829"/>
      <c r="AB1433" s="830" t="str">
        <f>IF(G1433=0,"",IF(AD1433="free","re-planting",IF(AD1433="me","not NVP, by",IF($AD$8="yes",(VLOOKUP(A1433,'Discount Lookup'!J:K,2)*G1433*(1-$AC$1786)*(1+$AC$1788)),IF(AD1433="NVP",(VLOOKUP(A1433,'Discount Lookup'!J:K,2)*G1433*(1-$AC$1786)*(1+$AC$1788)),IF(AD1433="free","re-planting",IF(G1433=0,"",IF($AD$8="",IF(AD1433="me","not NVP, by",IF(AD1433="",IF(G1433&gt;0,(VLOOKUP(A1433,'Discount Lookup'!J:K,2)*G1433*(1-$AC$1786)*(1+$AC$1788)),""),"")),"not NVP, by"))))))))</f>
        <v/>
      </c>
      <c r="AC1433" s="830"/>
      <c r="AD1433" s="375" t="str">
        <f t="shared" si="3428"/>
        <v/>
      </c>
      <c r="AE1433" s="833" t="str">
        <f t="shared" ref="AE1433" si="3545">IF(G1433&gt;0,(CONCATENATE((G1433)," quantity, ",(A1433)," ",B1433)),"")</f>
        <v/>
      </c>
      <c r="AF1433" s="833"/>
      <c r="AG1433" s="833"/>
      <c r="AH1433" s="91">
        <f>IF(AD1433="free",0,IF(AD1433="me",0,IF(G1433&gt;0,(VLOOKUP(A1433,'Discount Lookup'!J:K,2)*G1433),0)))</f>
        <v>0</v>
      </c>
      <c r="AI1433" s="92" t="str">
        <f t="shared" si="3481"/>
        <v/>
      </c>
      <c r="AJ1433" s="828" t="str">
        <f t="shared" si="3444"/>
        <v/>
      </c>
      <c r="AK1433" s="828"/>
      <c r="AL1433" s="313" t="str">
        <f t="shared" si="3510"/>
        <v/>
      </c>
      <c r="AM1433" s="312"/>
      <c r="AN1433" s="101"/>
      <c r="AO1433" s="101"/>
      <c r="AP1433" s="101"/>
      <c r="AQ1433" s="101"/>
      <c r="AR1433" s="101"/>
      <c r="AS1433" s="101"/>
      <c r="AT1433" s="101"/>
    </row>
    <row r="1434" spans="1:46" ht="12.95" customHeight="1">
      <c r="A1434" s="494"/>
      <c r="B1434" s="198" t="s">
        <v>771</v>
      </c>
      <c r="C1434" s="117"/>
      <c r="D1434" s="118"/>
      <c r="E1434" s="119"/>
      <c r="F1434" s="711"/>
      <c r="G1434" s="356"/>
      <c r="H1434" s="745"/>
      <c r="I1434" s="119"/>
      <c r="J1434" s="119"/>
      <c r="K1434" s="609"/>
      <c r="L1434" s="609"/>
      <c r="M1434" s="121"/>
      <c r="N1434" s="122" t="s">
        <v>176</v>
      </c>
      <c r="O1434" s="123"/>
      <c r="P1434" s="124"/>
      <c r="Q1434" s="124"/>
      <c r="R1434" s="83"/>
      <c r="S1434" s="82">
        <f>E1434*G1434</f>
        <v>0</v>
      </c>
      <c r="T1434" s="540"/>
      <c r="U1434" s="83"/>
      <c r="V1434" s="100" t="b">
        <f>IF(G1434&gt;0,IF(AD1434="me","",G1434))</f>
        <v>0</v>
      </c>
      <c r="W1434" s="100"/>
      <c r="X1434" s="100"/>
      <c r="Y1434" s="201"/>
      <c r="Z1434" s="829" t="str">
        <f t="shared" si="3442"/>
        <v/>
      </c>
      <c r="AA1434" s="829"/>
      <c r="AB1434" s="830" t="str">
        <f>IF(G1434=0,"",IF(AD1434="free","re-planting",IF(AD1434="me","not NVP, by",IF($AD$8="yes",(VLOOKUP(A1434,'Discount Lookup'!J:K,2)*G1434*(1-$AC$1786)*(1+$AC$1788)),IF(AD1434="NVP",(VLOOKUP(A1434,'Discount Lookup'!J:K,2)*G1434*(1-$AC$1786)*(1+$AC$1788)),IF(AD1434="free","re-planting",IF(G1434=0,"",IF($AD$8="",IF(AD1434="me","not NVP, by",IF(AD1434="",IF(G1434&gt;0,(VLOOKUP(A1434,'Discount Lookup'!J:K,2)*G1434*(1-$AC$1786)*(1+$AC$1788)),""),"")),"not NVP, by"))))))))</f>
        <v/>
      </c>
      <c r="AC1434" s="830"/>
      <c r="AD1434" s="375" t="str">
        <f t="shared" si="3428"/>
        <v/>
      </c>
      <c r="AE1434" s="833" t="str">
        <f t="shared" si="3427"/>
        <v/>
      </c>
      <c r="AF1434" s="833"/>
      <c r="AG1434" s="833"/>
      <c r="AH1434" s="91">
        <f>IF(AD1434="free",0,IF(AD1434="me",0,IF(G1434&gt;0,(VLOOKUP(A1434,'Discount Lookup'!J:K,2)*G1434),0)))</f>
        <v>0</v>
      </c>
      <c r="AI1434" s="92" t="str">
        <f t="shared" si="3481"/>
        <v/>
      </c>
      <c r="AJ1434" s="828" t="str">
        <f t="shared" si="3444"/>
        <v/>
      </c>
      <c r="AK1434" s="828"/>
      <c r="AL1434" s="313" t="str">
        <f t="shared" si="3510"/>
        <v/>
      </c>
      <c r="AM1434" s="312"/>
      <c r="AN1434" s="101"/>
      <c r="AO1434" s="101"/>
      <c r="AP1434" s="101"/>
      <c r="AQ1434" s="101"/>
      <c r="AR1434" s="101"/>
      <c r="AS1434" s="101"/>
      <c r="AT1434" s="101"/>
    </row>
    <row r="1435" spans="1:46" ht="12.95" customHeight="1">
      <c r="A1435" s="839" t="s">
        <v>772</v>
      </c>
      <c r="B1435" s="837"/>
      <c r="C1435" s="837"/>
      <c r="D1435" s="837"/>
      <c r="E1435" s="837"/>
      <c r="F1435" s="837"/>
      <c r="G1435" s="837"/>
      <c r="H1435" s="775" t="s">
        <v>436</v>
      </c>
      <c r="I1435" s="164" t="s">
        <v>79</v>
      </c>
      <c r="J1435" s="157"/>
      <c r="K1435" s="611" t="s">
        <v>45</v>
      </c>
      <c r="L1435" s="630" t="s">
        <v>46</v>
      </c>
      <c r="M1435" s="157"/>
      <c r="N1435" s="158" t="s">
        <v>69</v>
      </c>
      <c r="O1435" s="158"/>
      <c r="P1435" s="158"/>
      <c r="Q1435" s="158"/>
      <c r="R1435" s="835" t="s">
        <v>49</v>
      </c>
      <c r="S1435" s="835"/>
      <c r="T1435" s="835"/>
      <c r="U1435" s="835"/>
      <c r="V1435" s="100" t="b">
        <f>IF(G1435&gt;0,IF(AD1435="me","",G1435))</f>
        <v>0</v>
      </c>
      <c r="W1435" s="100"/>
      <c r="X1435" s="100"/>
      <c r="Y1435" s="201"/>
      <c r="Z1435" s="829" t="str">
        <f t="shared" si="3442"/>
        <v/>
      </c>
      <c r="AA1435" s="829"/>
      <c r="AB1435" s="830" t="str">
        <f>IF(G1435=0,"",IF(AD1435="free","re-planting",IF(AD1435="me","not NVP, by",IF($AD$8="yes",(VLOOKUP(A1435,'Discount Lookup'!J:K,2)*G1435*(1-$AC$1786)*(1+$AC$1788)),IF(AD1435="NVP",(VLOOKUP(A1435,'Discount Lookup'!J:K,2)*G1435*(1-$AC$1786)*(1+$AC$1788)),IF(AD1435="free","re-planting",IF(G1435=0,"",IF($AD$8="",IF(AD1435="me","not NVP, by",IF(AD1435="",IF(G1435&gt;0,(VLOOKUP(A1435,'Discount Lookup'!J:K,2)*G1435*(1-$AC$1786)*(1+$AC$1788)),""),"")),"not NVP, by"))))))))</f>
        <v/>
      </c>
      <c r="AC1435" s="830"/>
      <c r="AD1435" s="375" t="str">
        <f t="shared" si="3428"/>
        <v/>
      </c>
      <c r="AE1435" s="833" t="str">
        <f t="shared" si="3427"/>
        <v/>
      </c>
      <c r="AF1435" s="833"/>
      <c r="AG1435" s="833"/>
      <c r="AH1435" s="91">
        <f>IF(AD1435="free",0,IF(AD1435="me",0,IF(G1435&gt;0,(VLOOKUP(A1435,'Discount Lookup'!J:K,2)*G1435),0)))</f>
        <v>0</v>
      </c>
      <c r="AI1435" s="92" t="str">
        <f t="shared" si="3481"/>
        <v/>
      </c>
      <c r="AJ1435" s="828" t="str">
        <f t="shared" si="3444"/>
        <v/>
      </c>
      <c r="AK1435" s="828"/>
      <c r="AL1435" s="313" t="str">
        <f t="shared" si="3510"/>
        <v/>
      </c>
      <c r="AM1435" s="312"/>
      <c r="AN1435" s="101"/>
      <c r="AO1435" s="101"/>
      <c r="AP1435" s="101"/>
      <c r="AQ1435" s="101"/>
      <c r="AR1435" s="101"/>
      <c r="AS1435" s="101"/>
      <c r="AT1435" s="101"/>
    </row>
    <row r="1436" spans="1:46" ht="12.75" customHeight="1">
      <c r="A1436" s="455">
        <v>3</v>
      </c>
      <c r="B1436" s="158" t="s">
        <v>50</v>
      </c>
      <c r="C1436" s="168" t="s">
        <v>135</v>
      </c>
      <c r="D1436" s="161" t="s">
        <v>87</v>
      </c>
      <c r="E1436" s="162">
        <v>26.95</v>
      </c>
      <c r="F1436" s="713" t="s">
        <v>1306</v>
      </c>
      <c r="G1436" s="357">
        <v>0</v>
      </c>
      <c r="H1436" s="748" t="str">
        <f t="shared" ref="H1436" si="3546">IF(G1436=0,"",IF(F1436="Qty=",IF(G1436=1,"plant","plants"),IF(F1436&gt;0.0001,"warranty","Error")))</f>
        <v/>
      </c>
      <c r="I1436" s="592">
        <f t="shared" ref="I1436" si="3547">IF(F1436="Qty=",(E1436*G1436),((E1436*(1-F1436))*G1436))</f>
        <v>0</v>
      </c>
      <c r="J1436" s="592">
        <f>IF(H1436="warranty",0,(I1436*($J$1782)))</f>
        <v>0</v>
      </c>
      <c r="K1436" s="834">
        <f t="shared" ref="K1436:K1438" si="3548">I1436+J1436</f>
        <v>0</v>
      </c>
      <c r="L1436" s="834"/>
      <c r="M1436" s="832" t="str">
        <f>IF($H$1784=0,"",IF(G1436=0,"",IF(F1436="Qty=",CONCATENATE("$",ROUND(K1436*(1-$H$1784),2)," with ",($H$1784*100),"% discount"),CONCATENATE("$",ROUND(K1436*(1-$H$1784),2)," with ",(($H$1784*100+F1436*100)-($H$1784*100*F1436)),IF(F1436&gt;0,"% discounts",IF($H$1781&gt;0,"% discounts","% discount"))))))</f>
        <v/>
      </c>
      <c r="N1436" s="832"/>
      <c r="O1436" s="832"/>
      <c r="P1436" s="832"/>
      <c r="Q1436" s="832"/>
      <c r="R1436" s="832"/>
      <c r="S1436" s="303">
        <f t="shared" ref="S1436" si="3549">E1436*G1436</f>
        <v>0</v>
      </c>
      <c r="T1436" s="541">
        <f>VLOOKUP(A1436,'Discount Lookup'!D:E,2,FALSE)*G1436</f>
        <v>0</v>
      </c>
      <c r="U1436" s="83">
        <f>VLOOKUP(A1436,'Discount Lookup'!G:H,2,FALSE)*G1436</f>
        <v>0</v>
      </c>
      <c r="V1436" s="100">
        <f>E1436*($J$1782)*G1436</f>
        <v>0</v>
      </c>
      <c r="W1436" s="100">
        <f t="shared" ref="W1436" si="3550">I1436</f>
        <v>0</v>
      </c>
      <c r="X1436" s="100" t="b">
        <f>IF(G1436&gt;0,IF(AD1436="me","",G1436))</f>
        <v>0</v>
      </c>
      <c r="Y1436" s="201"/>
      <c r="Z1436" s="829" t="str">
        <f t="shared" ref="Z1436" si="3551">IF(G1436=0,"",IF(AD1436="me","",IF($AD$8="me","",IF(AD1436="free","warranty",IF($AD$8="yes","NVP planting:","to NVP install:")))))</f>
        <v/>
      </c>
      <c r="AA1436" s="829"/>
      <c r="AB1436" s="830" t="str">
        <f>IF(G1436=0,"",IF(AD1436="free","re-planting",IF(AD1436="me","not NVP, by",IF($AD$8="yes",(VLOOKUP(A1436,'Discount Lookup'!J:K,2)*G1436*(1-$AC$1786)*(1+$AC$1788)),IF(AD1436="NVP",(VLOOKUP(A1436,'Discount Lookup'!J:K,2)*G1436*(1-$AC$1786)*(1+$AC$1788)),IF(AD1436="free","re-planting",IF(G1436=0,"",IF($AD$8="",IF(AD1436="me","not NVP, by",IF(AD1436="",IF(G1436&gt;0,(VLOOKUP(A1436,'Discount Lookup'!J:K,2)*G1436*(1-$AC$1786)*(1+$AC$1788)),""),"")),"not NVP, by"))))))))</f>
        <v/>
      </c>
      <c r="AC1436" s="830"/>
      <c r="AD1436" s="375" t="str">
        <f t="shared" si="3428"/>
        <v/>
      </c>
      <c r="AE1436" s="833" t="str">
        <f t="shared" si="3427"/>
        <v/>
      </c>
      <c r="AF1436" s="833"/>
      <c r="AG1436" s="833"/>
      <c r="AH1436" s="91">
        <f>IF(AD1436="free",0,IF(AD1436="me",0,IF(G1436&gt;0,(VLOOKUP(A1436,'Discount Lookup'!J:K,2)*G1436),0)))</f>
        <v>0</v>
      </c>
      <c r="AI1436" s="92" t="str">
        <f t="shared" si="3481"/>
        <v/>
      </c>
      <c r="AJ1436" s="828" t="str">
        <f t="shared" ref="AJ1436" si="3552">IF(G1436=0,"",IF(AD1436="me","  delivery-only",IF($AD$8="me","  delivery-only",CONCATENATE(" $",ROUND(AI1436/G1436,2)," each"))))</f>
        <v/>
      </c>
      <c r="AK1436" s="828"/>
      <c r="AL1436" s="313" t="str">
        <f t="shared" si="3510"/>
        <v/>
      </c>
      <c r="AM1436" s="312"/>
      <c r="AN1436" s="101"/>
      <c r="AO1436" s="101"/>
      <c r="AP1436" s="101"/>
      <c r="AQ1436" s="101"/>
      <c r="AR1436" s="101"/>
      <c r="AS1436" s="101"/>
      <c r="AT1436" s="101"/>
    </row>
    <row r="1437" spans="1:46" ht="12.75" customHeight="1">
      <c r="A1437" s="455">
        <v>3</v>
      </c>
      <c r="B1437" s="158" t="s">
        <v>50</v>
      </c>
      <c r="C1437" s="168" t="s">
        <v>144</v>
      </c>
      <c r="D1437" s="161" t="s">
        <v>62</v>
      </c>
      <c r="E1437" s="162">
        <v>22.95</v>
      </c>
      <c r="F1437" s="713" t="s">
        <v>1306</v>
      </c>
      <c r="G1437" s="357">
        <v>0</v>
      </c>
      <c r="H1437" s="748" t="str">
        <f t="shared" ref="H1437:H1438" si="3553">IF(G1437=0,"",IF(F1437="Qty=",IF(G1437=1,"plant","plants"),IF(F1437&gt;0.0001,"warranty","Error")))</f>
        <v/>
      </c>
      <c r="I1437" s="592">
        <f t="shared" ref="I1437:I1438" si="3554">IF(F1437="Qty=",(E1437*G1437),((E1437*(1-F1437))*G1437))</f>
        <v>0</v>
      </c>
      <c r="J1437" s="592">
        <f>IF(H1437="warranty",0,(I1437*($J$1782)))</f>
        <v>0</v>
      </c>
      <c r="K1437" s="834">
        <f t="shared" si="3548"/>
        <v>0</v>
      </c>
      <c r="L1437" s="834"/>
      <c r="M1437" s="832" t="str">
        <f>IF($H$1784=0,"",IF(G1437=0,"",IF(F1437="Qty=",CONCATENATE("$",ROUND(K1437*(1-$H$1784),2)," with ",($H$1784*100),"% discount"),CONCATENATE("$",ROUND(K1437*(1-$H$1784),2)," with ",(($H$1784*100+F1437*100)-($H$1784*100*F1437)),IF(F1437&gt;0,"% discounts",IF($H$1781&gt;0,"% discounts","% discount"))))))</f>
        <v/>
      </c>
      <c r="N1437" s="832"/>
      <c r="O1437" s="832"/>
      <c r="P1437" s="832"/>
      <c r="Q1437" s="832"/>
      <c r="R1437" s="832"/>
      <c r="S1437" s="303">
        <f t="shared" ref="S1437" si="3555">E1437*G1437</f>
        <v>0</v>
      </c>
      <c r="T1437" s="541">
        <f>VLOOKUP(A1437,'Discount Lookup'!D:E,2,FALSE)*G1437</f>
        <v>0</v>
      </c>
      <c r="U1437" s="83">
        <f>VLOOKUP(A1437,'Discount Lookup'!G:H,2,FALSE)*G1437</f>
        <v>0</v>
      </c>
      <c r="V1437" s="100">
        <f>E1437*($J$1782)*G1437</f>
        <v>0</v>
      </c>
      <c r="W1437" s="100">
        <f t="shared" ref="W1437" si="3556">I1437</f>
        <v>0</v>
      </c>
      <c r="X1437" s="100" t="b">
        <f>IF(G1437&gt;0,IF(AD1437="me","",G1437))</f>
        <v>0</v>
      </c>
      <c r="Y1437" s="201"/>
      <c r="Z1437" s="829" t="str">
        <f t="shared" si="3442"/>
        <v/>
      </c>
      <c r="AA1437" s="829"/>
      <c r="AB1437" s="830" t="str">
        <f>IF(G1437=0,"",IF(AD1437="free","re-planting",IF(AD1437="me","not NVP, by",IF($AD$8="yes",(VLOOKUP(A1437,'Discount Lookup'!J:K,2)*G1437*(1-$AC$1786)*(1+$AC$1788)),IF(AD1437="NVP",(VLOOKUP(A1437,'Discount Lookup'!J:K,2)*G1437*(1-$AC$1786)*(1+$AC$1788)),IF(AD1437="free","re-planting",IF(G1437=0,"",IF($AD$8="",IF(AD1437="me","not NVP, by",IF(AD1437="",IF(G1437&gt;0,(VLOOKUP(A1437,'Discount Lookup'!J:K,2)*G1437*(1-$AC$1786)*(1+$AC$1788)),""),"")),"not NVP, by"))))))))</f>
        <v/>
      </c>
      <c r="AC1437" s="830"/>
      <c r="AD1437" s="375" t="str">
        <f t="shared" si="3428"/>
        <v/>
      </c>
      <c r="AE1437" s="833" t="str">
        <f t="shared" ref="AE1437" si="3557">IF(G1437&gt;0,(CONCATENATE((G1437)," quantity, ",(A1437)," ",B1437)),"")</f>
        <v/>
      </c>
      <c r="AF1437" s="833"/>
      <c r="AG1437" s="833"/>
      <c r="AH1437" s="91">
        <f>IF(AD1437="free",0,IF(AD1437="me",0,IF(G1437&gt;0,(VLOOKUP(A1437,'Discount Lookup'!J:K,2)*G1437),0)))</f>
        <v>0</v>
      </c>
      <c r="AI1437" s="92" t="str">
        <f t="shared" si="3481"/>
        <v/>
      </c>
      <c r="AJ1437" s="828" t="str">
        <f t="shared" si="3444"/>
        <v/>
      </c>
      <c r="AK1437" s="828"/>
      <c r="AL1437" s="313" t="str">
        <f t="shared" si="3510"/>
        <v/>
      </c>
      <c r="AM1437" s="312"/>
      <c r="AN1437" s="101"/>
      <c r="AO1437" s="101"/>
      <c r="AP1437" s="101"/>
      <c r="AQ1437" s="101"/>
      <c r="AR1437" s="101"/>
      <c r="AS1437" s="101"/>
      <c r="AT1437" s="101"/>
    </row>
    <row r="1438" spans="1:46" ht="12.95" customHeight="1">
      <c r="A1438" s="455">
        <v>7</v>
      </c>
      <c r="B1438" s="158" t="s">
        <v>50</v>
      </c>
      <c r="C1438" s="168" t="s">
        <v>899</v>
      </c>
      <c r="D1438" s="161" t="s">
        <v>90</v>
      </c>
      <c r="E1438" s="162">
        <v>98.95</v>
      </c>
      <c r="F1438" s="713" t="s">
        <v>1306</v>
      </c>
      <c r="G1438" s="357">
        <v>0</v>
      </c>
      <c r="H1438" s="748" t="str">
        <f t="shared" si="3553"/>
        <v/>
      </c>
      <c r="I1438" s="592">
        <f t="shared" si="3554"/>
        <v>0</v>
      </c>
      <c r="J1438" s="592">
        <f>IF(H1438="warranty",0,(I1438*($J$1782)))</f>
        <v>0</v>
      </c>
      <c r="K1438" s="834">
        <f t="shared" si="3548"/>
        <v>0</v>
      </c>
      <c r="L1438" s="834"/>
      <c r="M1438" s="832" t="str">
        <f>IF($H$1784=0,"",IF(G1438=0,"",IF(F1438="Qty=",CONCATENATE("$",ROUND(K1438*(1-$H$1784),2)," with ",($H$1784*100),"% discount"),CONCATENATE("$",ROUND(K1438*(1-$H$1784),2)," with ",(($H$1784*100+F1438*100)-($H$1784*100*F1438)),IF(F1438&gt;0,"% discounts",IF($H$1781&gt;0,"% discounts","% discount"))))))</f>
        <v/>
      </c>
      <c r="N1438" s="832"/>
      <c r="O1438" s="832"/>
      <c r="P1438" s="832"/>
      <c r="Q1438" s="832"/>
      <c r="R1438" s="832"/>
      <c r="S1438" s="303">
        <f t="shared" ref="S1438" si="3558">E1438*G1438</f>
        <v>0</v>
      </c>
      <c r="T1438" s="541">
        <f>VLOOKUP(A1438,'Discount Lookup'!D:E,2,FALSE)*G1438</f>
        <v>0</v>
      </c>
      <c r="U1438" s="83">
        <f>VLOOKUP(A1438,'Discount Lookup'!G:H,2,FALSE)*G1438</f>
        <v>0</v>
      </c>
      <c r="V1438" s="100">
        <f>E1438*($J$1782)*G1438</f>
        <v>0</v>
      </c>
      <c r="W1438" s="100">
        <f t="shared" ref="W1438" si="3559">I1438</f>
        <v>0</v>
      </c>
      <c r="X1438" s="100" t="b">
        <f>IF(G1438&gt;0,IF(AD1438="me","",G1438))</f>
        <v>0</v>
      </c>
      <c r="Y1438" s="201"/>
      <c r="Z1438" s="829" t="str">
        <f t="shared" si="3442"/>
        <v/>
      </c>
      <c r="AA1438" s="829"/>
      <c r="AB1438" s="830" t="str">
        <f>IF(G1438=0,"",IF(AD1438="free","re-planting",IF(AD1438="me","not NVP, by",IF($AD$8="yes",(VLOOKUP(A1438,'Discount Lookup'!J:K,2)*G1438*(1-$AC$1786)*(1+$AC$1788)),IF(AD1438="NVP",(VLOOKUP(A1438,'Discount Lookup'!J:K,2)*G1438*(1-$AC$1786)*(1+$AC$1788)),IF(AD1438="free","re-planting",IF(G1438=0,"",IF($AD$8="",IF(AD1438="me","not NVP, by",IF(AD1438="",IF(G1438&gt;0,(VLOOKUP(A1438,'Discount Lookup'!J:K,2)*G1438*(1-$AC$1786)*(1+$AC$1788)),""),"")),"not NVP, by"))))))))</f>
        <v/>
      </c>
      <c r="AC1438" s="830"/>
      <c r="AD1438" s="375" t="str">
        <f t="shared" si="3428"/>
        <v/>
      </c>
      <c r="AE1438" s="833" t="str">
        <f t="shared" si="3427"/>
        <v/>
      </c>
      <c r="AF1438" s="833"/>
      <c r="AG1438" s="833"/>
      <c r="AH1438" s="91">
        <f>IF(AD1438="free",0,IF(AD1438="me",0,IF(G1438&gt;0,(VLOOKUP(A1438,'Discount Lookup'!J:K,2)*G1438),0)))</f>
        <v>0</v>
      </c>
      <c r="AI1438" s="92" t="str">
        <f t="shared" si="3481"/>
        <v/>
      </c>
      <c r="AJ1438" s="828" t="str">
        <f t="shared" si="3444"/>
        <v/>
      </c>
      <c r="AK1438" s="828"/>
      <c r="AL1438" s="313" t="str">
        <f t="shared" si="3510"/>
        <v/>
      </c>
      <c r="AM1438" s="312"/>
      <c r="AN1438" s="101"/>
      <c r="AO1438" s="101"/>
      <c r="AP1438" s="101"/>
      <c r="AQ1438" s="101"/>
      <c r="AR1438" s="101"/>
      <c r="AS1438" s="101"/>
      <c r="AT1438" s="101"/>
    </row>
    <row r="1439" spans="1:46" ht="12.95" customHeight="1">
      <c r="A1439" s="494"/>
      <c r="B1439" s="198" t="s">
        <v>773</v>
      </c>
      <c r="C1439" s="117"/>
      <c r="D1439" s="118"/>
      <c r="E1439" s="119"/>
      <c r="F1439" s="711"/>
      <c r="G1439" s="356"/>
      <c r="H1439" s="745"/>
      <c r="I1439" s="119"/>
      <c r="J1439" s="119"/>
      <c r="K1439" s="609"/>
      <c r="L1439" s="609"/>
      <c r="M1439" s="48"/>
      <c r="N1439" s="122" t="s">
        <v>277</v>
      </c>
      <c r="O1439" s="123"/>
      <c r="P1439" s="124"/>
      <c r="Q1439" s="124"/>
      <c r="R1439" s="83"/>
      <c r="S1439" s="82">
        <f>E1439*G1439</f>
        <v>0</v>
      </c>
      <c r="T1439" s="540"/>
      <c r="U1439" s="83"/>
      <c r="V1439" s="100" t="b">
        <f>IF(G1439&gt;0,IF(AD1439="me","",G1439))</f>
        <v>0</v>
      </c>
      <c r="W1439" s="100"/>
      <c r="X1439" s="100"/>
      <c r="Y1439" s="201"/>
      <c r="Z1439" s="829" t="str">
        <f t="shared" si="3442"/>
        <v/>
      </c>
      <c r="AA1439" s="829"/>
      <c r="AB1439" s="830" t="str">
        <f>IF(G1439=0,"",IF(AD1439="free","re-planting",IF(AD1439="me","not NVP, by",IF($AD$8="yes",(VLOOKUP(A1439,'Discount Lookup'!J:K,2)*G1439*(1-$AC$1786)*(1+$AC$1788)),IF(AD1439="NVP",(VLOOKUP(A1439,'Discount Lookup'!J:K,2)*G1439*(1-$AC$1786)*(1+$AC$1788)),IF(AD1439="free","re-planting",IF(G1439=0,"",IF($AD$8="",IF(AD1439="me","not NVP, by",IF(AD1439="",IF(G1439&gt;0,(VLOOKUP(A1439,'Discount Lookup'!J:K,2)*G1439*(1-$AC$1786)*(1+$AC$1788)),""),"")),"not NVP, by"))))))))</f>
        <v/>
      </c>
      <c r="AC1439" s="830"/>
      <c r="AD1439" s="375" t="str">
        <f t="shared" ref="AD1439:AD1502" si="3560">IF(G1439=0,"",IF($AD$8="me","me",IF(H1439="warranty","free",IF($AD$8="yes","NVP",""))))</f>
        <v/>
      </c>
      <c r="AE1439" s="833" t="str">
        <f t="shared" si="3427"/>
        <v/>
      </c>
      <c r="AF1439" s="833"/>
      <c r="AG1439" s="833"/>
      <c r="AH1439" s="91">
        <f>IF(AD1439="free",0,IF(AD1439="me",0,IF(G1439&gt;0,(VLOOKUP(A1439,'Discount Lookup'!J:K,2)*G1439),0)))</f>
        <v>0</v>
      </c>
      <c r="AI1439" s="92" t="str">
        <f t="shared" si="3481"/>
        <v/>
      </c>
      <c r="AJ1439" s="828" t="str">
        <f t="shared" si="3444"/>
        <v/>
      </c>
      <c r="AK1439" s="828"/>
      <c r="AL1439" s="313" t="str">
        <f t="shared" si="3510"/>
        <v/>
      </c>
      <c r="AM1439" s="312"/>
      <c r="AN1439" s="101"/>
      <c r="AO1439" s="101"/>
      <c r="AP1439" s="101"/>
      <c r="AQ1439" s="101"/>
      <c r="AR1439" s="101"/>
      <c r="AS1439" s="101"/>
      <c r="AT1439" s="101"/>
    </row>
    <row r="1440" spans="1:46" ht="12.95" customHeight="1">
      <c r="A1440" s="839" t="s">
        <v>774</v>
      </c>
      <c r="B1440" s="837"/>
      <c r="C1440" s="837"/>
      <c r="D1440" s="837"/>
      <c r="E1440" s="837"/>
      <c r="F1440" s="837"/>
      <c r="G1440" s="837"/>
      <c r="H1440" s="775" t="s">
        <v>436</v>
      </c>
      <c r="I1440" s="164" t="s">
        <v>79</v>
      </c>
      <c r="J1440" s="157"/>
      <c r="K1440" s="611" t="s">
        <v>45</v>
      </c>
      <c r="L1440" s="630" t="s">
        <v>46</v>
      </c>
      <c r="M1440" s="157"/>
      <c r="N1440" s="175" t="s">
        <v>157</v>
      </c>
      <c r="O1440" s="175"/>
      <c r="P1440" s="175"/>
      <c r="Q1440" s="175"/>
      <c r="R1440" s="835" t="s">
        <v>49</v>
      </c>
      <c r="S1440" s="835"/>
      <c r="T1440" s="835"/>
      <c r="U1440" s="835"/>
      <c r="V1440" s="100" t="b">
        <f>IF(G1440&gt;0,IF(AD1440="me","",G1440))</f>
        <v>0</v>
      </c>
      <c r="W1440" s="100"/>
      <c r="X1440" s="100"/>
      <c r="Y1440" s="201"/>
      <c r="Z1440" s="829" t="str">
        <f t="shared" si="3442"/>
        <v/>
      </c>
      <c r="AA1440" s="829"/>
      <c r="AB1440" s="830" t="str">
        <f>IF(G1440=0,"",IF(AD1440="free","re-planting",IF(AD1440="me","not NVP, by",IF($AD$8="yes",(VLOOKUP(A1440,'Discount Lookup'!J:K,2)*G1440*(1-$AC$1786)*(1+$AC$1788)),IF(AD1440="NVP",(VLOOKUP(A1440,'Discount Lookup'!J:K,2)*G1440*(1-$AC$1786)*(1+$AC$1788)),IF(AD1440="free","re-planting",IF(G1440=0,"",IF($AD$8="",IF(AD1440="me","not NVP, by",IF(AD1440="",IF(G1440&gt;0,(VLOOKUP(A1440,'Discount Lookup'!J:K,2)*G1440*(1-$AC$1786)*(1+$AC$1788)),""),"")),"not NVP, by"))))))))</f>
        <v/>
      </c>
      <c r="AC1440" s="830"/>
      <c r="AD1440" s="375" t="str">
        <f t="shared" si="3560"/>
        <v/>
      </c>
      <c r="AE1440" s="833" t="str">
        <f t="shared" si="3427"/>
        <v/>
      </c>
      <c r="AF1440" s="833"/>
      <c r="AG1440" s="833"/>
      <c r="AH1440" s="91">
        <f>IF(AD1440="free",0,IF(AD1440="me",0,IF(G1440&gt;0,(VLOOKUP(A1440,'Discount Lookup'!J:K,2)*G1440),0)))</f>
        <v>0</v>
      </c>
      <c r="AI1440" s="92" t="str">
        <f t="shared" si="3481"/>
        <v/>
      </c>
      <c r="AJ1440" s="828" t="str">
        <f t="shared" si="3444"/>
        <v/>
      </c>
      <c r="AK1440" s="828"/>
      <c r="AL1440" s="313" t="str">
        <f t="shared" si="3510"/>
        <v/>
      </c>
      <c r="AM1440" s="312"/>
      <c r="AN1440" s="101"/>
      <c r="AO1440" s="101"/>
      <c r="AP1440" s="101"/>
      <c r="AQ1440" s="101"/>
      <c r="AR1440" s="101"/>
      <c r="AS1440" s="101"/>
      <c r="AT1440" s="101"/>
    </row>
    <row r="1441" spans="1:48" ht="12.95" customHeight="1">
      <c r="A1441" s="455">
        <v>3</v>
      </c>
      <c r="B1441" s="158" t="s">
        <v>50</v>
      </c>
      <c r="C1441" s="168" t="s">
        <v>136</v>
      </c>
      <c r="D1441" s="161" t="s">
        <v>63</v>
      </c>
      <c r="E1441" s="162">
        <v>33.950000000000003</v>
      </c>
      <c r="F1441" s="713" t="s">
        <v>1306</v>
      </c>
      <c r="G1441" s="357">
        <v>0</v>
      </c>
      <c r="H1441" s="748" t="str">
        <f t="shared" ref="H1441" si="3561">IF(G1441=0,"",IF(F1441="Qty=",IF(G1441=1,"plant","plants"),IF(F1441&gt;0.0001,"warranty","Error")))</f>
        <v/>
      </c>
      <c r="I1441" s="592">
        <f t="shared" ref="I1441" si="3562">IF(F1441="Qty=",(E1441*G1441),((E1441*(1-F1441))*G1441))</f>
        <v>0</v>
      </c>
      <c r="J1441" s="592">
        <f>IF(H1441="warranty",0,(I1441*($J$1782)))</f>
        <v>0</v>
      </c>
      <c r="K1441" s="834">
        <f t="shared" ref="K1441" si="3563">I1441+J1441</f>
        <v>0</v>
      </c>
      <c r="L1441" s="834"/>
      <c r="M1441" s="832" t="str">
        <f>IF($H$1784=0,"",IF(G1441=0,"",IF(F1441="Qty=",CONCATENATE("$",ROUND(K1441*(1-$H$1784),2)," with ",($H$1784*100),"% discount"),CONCATENATE("$",ROUND(K1441*(1-$H$1784),2)," with ",(($H$1784*100+F1441*100)-($H$1784*100*F1441)),IF(F1441&gt;0,"% discounts",IF($H$1781&gt;0,"% discounts","% discount"))))))</f>
        <v/>
      </c>
      <c r="N1441" s="832"/>
      <c r="O1441" s="832"/>
      <c r="P1441" s="832"/>
      <c r="Q1441" s="832"/>
      <c r="R1441" s="832"/>
      <c r="S1441" s="303">
        <f t="shared" ref="S1441" si="3564">E1441*G1441</f>
        <v>0</v>
      </c>
      <c r="T1441" s="541">
        <f>VLOOKUP(A1441,'Discount Lookup'!D:E,2,FALSE)*G1441</f>
        <v>0</v>
      </c>
      <c r="U1441" s="83">
        <f>VLOOKUP(A1441,'Discount Lookup'!G:H,2,FALSE)*G1441</f>
        <v>0</v>
      </c>
      <c r="V1441" s="100">
        <f>E1441*($J$1782)*G1441</f>
        <v>0</v>
      </c>
      <c r="W1441" s="100">
        <f t="shared" ref="W1441" si="3565">I1441</f>
        <v>0</v>
      </c>
      <c r="X1441" s="100" t="b">
        <f>IF(G1441&gt;0,IF(AD1441="me","",G1441))</f>
        <v>0</v>
      </c>
      <c r="Y1441" s="201"/>
      <c r="Z1441" s="829" t="str">
        <f t="shared" si="3442"/>
        <v/>
      </c>
      <c r="AA1441" s="829"/>
      <c r="AB1441" s="830" t="str">
        <f>IF(G1441=0,"",IF(AD1441="free","re-planting",IF(AD1441="me","not NVP, by",IF($AD$8="yes",(VLOOKUP(A1441,'Discount Lookup'!J:K,2)*G1441*(1-$AC$1786)*(1+$AC$1788)),IF(AD1441="NVP",(VLOOKUP(A1441,'Discount Lookup'!J:K,2)*G1441*(1-$AC$1786)*(1+$AC$1788)),IF(AD1441="free","re-planting",IF(G1441=0,"",IF($AD$8="",IF(AD1441="me","not NVP, by",IF(AD1441="",IF(G1441&gt;0,(VLOOKUP(A1441,'Discount Lookup'!J:K,2)*G1441*(1-$AC$1786)*(1+$AC$1788)),""),"")),"not NVP, by"))))))))</f>
        <v/>
      </c>
      <c r="AC1441" s="830"/>
      <c r="AD1441" s="375" t="str">
        <f t="shared" si="3560"/>
        <v/>
      </c>
      <c r="AE1441" s="833" t="str">
        <f t="shared" si="3427"/>
        <v/>
      </c>
      <c r="AF1441" s="833"/>
      <c r="AG1441" s="833"/>
      <c r="AH1441" s="91">
        <f>IF(AD1441="free",0,IF(AD1441="me",0,IF(G1441&gt;0,(VLOOKUP(A1441,'Discount Lookup'!J:K,2)*G1441),0)))</f>
        <v>0</v>
      </c>
      <c r="AI1441" s="92" t="str">
        <f t="shared" si="3481"/>
        <v/>
      </c>
      <c r="AJ1441" s="828" t="str">
        <f t="shared" si="3444"/>
        <v/>
      </c>
      <c r="AK1441" s="828"/>
      <c r="AL1441" s="313" t="str">
        <f t="shared" si="3510"/>
        <v/>
      </c>
      <c r="AM1441" s="312"/>
      <c r="AN1441" s="101"/>
      <c r="AO1441" s="101"/>
      <c r="AP1441" s="101"/>
      <c r="AQ1441" s="101"/>
      <c r="AR1441" s="101"/>
      <c r="AS1441" s="101"/>
      <c r="AT1441" s="101"/>
    </row>
    <row r="1442" spans="1:48" ht="12.95" customHeight="1">
      <c r="A1442" s="493"/>
      <c r="B1442" s="198" t="s">
        <v>775</v>
      </c>
      <c r="C1442" s="181"/>
      <c r="D1442" s="118"/>
      <c r="E1442" s="119"/>
      <c r="F1442" s="711"/>
      <c r="G1442" s="356"/>
      <c r="H1442" s="745"/>
      <c r="I1442" s="119"/>
      <c r="J1442" s="119"/>
      <c r="K1442" s="609"/>
      <c r="L1442" s="609"/>
      <c r="M1442" s="121"/>
      <c r="N1442" s="122" t="s">
        <v>176</v>
      </c>
      <c r="O1442" s="123"/>
      <c r="P1442" s="124"/>
      <c r="Q1442" s="124"/>
      <c r="R1442" s="83"/>
      <c r="S1442" s="82">
        <f>E1442*G1442</f>
        <v>0</v>
      </c>
      <c r="T1442" s="540"/>
      <c r="U1442" s="83"/>
      <c r="V1442" s="100" t="b">
        <f>IF(G1442&gt;0,IF(AD1442="me","",G1442))</f>
        <v>0</v>
      </c>
      <c r="W1442" s="100"/>
      <c r="X1442" s="100"/>
      <c r="Y1442" s="201"/>
      <c r="Z1442" s="829" t="str">
        <f t="shared" si="3442"/>
        <v/>
      </c>
      <c r="AA1442" s="829"/>
      <c r="AB1442" s="830" t="str">
        <f>IF(G1442=0,"",IF(AD1442="free","re-planting",IF(AD1442="me","not NVP, by",IF($AD$8="yes",(VLOOKUP(A1442,'Discount Lookup'!J:K,2)*G1442*(1-$AC$1786)*(1+$AC$1788)),IF(AD1442="NVP",(VLOOKUP(A1442,'Discount Lookup'!J:K,2)*G1442*(1-$AC$1786)*(1+$AC$1788)),IF(AD1442="free","re-planting",IF(G1442=0,"",IF($AD$8="",IF(AD1442="me","not NVP, by",IF(AD1442="",IF(G1442&gt;0,(VLOOKUP(A1442,'Discount Lookup'!J:K,2)*G1442*(1-$AC$1786)*(1+$AC$1788)),""),"")),"not NVP, by"))))))))</f>
        <v/>
      </c>
      <c r="AC1442" s="830"/>
      <c r="AD1442" s="375" t="str">
        <f t="shared" si="3560"/>
        <v/>
      </c>
      <c r="AE1442" s="833" t="str">
        <f t="shared" si="3427"/>
        <v/>
      </c>
      <c r="AF1442" s="833"/>
      <c r="AG1442" s="833"/>
      <c r="AH1442" s="91">
        <f>IF(AD1442="free",0,IF(AD1442="me",0,IF(G1442&gt;0,(VLOOKUP(A1442,'Discount Lookup'!J:K,2)*G1442),0)))</f>
        <v>0</v>
      </c>
      <c r="AI1442" s="92" t="str">
        <f t="shared" si="3481"/>
        <v/>
      </c>
      <c r="AJ1442" s="828" t="str">
        <f t="shared" si="3444"/>
        <v/>
      </c>
      <c r="AK1442" s="828"/>
      <c r="AL1442" s="313" t="str">
        <f t="shared" si="3510"/>
        <v/>
      </c>
      <c r="AM1442" s="312"/>
      <c r="AN1442" s="101"/>
      <c r="AO1442" s="101"/>
      <c r="AP1442" s="101"/>
      <c r="AQ1442" s="101"/>
      <c r="AR1442" s="101"/>
      <c r="AS1442" s="101"/>
      <c r="AT1442" s="101"/>
    </row>
    <row r="1443" spans="1:48" ht="12.95" customHeight="1">
      <c r="A1443" s="839" t="s">
        <v>776</v>
      </c>
      <c r="B1443" s="837"/>
      <c r="C1443" s="837"/>
      <c r="D1443" s="837"/>
      <c r="E1443" s="837"/>
      <c r="F1443" s="837"/>
      <c r="G1443" s="837"/>
      <c r="H1443" s="775" t="s">
        <v>521</v>
      </c>
      <c r="I1443" s="349" t="s">
        <v>280</v>
      </c>
      <c r="J1443" s="157"/>
      <c r="K1443" s="611" t="s">
        <v>45</v>
      </c>
      <c r="L1443" s="630" t="s">
        <v>46</v>
      </c>
      <c r="M1443" s="157"/>
      <c r="N1443" s="158" t="s">
        <v>98</v>
      </c>
      <c r="O1443" s="158"/>
      <c r="P1443" s="158"/>
      <c r="Q1443" s="158"/>
      <c r="R1443" s="157"/>
      <c r="S1443" s="170"/>
      <c r="T1443" s="547"/>
      <c r="U1443" s="171"/>
      <c r="V1443" s="100" t="b">
        <f>IF(G1443&gt;0,IF(AD1443="me","",G1443))</f>
        <v>0</v>
      </c>
      <c r="W1443" s="100"/>
      <c r="X1443" s="100"/>
      <c r="Y1443" s="201"/>
      <c r="Z1443" s="829" t="str">
        <f t="shared" si="3442"/>
        <v/>
      </c>
      <c r="AA1443" s="829"/>
      <c r="AB1443" s="830" t="str">
        <f>IF(G1443=0,"",IF(AD1443="free","re-planting",IF(AD1443="me","not NVP, by",IF($AD$8="yes",(VLOOKUP(A1443,'Discount Lookup'!J:K,2)*G1443*(1-$AC$1786)*(1+$AC$1788)),IF(AD1443="NVP",(VLOOKUP(A1443,'Discount Lookup'!J:K,2)*G1443*(1-$AC$1786)*(1+$AC$1788)),IF(AD1443="free","re-planting",IF(G1443=0,"",IF($AD$8="",IF(AD1443="me","not NVP, by",IF(AD1443="",IF(G1443&gt;0,(VLOOKUP(A1443,'Discount Lookup'!J:K,2)*G1443*(1-$AC$1786)*(1+$AC$1788)),""),"")),"not NVP, by"))))))))</f>
        <v/>
      </c>
      <c r="AC1443" s="830"/>
      <c r="AD1443" s="375" t="str">
        <f t="shared" si="3560"/>
        <v/>
      </c>
      <c r="AE1443" s="833" t="str">
        <f t="shared" si="3427"/>
        <v/>
      </c>
      <c r="AF1443" s="833"/>
      <c r="AG1443" s="833"/>
      <c r="AH1443" s="91">
        <f>IF(AD1443="free",0,IF(AD1443="me",0,IF(G1443&gt;0,(VLOOKUP(A1443,'Discount Lookup'!J:K,2)*G1443),0)))</f>
        <v>0</v>
      </c>
      <c r="AI1443" s="92" t="str">
        <f t="shared" si="3481"/>
        <v/>
      </c>
      <c r="AJ1443" s="828" t="str">
        <f t="shared" si="3444"/>
        <v/>
      </c>
      <c r="AK1443" s="828"/>
      <c r="AL1443" s="313" t="str">
        <f t="shared" si="3510"/>
        <v/>
      </c>
      <c r="AM1443" s="312"/>
      <c r="AN1443" s="101"/>
      <c r="AO1443" s="101"/>
      <c r="AP1443" s="101"/>
      <c r="AQ1443" s="101"/>
      <c r="AR1443" s="101"/>
      <c r="AS1443" s="101"/>
      <c r="AT1443" s="101"/>
    </row>
    <row r="1444" spans="1:48" ht="12.75" customHeight="1">
      <c r="A1444" s="455">
        <v>3</v>
      </c>
      <c r="B1444" s="158" t="s">
        <v>50</v>
      </c>
      <c r="C1444" s="168" t="s">
        <v>136</v>
      </c>
      <c r="D1444" s="161" t="s">
        <v>87</v>
      </c>
      <c r="E1444" s="162">
        <v>36.950000000000003</v>
      </c>
      <c r="F1444" s="713" t="s">
        <v>1306</v>
      </c>
      <c r="G1444" s="357">
        <v>0</v>
      </c>
      <c r="H1444" s="748" t="str">
        <f t="shared" ref="H1444:H1445" si="3566">IF(G1444=0,"",IF(F1444="Qty=",IF(G1444=1,"plant","plants"),IF(F1444&gt;0.0001,"warranty","Error")))</f>
        <v/>
      </c>
      <c r="I1444" s="592">
        <f t="shared" ref="I1444:I1445" si="3567">IF(F1444="Qty=",(E1444*G1444),((E1444*(1-F1444))*G1444))</f>
        <v>0</v>
      </c>
      <c r="J1444" s="592">
        <f>IF(H1444="warranty",0,(I1444*($J$1782)))</f>
        <v>0</v>
      </c>
      <c r="K1444" s="834">
        <f t="shared" ref="K1444:K1445" si="3568">I1444+J1444</f>
        <v>0</v>
      </c>
      <c r="L1444" s="834"/>
      <c r="M1444" s="832" t="str">
        <f>IF($H$1784=0,"",IF(G1444=0,"",IF(F1444="Qty=",CONCATENATE("$",ROUND(K1444*(1-$H$1784),2)," with ",($H$1784*100),"% discount"),CONCATENATE("$",ROUND(K1444*(1-$H$1784),2)," with ",(($H$1784*100+F1444*100)-($H$1784*100*F1444)),IF(F1444&gt;0,"% discounts",IF($H$1781&gt;0,"% discounts","% discount"))))))</f>
        <v/>
      </c>
      <c r="N1444" s="832"/>
      <c r="O1444" s="832"/>
      <c r="P1444" s="832"/>
      <c r="Q1444" s="832"/>
      <c r="R1444" s="832"/>
      <c r="S1444" s="303">
        <f t="shared" ref="S1444" si="3569">E1444*G1444</f>
        <v>0</v>
      </c>
      <c r="T1444" s="541">
        <f>VLOOKUP(A1444,'Discount Lookup'!D:E,2,FALSE)*G1444</f>
        <v>0</v>
      </c>
      <c r="U1444" s="83">
        <f>VLOOKUP(A1444,'Discount Lookup'!G:H,2,FALSE)*G1444</f>
        <v>0</v>
      </c>
      <c r="V1444" s="100">
        <f>E1444*($J$1782)*G1444</f>
        <v>0</v>
      </c>
      <c r="W1444" s="100">
        <f t="shared" ref="W1444" si="3570">I1444</f>
        <v>0</v>
      </c>
      <c r="X1444" s="100" t="b">
        <f>IF(G1444&gt;0,IF(AD1444="me","",G1444))</f>
        <v>0</v>
      </c>
      <c r="Y1444" s="201"/>
      <c r="Z1444" s="829" t="str">
        <f t="shared" si="3442"/>
        <v/>
      </c>
      <c r="AA1444" s="829"/>
      <c r="AB1444" s="830" t="str">
        <f>IF(G1444=0,"",IF(AD1444="free","re-planting",IF(AD1444="me","not NVP, by",IF($AD$8="yes",(VLOOKUP(A1444,'Discount Lookup'!J:K,2)*G1444*(1-$AC$1786)*(1+$AC$1788)),IF(AD1444="NVP",(VLOOKUP(A1444,'Discount Lookup'!J:K,2)*G1444*(1-$AC$1786)*(1+$AC$1788)),IF(AD1444="free","re-planting",IF(G1444=0,"",IF($AD$8="",IF(AD1444="me","not NVP, by",IF(AD1444="",IF(G1444&gt;0,(VLOOKUP(A1444,'Discount Lookup'!J:K,2)*G1444*(1-$AC$1786)*(1+$AC$1788)),""),"")),"not NVP, by"))))))))</f>
        <v/>
      </c>
      <c r="AC1444" s="830"/>
      <c r="AD1444" s="375" t="str">
        <f t="shared" si="3560"/>
        <v/>
      </c>
      <c r="AE1444" s="833" t="str">
        <f t="shared" ref="AE1444" si="3571">IF(G1444&gt;0,(CONCATENATE((G1444)," quantity, ",(A1444)," ",B1444)),"")</f>
        <v/>
      </c>
      <c r="AF1444" s="833"/>
      <c r="AG1444" s="833"/>
      <c r="AH1444" s="91">
        <f>IF(AD1444="free",0,IF(AD1444="me",0,IF(G1444&gt;0,(VLOOKUP(A1444,'Discount Lookup'!J:K,2)*G1444),0)))</f>
        <v>0</v>
      </c>
      <c r="AI1444" s="92" t="str">
        <f t="shared" si="3481"/>
        <v/>
      </c>
      <c r="AJ1444" s="828" t="str">
        <f t="shared" si="3444"/>
        <v/>
      </c>
      <c r="AK1444" s="828"/>
      <c r="AL1444" s="313" t="str">
        <f t="shared" si="3510"/>
        <v/>
      </c>
      <c r="AM1444" s="312"/>
      <c r="AN1444" s="101"/>
      <c r="AO1444" s="101"/>
      <c r="AP1444" s="101"/>
      <c r="AQ1444" s="101"/>
      <c r="AR1444" s="101"/>
      <c r="AS1444" s="101"/>
      <c r="AT1444" s="101"/>
    </row>
    <row r="1445" spans="1:48" ht="12.75" customHeight="1">
      <c r="A1445" s="455">
        <v>7</v>
      </c>
      <c r="B1445" s="158" t="s">
        <v>50</v>
      </c>
      <c r="C1445" s="168" t="s">
        <v>136</v>
      </c>
      <c r="D1445" s="161" t="s">
        <v>94</v>
      </c>
      <c r="E1445" s="162">
        <v>71.95</v>
      </c>
      <c r="F1445" s="713" t="s">
        <v>1306</v>
      </c>
      <c r="G1445" s="357">
        <v>0</v>
      </c>
      <c r="H1445" s="748" t="str">
        <f t="shared" si="3566"/>
        <v/>
      </c>
      <c r="I1445" s="592">
        <f t="shared" si="3567"/>
        <v>0</v>
      </c>
      <c r="J1445" s="592">
        <f>IF(H1445="warranty",0,(I1445*($J$1782)))</f>
        <v>0</v>
      </c>
      <c r="K1445" s="834">
        <f t="shared" si="3568"/>
        <v>0</v>
      </c>
      <c r="L1445" s="834"/>
      <c r="M1445" s="832" t="str">
        <f>IF($H$1784=0,"",IF(G1445=0,"",IF(F1445="Qty=",CONCATENATE("$",ROUND(K1445*(1-$H$1784),2)," with ",($H$1784*100),"% discount"),CONCATENATE("$",ROUND(K1445*(1-$H$1784),2)," with ",(($H$1784*100+F1445*100)-($H$1784*100*F1445)),IF(F1445&gt;0,"% discounts",IF($H$1781&gt;0,"% discounts","% discount"))))))</f>
        <v/>
      </c>
      <c r="N1445" s="832"/>
      <c r="O1445" s="832"/>
      <c r="P1445" s="832"/>
      <c r="Q1445" s="832"/>
      <c r="R1445" s="832"/>
      <c r="S1445" s="303">
        <f t="shared" ref="S1445" si="3572">E1445*G1445</f>
        <v>0</v>
      </c>
      <c r="T1445" s="541">
        <f>VLOOKUP(A1445,'Discount Lookup'!D:E,2,FALSE)*G1445</f>
        <v>0</v>
      </c>
      <c r="U1445" s="83">
        <f>VLOOKUP(A1445,'Discount Lookup'!G:H,2,FALSE)*G1445</f>
        <v>0</v>
      </c>
      <c r="V1445" s="100">
        <f>E1445*($J$1782)*G1445</f>
        <v>0</v>
      </c>
      <c r="W1445" s="100">
        <f t="shared" ref="W1445" si="3573">I1445</f>
        <v>0</v>
      </c>
      <c r="X1445" s="100" t="b">
        <f>IF(G1445&gt;0,IF(AD1445="me","",G1445))</f>
        <v>0</v>
      </c>
      <c r="Y1445" s="201"/>
      <c r="Z1445" s="829" t="str">
        <f t="shared" si="3442"/>
        <v/>
      </c>
      <c r="AA1445" s="829"/>
      <c r="AB1445" s="830" t="str">
        <f>IF(G1445=0,"",IF(AD1445="free","re-planting",IF(AD1445="me","not NVP, by",IF($AD$8="yes",(VLOOKUP(A1445,'Discount Lookup'!J:K,2)*G1445*(1-$AC$1786)*(1+$AC$1788)),IF(AD1445="NVP",(VLOOKUP(A1445,'Discount Lookup'!J:K,2)*G1445*(1-$AC$1786)*(1+$AC$1788)),IF(AD1445="free","re-planting",IF(G1445=0,"",IF($AD$8="",IF(AD1445="me","not NVP, by",IF(AD1445="",IF(G1445&gt;0,(VLOOKUP(A1445,'Discount Lookup'!J:K,2)*G1445*(1-$AC$1786)*(1+$AC$1788)),""),"")),"not NVP, by"))))))))</f>
        <v/>
      </c>
      <c r="AC1445" s="830"/>
      <c r="AD1445" s="375" t="str">
        <f t="shared" si="3560"/>
        <v/>
      </c>
      <c r="AE1445" s="833" t="str">
        <f t="shared" si="3427"/>
        <v/>
      </c>
      <c r="AF1445" s="833"/>
      <c r="AG1445" s="833"/>
      <c r="AH1445" s="91">
        <f>IF(AD1445="free",0,IF(AD1445="me",0,IF(G1445&gt;0,(VLOOKUP(A1445,'Discount Lookup'!J:K,2)*G1445),0)))</f>
        <v>0</v>
      </c>
      <c r="AI1445" s="92" t="str">
        <f t="shared" si="3481"/>
        <v/>
      </c>
      <c r="AJ1445" s="828" t="str">
        <f t="shared" si="3444"/>
        <v/>
      </c>
      <c r="AK1445" s="828"/>
      <c r="AL1445" s="313" t="str">
        <f t="shared" si="3510"/>
        <v/>
      </c>
      <c r="AM1445" s="312"/>
      <c r="AN1445" s="101"/>
      <c r="AO1445" s="101"/>
      <c r="AP1445" s="101"/>
      <c r="AQ1445" s="101"/>
      <c r="AR1445" s="101"/>
      <c r="AS1445" s="101"/>
      <c r="AT1445" s="101"/>
    </row>
    <row r="1446" spans="1:48" ht="12.95" customHeight="1">
      <c r="A1446" s="497"/>
      <c r="B1446" s="198" t="s">
        <v>777</v>
      </c>
      <c r="C1446" s="117"/>
      <c r="D1446" s="118"/>
      <c r="E1446" s="119"/>
      <c r="F1446" s="711"/>
      <c r="G1446" s="356"/>
      <c r="H1446" s="745"/>
      <c r="I1446" s="119"/>
      <c r="J1446" s="119"/>
      <c r="K1446" s="609"/>
      <c r="L1446" s="609"/>
      <c r="M1446" s="121"/>
      <c r="N1446" s="121"/>
      <c r="O1446" s="123"/>
      <c r="P1446" s="124"/>
      <c r="Q1446" s="124"/>
      <c r="R1446" s="83"/>
      <c r="S1446" s="82">
        <f>E1446*G1446</f>
        <v>0</v>
      </c>
      <c r="T1446" s="540"/>
      <c r="U1446" s="83"/>
      <c r="V1446" s="100" t="b">
        <f>IF(G1446&gt;0,IF(AD1446="me","",G1446))</f>
        <v>0</v>
      </c>
      <c r="W1446" s="100"/>
      <c r="X1446" s="100"/>
      <c r="Y1446" s="201"/>
      <c r="Z1446" s="829" t="str">
        <f t="shared" si="3442"/>
        <v/>
      </c>
      <c r="AA1446" s="829"/>
      <c r="AB1446" s="830" t="str">
        <f>IF(G1446=0,"",IF(AD1446="free","re-planting",IF(AD1446="me","not NVP, by",IF($AD$8="yes",(VLOOKUP(A1446,'Discount Lookup'!J:K,2)*G1446*(1-$AC$1786)*(1+$AC$1788)),IF(AD1446="NVP",(VLOOKUP(A1446,'Discount Lookup'!J:K,2)*G1446*(1-$AC$1786)*(1+$AC$1788)),IF(AD1446="free","re-planting",IF(G1446=0,"",IF($AD$8="",IF(AD1446="me","not NVP, by",IF(AD1446="",IF(G1446&gt;0,(VLOOKUP(A1446,'Discount Lookup'!J:K,2)*G1446*(1-$AC$1786)*(1+$AC$1788)),""),"")),"not NVP, by"))))))))</f>
        <v/>
      </c>
      <c r="AC1446" s="830"/>
      <c r="AD1446" s="375" t="str">
        <f t="shared" si="3560"/>
        <v/>
      </c>
      <c r="AE1446" s="833" t="str">
        <f t="shared" si="3427"/>
        <v/>
      </c>
      <c r="AF1446" s="833"/>
      <c r="AG1446" s="833"/>
      <c r="AH1446" s="91">
        <f>IF(AD1446="free",0,IF(AD1446="me",0,IF(G1446&gt;0,(VLOOKUP(A1446,'Discount Lookup'!J:K,2)*G1446),0)))</f>
        <v>0</v>
      </c>
      <c r="AI1446" s="92" t="str">
        <f t="shared" si="3481"/>
        <v/>
      </c>
      <c r="AJ1446" s="828" t="str">
        <f t="shared" si="3444"/>
        <v/>
      </c>
      <c r="AK1446" s="828"/>
      <c r="AL1446" s="313" t="str">
        <f t="shared" si="3510"/>
        <v/>
      </c>
      <c r="AM1446" s="312"/>
      <c r="AN1446" s="101"/>
      <c r="AO1446" s="101"/>
      <c r="AP1446" s="101"/>
      <c r="AQ1446" s="101"/>
      <c r="AR1446" s="101"/>
      <c r="AS1446" s="101"/>
      <c r="AT1446" s="101"/>
    </row>
    <row r="1447" spans="1:48" ht="12.95" customHeight="1">
      <c r="A1447" s="839" t="s">
        <v>1199</v>
      </c>
      <c r="B1447" s="837"/>
      <c r="C1447" s="837"/>
      <c r="D1447" s="837"/>
      <c r="E1447" s="837"/>
      <c r="F1447" s="837"/>
      <c r="G1447" s="837"/>
      <c r="H1447" s="775" t="s">
        <v>547</v>
      </c>
      <c r="I1447" s="349" t="s">
        <v>280</v>
      </c>
      <c r="J1447" s="157"/>
      <c r="K1447" s="611" t="s">
        <v>45</v>
      </c>
      <c r="L1447" s="630" t="s">
        <v>46</v>
      </c>
      <c r="M1447" s="157"/>
      <c r="N1447" s="158" t="s">
        <v>69</v>
      </c>
      <c r="O1447" s="165"/>
      <c r="P1447" s="165"/>
      <c r="Q1447" s="165"/>
      <c r="R1447" s="157"/>
      <c r="S1447" s="170">
        <f>E1447*G1447</f>
        <v>0</v>
      </c>
      <c r="T1447" s="547"/>
      <c r="U1447" s="171"/>
      <c r="V1447" s="100" t="b">
        <f>IF(G1447&gt;0,IF(AD1447="me","",G1447))</f>
        <v>0</v>
      </c>
      <c r="W1447" s="100"/>
      <c r="X1447" s="100"/>
      <c r="Y1447" s="201"/>
      <c r="Z1447" s="829" t="str">
        <f t="shared" si="3442"/>
        <v/>
      </c>
      <c r="AA1447" s="829"/>
      <c r="AB1447" s="830" t="str">
        <f>IF(G1447=0,"",IF(AD1447="free","re-planting",IF(AD1447="me","not NVP, by",IF($AD$8="yes",(VLOOKUP(A1447,'Discount Lookup'!J:K,2)*G1447*(1-$AC$1786)*(1+$AC$1788)),IF(AD1447="NVP",(VLOOKUP(A1447,'Discount Lookup'!J:K,2)*G1447*(1-$AC$1786)*(1+$AC$1788)),IF(AD1447="free","re-planting",IF(G1447=0,"",IF($AD$8="",IF(AD1447="me","not NVP, by",IF(AD1447="",IF(G1447&gt;0,(VLOOKUP(A1447,'Discount Lookup'!J:K,2)*G1447*(1-$AC$1786)*(1+$AC$1788)),""),"")),"not NVP, by"))))))))</f>
        <v/>
      </c>
      <c r="AC1447" s="830"/>
      <c r="AD1447" s="375" t="str">
        <f t="shared" si="3560"/>
        <v/>
      </c>
      <c r="AE1447" s="833" t="str">
        <f t="shared" si="3427"/>
        <v/>
      </c>
      <c r="AF1447" s="833"/>
      <c r="AG1447" s="833"/>
      <c r="AH1447" s="91">
        <f>IF(AD1447="free",0,IF(AD1447="me",0,IF(G1447&gt;0,(VLOOKUP(A1447,'Discount Lookup'!J:K,2)*G1447),0)))</f>
        <v>0</v>
      </c>
      <c r="AI1447" s="92" t="str">
        <f t="shared" si="3481"/>
        <v/>
      </c>
      <c r="AJ1447" s="828" t="str">
        <f t="shared" si="3444"/>
        <v/>
      </c>
      <c r="AK1447" s="828"/>
      <c r="AL1447" s="313" t="str">
        <f t="shared" si="3510"/>
        <v/>
      </c>
      <c r="AM1447" s="312"/>
      <c r="AN1447" s="101"/>
      <c r="AO1447" s="101"/>
      <c r="AP1447" s="101"/>
      <c r="AQ1447" s="101"/>
      <c r="AR1447" s="101"/>
      <c r="AS1447" s="101"/>
      <c r="AT1447" s="101"/>
    </row>
    <row r="1448" spans="1:48" ht="12.95" customHeight="1">
      <c r="A1448" s="455">
        <v>3</v>
      </c>
      <c r="B1448" s="158" t="s">
        <v>50</v>
      </c>
      <c r="C1448" s="168" t="s">
        <v>136</v>
      </c>
      <c r="D1448" s="161" t="s">
        <v>86</v>
      </c>
      <c r="E1448" s="162">
        <v>24.95</v>
      </c>
      <c r="F1448" s="713" t="s">
        <v>1306</v>
      </c>
      <c r="G1448" s="357">
        <v>0</v>
      </c>
      <c r="H1448" s="748" t="str">
        <f t="shared" ref="H1448" si="3574">IF(G1448=0,"",IF(F1448="Qty=",IF(G1448=1,"plant","plants"),IF(F1448&gt;0.0001,"warranty","Error")))</f>
        <v/>
      </c>
      <c r="I1448" s="592">
        <f t="shared" ref="I1448" si="3575">IF(F1448="Qty=",(E1448*G1448),((E1448*(1-F1448))*G1448))</f>
        <v>0</v>
      </c>
      <c r="J1448" s="592">
        <f>IF(H1448="warranty",0,(I1448*($J$1782)))</f>
        <v>0</v>
      </c>
      <c r="K1448" s="834">
        <f t="shared" ref="K1448" si="3576">I1448+J1448</f>
        <v>0</v>
      </c>
      <c r="L1448" s="834"/>
      <c r="M1448" s="832" t="str">
        <f>IF($H$1784=0,"",IF(G1448=0,"",IF(F1448="Qty=",CONCATENATE("$",ROUND(K1448*(1-$H$1784),2)," with ",($H$1784*100),"% discount"),CONCATENATE("$",ROUND(K1448*(1-$H$1784),2)," with ",(($H$1784*100+F1448*100)-($H$1784*100*F1448)),IF(F1448&gt;0,"% discounts",IF($H$1781&gt;0,"% discounts","% discount"))))))</f>
        <v/>
      </c>
      <c r="N1448" s="832"/>
      <c r="O1448" s="832"/>
      <c r="P1448" s="832"/>
      <c r="Q1448" s="832"/>
      <c r="R1448" s="832"/>
      <c r="S1448" s="303">
        <f t="shared" ref="S1448" si="3577">E1448*G1448</f>
        <v>0</v>
      </c>
      <c r="T1448" s="541">
        <f>VLOOKUP(A1448,'Discount Lookup'!D:E,2,FALSE)*G1448</f>
        <v>0</v>
      </c>
      <c r="U1448" s="83">
        <f>VLOOKUP(A1448,'Discount Lookup'!G:H,2,FALSE)*G1448</f>
        <v>0</v>
      </c>
      <c r="V1448" s="100">
        <f>E1448*($J$1782)*G1448</f>
        <v>0</v>
      </c>
      <c r="W1448" s="100">
        <f t="shared" ref="W1448" si="3578">I1448</f>
        <v>0</v>
      </c>
      <c r="X1448" s="100" t="b">
        <f>IF(G1448&gt;0,IF(AD1448="me","",G1448))</f>
        <v>0</v>
      </c>
      <c r="Y1448" s="201"/>
      <c r="Z1448" s="829" t="str">
        <f t="shared" si="3442"/>
        <v/>
      </c>
      <c r="AA1448" s="829"/>
      <c r="AB1448" s="830" t="str">
        <f>IF(G1448=0,"",IF(AD1448="free","re-planting",IF(AD1448="me","not NVP, by",IF($AD$8="yes",(VLOOKUP(A1448,'Discount Lookup'!J:K,2)*G1448*(1-$AC$1786)*(1+$AC$1788)),IF(AD1448="NVP",(VLOOKUP(A1448,'Discount Lookup'!J:K,2)*G1448*(1-$AC$1786)*(1+$AC$1788)),IF(AD1448="free","re-planting",IF(G1448=0,"",IF($AD$8="",IF(AD1448="me","not NVP, by",IF(AD1448="",IF(G1448&gt;0,(VLOOKUP(A1448,'Discount Lookup'!J:K,2)*G1448*(1-$AC$1786)*(1+$AC$1788)),""),"")),"not NVP, by"))))))))</f>
        <v/>
      </c>
      <c r="AC1448" s="830"/>
      <c r="AD1448" s="375" t="str">
        <f t="shared" si="3560"/>
        <v/>
      </c>
      <c r="AE1448" s="833" t="str">
        <f t="shared" si="3427"/>
        <v/>
      </c>
      <c r="AF1448" s="833"/>
      <c r="AG1448" s="833"/>
      <c r="AH1448" s="91">
        <f>IF(AD1448="free",0,IF(AD1448="me",0,IF(G1448&gt;0,(VLOOKUP(A1448,'Discount Lookup'!J:K,2)*G1448),0)))</f>
        <v>0</v>
      </c>
      <c r="AI1448" s="92" t="str">
        <f t="shared" si="3481"/>
        <v/>
      </c>
      <c r="AJ1448" s="828" t="str">
        <f t="shared" si="3444"/>
        <v/>
      </c>
      <c r="AK1448" s="828"/>
      <c r="AL1448" s="313" t="str">
        <f t="shared" si="3510"/>
        <v/>
      </c>
      <c r="AM1448" s="312"/>
      <c r="AN1448" s="101"/>
      <c r="AO1448" s="101"/>
      <c r="AP1448" s="101"/>
      <c r="AQ1448" s="101"/>
      <c r="AR1448" s="101"/>
      <c r="AS1448" s="101"/>
      <c r="AT1448" s="101"/>
      <c r="AV1448" s="132"/>
    </row>
    <row r="1449" spans="1:48" ht="12.95" customHeight="1">
      <c r="A1449" s="498"/>
      <c r="B1449" s="198" t="s">
        <v>778</v>
      </c>
      <c r="C1449" s="104"/>
      <c r="D1449" s="104"/>
      <c r="E1449" s="131"/>
      <c r="F1449" s="710"/>
      <c r="G1449" s="358"/>
      <c r="H1449" s="744"/>
      <c r="I1449" s="131"/>
      <c r="J1449" s="131"/>
      <c r="K1449" s="608"/>
      <c r="L1449" s="608"/>
      <c r="M1449" s="121"/>
      <c r="N1449" s="122" t="s">
        <v>331</v>
      </c>
      <c r="O1449" s="123"/>
      <c r="P1449" s="124"/>
      <c r="Q1449" s="124"/>
      <c r="R1449" s="83"/>
      <c r="S1449" s="82"/>
      <c r="T1449" s="540"/>
      <c r="U1449" s="83"/>
      <c r="V1449" s="100"/>
      <c r="W1449" s="100"/>
      <c r="X1449" s="100"/>
      <c r="Y1449" s="201"/>
      <c r="Z1449" s="829" t="str">
        <f t="shared" si="3442"/>
        <v/>
      </c>
      <c r="AA1449" s="829"/>
      <c r="AB1449" s="830" t="str">
        <f>IF(G1449=0,"",IF(AD1449="free","re-planting",IF(AD1449="me","not NVP, by",IF($AD$8="yes",(VLOOKUP(A1449,'Discount Lookup'!J:K,2)*G1449*(1-$AC$1786)*(1+$AC$1788)),IF(AD1449="NVP",(VLOOKUP(A1449,'Discount Lookup'!J:K,2)*G1449*(1-$AC$1786)*(1+$AC$1788)),IF(AD1449="free","re-planting",IF(G1449=0,"",IF($AD$8="",IF(AD1449="me","not NVP, by",IF(AD1449="",IF(G1449&gt;0,(VLOOKUP(A1449,'Discount Lookup'!J:K,2)*G1449*(1-$AC$1786)*(1+$AC$1788)),""),"")),"not NVP, by"))))))))</f>
        <v/>
      </c>
      <c r="AC1449" s="830"/>
      <c r="AD1449" s="375" t="str">
        <f t="shared" si="3560"/>
        <v/>
      </c>
      <c r="AE1449" s="833" t="str">
        <f t="shared" si="3427"/>
        <v/>
      </c>
      <c r="AF1449" s="833"/>
      <c r="AG1449" s="833"/>
      <c r="AH1449" s="91">
        <f>IF(AD1449="free",0,IF(AD1449="me",0,IF(G1449&gt;0,(VLOOKUP(A1449,'Discount Lookup'!J:K,2)*G1449),0)))</f>
        <v>0</v>
      </c>
      <c r="AI1449" s="92" t="str">
        <f t="shared" si="3481"/>
        <v/>
      </c>
      <c r="AJ1449" s="828" t="str">
        <f t="shared" si="3444"/>
        <v/>
      </c>
      <c r="AK1449" s="828"/>
      <c r="AL1449" s="313" t="str">
        <f t="shared" si="3510"/>
        <v/>
      </c>
      <c r="AM1449" s="312"/>
      <c r="AN1449" s="101"/>
      <c r="AO1449" s="101"/>
      <c r="AP1449" s="101"/>
      <c r="AQ1449" s="101"/>
      <c r="AR1449" s="101"/>
      <c r="AS1449" s="101"/>
      <c r="AT1449" s="101"/>
      <c r="AV1449" s="132"/>
    </row>
    <row r="1450" spans="1:48" ht="13.5" customHeight="1">
      <c r="A1450" s="933" t="s">
        <v>1577</v>
      </c>
      <c r="B1450" s="864"/>
      <c r="C1450" s="864"/>
      <c r="D1450" s="864"/>
      <c r="E1450" s="864"/>
      <c r="F1450" s="864"/>
      <c r="G1450" s="864"/>
      <c r="H1450" s="776" t="s">
        <v>560</v>
      </c>
      <c r="I1450" s="439" t="s">
        <v>280</v>
      </c>
      <c r="J1450" s="93"/>
      <c r="K1450" s="603" t="s">
        <v>45</v>
      </c>
      <c r="L1450" s="601" t="s">
        <v>46</v>
      </c>
      <c r="M1450" s="86"/>
      <c r="N1450" s="567" t="s">
        <v>1371</v>
      </c>
      <c r="O1450" s="567"/>
      <c r="P1450" s="667"/>
      <c r="Q1450" s="667"/>
      <c r="R1450" s="668"/>
      <c r="S1450" s="669"/>
      <c r="T1450" s="670"/>
      <c r="U1450" s="671" t="s">
        <v>1370</v>
      </c>
      <c r="V1450" s="100" t="b">
        <f>IF(G1450&gt;0,IF(AD1450="me","",G1450))</f>
        <v>0</v>
      </c>
      <c r="W1450" s="100"/>
      <c r="X1450" s="100"/>
      <c r="Y1450" s="201"/>
      <c r="Z1450" s="829" t="str">
        <f t="shared" si="3442"/>
        <v/>
      </c>
      <c r="AA1450" s="829"/>
      <c r="AB1450" s="830" t="str">
        <f>IF(G1450=0,"",IF(AD1450="free","re-planting",IF(AD1450="me","not NVP, by",IF($AD$8="yes",(VLOOKUP(A1450,'Discount Lookup'!J:K,2)*G1450*(1-$AC$1786)*(1+$AC$1788)),IF(AD1450="NVP",(VLOOKUP(A1450,'Discount Lookup'!J:K,2)*G1450*(1-$AC$1786)*(1+$AC$1788)),IF(AD1450="free","re-planting",IF(G1450=0,"",IF($AD$8="",IF(AD1450="me","not NVP, by",IF(AD1450="",IF(G1450&gt;0,(VLOOKUP(A1450,'Discount Lookup'!J:K,2)*G1450*(1-$AC$1786)*(1+$AC$1788)),""),"")),"not NVP, by"))))))))</f>
        <v/>
      </c>
      <c r="AC1450" s="830"/>
      <c r="AD1450" s="375" t="str">
        <f t="shared" si="3560"/>
        <v/>
      </c>
      <c r="AE1450" s="833" t="str">
        <f t="shared" si="3427"/>
        <v/>
      </c>
      <c r="AF1450" s="833"/>
      <c r="AG1450" s="833"/>
      <c r="AH1450" s="91">
        <f>IF(AD1450="free",0,IF(AD1450="me",0,IF(G1450&gt;0,(VLOOKUP(A1450,'Discount Lookup'!J:K,2)*G1450),0)))</f>
        <v>0</v>
      </c>
      <c r="AI1450" s="92" t="str">
        <f t="shared" si="3481"/>
        <v/>
      </c>
      <c r="AJ1450" s="828" t="str">
        <f t="shared" si="3444"/>
        <v/>
      </c>
      <c r="AK1450" s="828"/>
      <c r="AL1450" s="313" t="str">
        <f t="shared" si="3510"/>
        <v/>
      </c>
      <c r="AM1450" s="312"/>
      <c r="AN1450" s="101"/>
      <c r="AO1450" s="101"/>
      <c r="AP1450" s="101"/>
      <c r="AQ1450" s="101"/>
      <c r="AR1450" s="101"/>
      <c r="AS1450" s="101"/>
      <c r="AT1450" s="101"/>
    </row>
    <row r="1451" spans="1:48" ht="12.95" customHeight="1">
      <c r="A1451" s="456">
        <v>3</v>
      </c>
      <c r="B1451" s="87" t="s">
        <v>50</v>
      </c>
      <c r="C1451" s="692" t="s">
        <v>136</v>
      </c>
      <c r="D1451" s="129" t="s">
        <v>94</v>
      </c>
      <c r="E1451" s="98">
        <v>19.95</v>
      </c>
      <c r="F1451" s="705" t="s">
        <v>1306</v>
      </c>
      <c r="G1451" s="357">
        <v>0</v>
      </c>
      <c r="H1451" s="704" t="str">
        <f t="shared" ref="H1451" si="3579">IF(G1451=0,"",IF(F1451="Qty=",IF(G1451=1,"plant","plants"),IF(F1451&gt;0.0001,"warranty","Error")))</f>
        <v/>
      </c>
      <c r="I1451" s="98">
        <f t="shared" ref="I1451" si="3580">IF(F1451="Qty=",(E1451*G1451),((E1451*(1-F1451))*G1451))</f>
        <v>0</v>
      </c>
      <c r="J1451" s="98">
        <f>IF(H1451="warranty",0,(I1451*($J$1782)))</f>
        <v>0</v>
      </c>
      <c r="K1451" s="831">
        <f t="shared" ref="K1451" si="3581">I1451+J1451</f>
        <v>0</v>
      </c>
      <c r="L1451" s="831"/>
      <c r="M1451" s="832" t="str">
        <f>IF($H$1784=0,"",IF(G1451=0,"",IF(F1451="Qty=",CONCATENATE("$",ROUND(K1451*(1-$H$1784),2)," with ",($H$1784*100),"% discount"),CONCATENATE("$",ROUND(K1451*(1-$H$1784),2)," with ",(($H$1784*100+F1451*100)-($H$1784*100*F1451)),IF(F1451&gt;0,"% discounts",IF($H$1781&gt;0,"% discounts","% discount"))))))</f>
        <v/>
      </c>
      <c r="N1451" s="832"/>
      <c r="O1451" s="832"/>
      <c r="P1451" s="832"/>
      <c r="Q1451" s="832"/>
      <c r="R1451" s="832"/>
      <c r="S1451" s="303">
        <f t="shared" ref="S1451" si="3582">E1451*G1451</f>
        <v>0</v>
      </c>
      <c r="T1451" s="541">
        <f>VLOOKUP(A1451,'Discount Lookup'!D:E,2,FALSE)*G1451</f>
        <v>0</v>
      </c>
      <c r="U1451" s="83">
        <f>VLOOKUP(A1451,'Discount Lookup'!G:H,2,FALSE)*G1451</f>
        <v>0</v>
      </c>
      <c r="V1451" s="100">
        <f>E1451*($J$1782)*G1451</f>
        <v>0</v>
      </c>
      <c r="W1451" s="100">
        <f t="shared" ref="W1451" si="3583">I1451</f>
        <v>0</v>
      </c>
      <c r="X1451" s="100" t="b">
        <f>IF(G1451&gt;0,IF(AD1451="me","",G1451))</f>
        <v>0</v>
      </c>
      <c r="Y1451" s="201"/>
      <c r="Z1451" s="829" t="str">
        <f t="shared" si="3442"/>
        <v/>
      </c>
      <c r="AA1451" s="829"/>
      <c r="AB1451" s="830" t="str">
        <f>IF(G1451=0,"",IF(AD1451="free","re-planting",IF(AD1451="me","not NVP, by",IF($AD$8="yes",(VLOOKUP(A1451,'Discount Lookup'!J:K,2)*G1451*(1-$AC$1786)*(1+$AC$1788)),IF(AD1451="NVP",(VLOOKUP(A1451,'Discount Lookup'!J:K,2)*G1451*(1-$AC$1786)*(1+$AC$1788)),IF(AD1451="free","re-planting",IF(G1451=0,"",IF($AD$8="",IF(AD1451="me","not NVP, by",IF(AD1451="",IF(G1451&gt;0,(VLOOKUP(A1451,'Discount Lookup'!J:K,2)*G1451*(1-$AC$1786)*(1+$AC$1788)),""),"")),"not NVP, by"))))))))</f>
        <v/>
      </c>
      <c r="AC1451" s="830"/>
      <c r="AD1451" s="375" t="str">
        <f t="shared" si="3560"/>
        <v/>
      </c>
      <c r="AE1451" s="833" t="str">
        <f t="shared" ref="AE1451" si="3584">IF(G1451&gt;0,(CONCATENATE((G1451)," quantity, ",(A1451)," ",B1451)),"")</f>
        <v/>
      </c>
      <c r="AF1451" s="833"/>
      <c r="AG1451" s="833"/>
      <c r="AH1451" s="91">
        <f>IF(AD1451="free",0,IF(AD1451="me",0,IF(G1451&gt;0,(VLOOKUP(A1451,'Discount Lookup'!J:K,2)*G1451),0)))</f>
        <v>0</v>
      </c>
      <c r="AI1451" s="92" t="str">
        <f t="shared" si="3481"/>
        <v/>
      </c>
      <c r="AJ1451" s="828" t="str">
        <f t="shared" si="3444"/>
        <v/>
      </c>
      <c r="AK1451" s="828"/>
      <c r="AL1451" s="313" t="str">
        <f t="shared" si="3510"/>
        <v/>
      </c>
      <c r="AM1451" s="312"/>
      <c r="AN1451" s="101"/>
      <c r="AO1451" s="101"/>
      <c r="AP1451" s="101"/>
      <c r="AQ1451" s="101"/>
      <c r="AR1451" s="101"/>
      <c r="AS1451" s="101"/>
      <c r="AT1451" s="101"/>
    </row>
    <row r="1452" spans="1:48" ht="12.95" customHeight="1">
      <c r="A1452" s="494"/>
      <c r="B1452" s="198" t="s">
        <v>779</v>
      </c>
      <c r="C1452" s="117"/>
      <c r="D1452" s="118"/>
      <c r="E1452" s="119"/>
      <c r="F1452" s="711"/>
      <c r="G1452" s="356"/>
      <c r="H1452" s="745"/>
      <c r="I1452" s="119"/>
      <c r="J1452" s="934"/>
      <c r="K1452" s="934"/>
      <c r="L1452" s="934"/>
      <c r="M1452" s="48"/>
      <c r="N1452" s="122"/>
      <c r="O1452" s="123"/>
      <c r="P1452" s="124"/>
      <c r="Q1452" s="124"/>
      <c r="R1452" s="83"/>
      <c r="S1452" s="82">
        <f>E1452*G1452</f>
        <v>0</v>
      </c>
      <c r="T1452" s="540"/>
      <c r="U1452" s="83"/>
      <c r="V1452" s="100" t="b">
        <f>IF(G1452&gt;0,IF(AD1452="me","",G1452))</f>
        <v>0</v>
      </c>
      <c r="W1452" s="100"/>
      <c r="X1452" s="100"/>
      <c r="Y1452" s="201"/>
      <c r="Z1452" s="829" t="str">
        <f t="shared" si="3442"/>
        <v/>
      </c>
      <c r="AA1452" s="829"/>
      <c r="AB1452" s="830" t="str">
        <f>IF(G1452=0,"",IF(AD1452="free","re-planting",IF(AD1452="me","not NVP, by",IF($AD$8="yes",(VLOOKUP(A1452,'Discount Lookup'!J:K,2)*G1452*(1-$AC$1786)*(1+$AC$1788)),IF(AD1452="NVP",(VLOOKUP(A1452,'Discount Lookup'!J:K,2)*G1452*(1-$AC$1786)*(1+$AC$1788)),IF(AD1452="free","re-planting",IF(G1452=0,"",IF($AD$8="",IF(AD1452="me","not NVP, by",IF(AD1452="",IF(G1452&gt;0,(VLOOKUP(A1452,'Discount Lookup'!J:K,2)*G1452*(1-$AC$1786)*(1+$AC$1788)),""),"")),"not NVP, by"))))))))</f>
        <v/>
      </c>
      <c r="AC1452" s="830"/>
      <c r="AD1452" s="375" t="str">
        <f t="shared" si="3560"/>
        <v/>
      </c>
      <c r="AE1452" s="833" t="str">
        <f t="shared" si="3427"/>
        <v/>
      </c>
      <c r="AF1452" s="833"/>
      <c r="AG1452" s="833"/>
      <c r="AH1452" s="91">
        <f>IF(AD1452="free",0,IF(AD1452="me",0,IF(G1452&gt;0,(VLOOKUP(A1452,'Discount Lookup'!J:K,2)*G1452),0)))</f>
        <v>0</v>
      </c>
      <c r="AI1452" s="92" t="str">
        <f t="shared" si="3481"/>
        <v/>
      </c>
      <c r="AJ1452" s="828" t="str">
        <f t="shared" si="3444"/>
        <v/>
      </c>
      <c r="AK1452" s="828"/>
      <c r="AL1452" s="313" t="str">
        <f t="shared" si="3510"/>
        <v/>
      </c>
      <c r="AM1452" s="312"/>
      <c r="AN1452" s="101"/>
      <c r="AO1452" s="101"/>
      <c r="AP1452" s="101"/>
      <c r="AQ1452" s="101"/>
      <c r="AR1452" s="101"/>
      <c r="AS1452" s="101"/>
      <c r="AT1452" s="101"/>
    </row>
    <row r="1453" spans="1:48" ht="12.95" customHeight="1">
      <c r="A1453" s="839" t="s">
        <v>780</v>
      </c>
      <c r="B1453" s="837"/>
      <c r="C1453" s="837"/>
      <c r="D1453" s="837"/>
      <c r="E1453" s="837"/>
      <c r="F1453" s="837"/>
      <c r="G1453" s="837"/>
      <c r="H1453" s="775" t="s">
        <v>560</v>
      </c>
      <c r="I1453" s="349" t="s">
        <v>280</v>
      </c>
      <c r="J1453" s="157"/>
      <c r="K1453" s="611" t="s">
        <v>45</v>
      </c>
      <c r="L1453" s="630" t="s">
        <v>46</v>
      </c>
      <c r="M1453" s="157"/>
      <c r="N1453" s="158" t="s">
        <v>69</v>
      </c>
      <c r="O1453" s="158"/>
      <c r="P1453" s="158"/>
      <c r="Q1453" s="158"/>
      <c r="R1453" s="835" t="s">
        <v>49</v>
      </c>
      <c r="S1453" s="835"/>
      <c r="T1453" s="835"/>
      <c r="U1453" s="835"/>
      <c r="V1453" s="100" t="b">
        <f>IF(G1453&gt;0,IF(AD1453="me","",G1453))</f>
        <v>0</v>
      </c>
      <c r="W1453" s="100"/>
      <c r="X1453" s="100"/>
      <c r="Y1453" s="201"/>
      <c r="Z1453" s="829" t="str">
        <f t="shared" si="3442"/>
        <v/>
      </c>
      <c r="AA1453" s="829"/>
      <c r="AB1453" s="830" t="str">
        <f>IF(G1453=0,"",IF(AD1453="free","re-planting",IF(AD1453="me","not NVP, by",IF($AD$8="yes",(VLOOKUP(A1453,'Discount Lookup'!J:K,2)*G1453*(1-$AC$1786)*(1+$AC$1788)),IF(AD1453="NVP",(VLOOKUP(A1453,'Discount Lookup'!J:K,2)*G1453*(1-$AC$1786)*(1+$AC$1788)),IF(AD1453="free","re-planting",IF(G1453=0,"",IF($AD$8="",IF(AD1453="me","not NVP, by",IF(AD1453="",IF(G1453&gt;0,(VLOOKUP(A1453,'Discount Lookup'!J:K,2)*G1453*(1-$AC$1786)*(1+$AC$1788)),""),"")),"not NVP, by"))))))))</f>
        <v/>
      </c>
      <c r="AC1453" s="830"/>
      <c r="AD1453" s="375" t="str">
        <f t="shared" si="3560"/>
        <v/>
      </c>
      <c r="AE1453" s="833" t="str">
        <f t="shared" ref="AE1453:AE1457" si="3585">IF(G1453&gt;0,(CONCATENATE((G1453)," quantity, ",(A1453)," ",B1453)),"")</f>
        <v/>
      </c>
      <c r="AF1453" s="833"/>
      <c r="AG1453" s="833"/>
      <c r="AH1453" s="91" t="str">
        <f>IF(AD1453="free",0,IF(AD1453="me","",IF(G1453&gt;0,(VLOOKUP(A1453,'Discount Lookup'!J:K,2)*G1453),"")))</f>
        <v/>
      </c>
      <c r="AI1453" s="92" t="str">
        <f t="shared" si="3481"/>
        <v/>
      </c>
      <c r="AJ1453" s="828" t="str">
        <f t="shared" si="3444"/>
        <v/>
      </c>
      <c r="AK1453" s="828"/>
      <c r="AL1453" s="313" t="str">
        <f t="shared" si="3510"/>
        <v/>
      </c>
      <c r="AM1453" s="312"/>
      <c r="AN1453" s="101"/>
      <c r="AO1453" s="101"/>
      <c r="AP1453" s="101"/>
      <c r="AQ1453" s="101"/>
      <c r="AR1453" s="101"/>
      <c r="AS1453" s="101"/>
      <c r="AT1453" s="101"/>
    </row>
    <row r="1454" spans="1:48" ht="12.95" customHeight="1">
      <c r="A1454" s="455">
        <v>2</v>
      </c>
      <c r="B1454" s="158" t="s">
        <v>50</v>
      </c>
      <c r="C1454" s="168" t="s">
        <v>136</v>
      </c>
      <c r="D1454" s="161" t="s">
        <v>87</v>
      </c>
      <c r="E1454" s="162">
        <v>29.95</v>
      </c>
      <c r="F1454" s="713" t="s">
        <v>1306</v>
      </c>
      <c r="G1454" s="357">
        <v>0</v>
      </c>
      <c r="H1454" s="748" t="str">
        <f t="shared" ref="H1454:H1456" si="3586">IF(G1454=0,"",IF(F1454="Qty=",IF(G1454=1,"plant","plants"),IF(F1454&gt;0.0001,"warranty","Error")))</f>
        <v/>
      </c>
      <c r="I1454" s="592">
        <f t="shared" ref="I1454:I1456" si="3587">IF(F1454="Qty=",(E1454*G1454),((E1454*(1-F1454))*G1454))</f>
        <v>0</v>
      </c>
      <c r="J1454" s="592">
        <f>IF(H1454="warranty",0,(I1454*($J$1782)))</f>
        <v>0</v>
      </c>
      <c r="K1454" s="834">
        <f t="shared" ref="K1454:K1456" si="3588">I1454+J1454</f>
        <v>0</v>
      </c>
      <c r="L1454" s="834"/>
      <c r="M1454" s="832" t="str">
        <f>IF($H$1784=0,"",IF(G1454=0,"",IF(F1454="Qty=",CONCATENATE("$",ROUND(K1454*(1-$H$1784),2)," with ",($H$1784*100),"% discount"),CONCATENATE("$",ROUND(K1454*(1-$H$1784),2)," with ",(($H$1784*100+F1454*100)-($H$1784*100*F1454)),IF(F1454&gt;0,"% discounts",IF($H$1781&gt;0,"% discounts","% discount"))))))</f>
        <v/>
      </c>
      <c r="N1454" s="832"/>
      <c r="O1454" s="832"/>
      <c r="P1454" s="832"/>
      <c r="Q1454" s="832"/>
      <c r="R1454" s="832"/>
      <c r="S1454" s="303">
        <f t="shared" ref="S1454:S1455" si="3589">E1454*G1454</f>
        <v>0</v>
      </c>
      <c r="T1454" s="541">
        <f>VLOOKUP(A1454,'Discount Lookup'!D:E,2,FALSE)*G1454</f>
        <v>0</v>
      </c>
      <c r="U1454" s="83">
        <f>VLOOKUP(A1454,'Discount Lookup'!G:H,2,FALSE)*G1454</f>
        <v>0</v>
      </c>
      <c r="V1454" s="100">
        <f>E1454*($J$1782)*G1454</f>
        <v>0</v>
      </c>
      <c r="W1454" s="100">
        <f t="shared" ref="W1454:W1455" si="3590">I1454</f>
        <v>0</v>
      </c>
      <c r="X1454" s="100" t="b">
        <f>IF(G1454&gt;0,IF(AD1454="me","",G1454))</f>
        <v>0</v>
      </c>
      <c r="Y1454" s="201"/>
      <c r="Z1454" s="829" t="str">
        <f t="shared" si="3442"/>
        <v/>
      </c>
      <c r="AA1454" s="829"/>
      <c r="AB1454" s="830" t="str">
        <f>IF(G1454=0,"",IF(AD1454="free","re-planting",IF(AD1454="me","not NVP, by",IF($AD$8="yes",(VLOOKUP(A1454,'Discount Lookup'!J:K,2)*G1454*(1-$AC$1786)*(1+$AC$1788)),IF(AD1454="NVP",(VLOOKUP(A1454,'Discount Lookup'!J:K,2)*G1454*(1-$AC$1786)*(1+$AC$1788)),IF(AD1454="free","re-planting",IF(G1454=0,"",IF($AD$8="",IF(AD1454="me","not NVP, by",IF(AD1454="",IF(G1454&gt;0,(VLOOKUP(A1454,'Discount Lookup'!J:K,2)*G1454*(1-$AC$1786)*(1+$AC$1788)),""),"")),"not NVP, by"))))))))</f>
        <v/>
      </c>
      <c r="AC1454" s="830"/>
      <c r="AD1454" s="375" t="str">
        <f t="shared" si="3560"/>
        <v/>
      </c>
      <c r="AE1454" s="833" t="str">
        <f t="shared" ref="AE1454:AE1455" si="3591">IF(G1454&gt;0,(CONCATENATE((G1454)," quantity, ",(A1454)," ",B1454)),"")</f>
        <v/>
      </c>
      <c r="AF1454" s="833"/>
      <c r="AG1454" s="833"/>
      <c r="AH1454" s="91" t="str">
        <f>IF(AD1454="free",0,IF(AD1454="me","",IF(G1454&gt;0,(VLOOKUP(A1454,'Discount Lookup'!J:K,2)*G1454),"")))</f>
        <v/>
      </c>
      <c r="AI1454" s="92" t="str">
        <f t="shared" si="3481"/>
        <v/>
      </c>
      <c r="AJ1454" s="828" t="str">
        <f t="shared" si="3444"/>
        <v/>
      </c>
      <c r="AK1454" s="828"/>
      <c r="AL1454" s="313" t="str">
        <f t="shared" si="3510"/>
        <v/>
      </c>
      <c r="AM1454" s="312"/>
      <c r="AN1454" s="101"/>
      <c r="AO1454" s="101"/>
      <c r="AP1454" s="101"/>
      <c r="AQ1454" s="101"/>
      <c r="AR1454" s="101"/>
      <c r="AS1454" s="101"/>
      <c r="AT1454" s="101"/>
    </row>
    <row r="1455" spans="1:48" ht="12.95" customHeight="1">
      <c r="A1455" s="455">
        <v>3</v>
      </c>
      <c r="B1455" s="158" t="s">
        <v>50</v>
      </c>
      <c r="C1455" s="168" t="s">
        <v>136</v>
      </c>
      <c r="D1455" s="161" t="s">
        <v>86</v>
      </c>
      <c r="E1455" s="162">
        <v>34.950000000000003</v>
      </c>
      <c r="F1455" s="713" t="s">
        <v>1306</v>
      </c>
      <c r="G1455" s="357">
        <v>0</v>
      </c>
      <c r="H1455" s="748" t="str">
        <f t="shared" ref="H1455" si="3592">IF(G1455=0,"",IF(F1455="Qty=",IF(G1455=1,"plant","plants"),IF(F1455&gt;0.0001,"warranty","Error")))</f>
        <v/>
      </c>
      <c r="I1455" s="592">
        <f t="shared" ref="I1455" si="3593">IF(F1455="Qty=",(E1455*G1455),((E1455*(1-F1455))*G1455))</f>
        <v>0</v>
      </c>
      <c r="J1455" s="592">
        <f>IF(H1455="warranty",0,(I1455*($J$1782)))</f>
        <v>0</v>
      </c>
      <c r="K1455" s="834">
        <f t="shared" si="3588"/>
        <v>0</v>
      </c>
      <c r="L1455" s="834"/>
      <c r="M1455" s="832" t="str">
        <f>IF($H$1784=0,"",IF(G1455=0,"",IF(F1455="Qty=",CONCATENATE("$",ROUND(K1455*(1-$H$1784),2)," with ",($H$1784*100),"% discount"),CONCATENATE("$",ROUND(K1455*(1-$H$1784),2)," with ",(($H$1784*100+F1455*100)-($H$1784*100*F1455)),IF(F1455&gt;0,"% discounts",IF($H$1781&gt;0,"% discounts","% discount"))))))</f>
        <v/>
      </c>
      <c r="N1455" s="832"/>
      <c r="O1455" s="832"/>
      <c r="P1455" s="832"/>
      <c r="Q1455" s="832"/>
      <c r="R1455" s="832"/>
      <c r="S1455" s="303">
        <f t="shared" si="3589"/>
        <v>0</v>
      </c>
      <c r="T1455" s="541">
        <f>VLOOKUP(A1455,'Discount Lookup'!D:E,2,FALSE)*G1455</f>
        <v>0</v>
      </c>
      <c r="U1455" s="83">
        <f>VLOOKUP(A1455,'Discount Lookup'!G:H,2,FALSE)*G1455</f>
        <v>0</v>
      </c>
      <c r="V1455" s="100">
        <f>E1455*($J$1782)*G1455</f>
        <v>0</v>
      </c>
      <c r="W1455" s="100">
        <f t="shared" si="3590"/>
        <v>0</v>
      </c>
      <c r="X1455" s="100" t="b">
        <f>IF(G1455&gt;0,IF(AD1455="me","",G1455))</f>
        <v>0</v>
      </c>
      <c r="Y1455" s="201"/>
      <c r="Z1455" s="829" t="str">
        <f t="shared" ref="Z1455" si="3594">IF(G1455=0,"",IF(AD1455="me","",IF($AD$8="me","",IF(AD1455="free","warranty",IF($AD$8="yes","NVP planting:","to NVP install:")))))</f>
        <v/>
      </c>
      <c r="AA1455" s="829"/>
      <c r="AB1455" s="830" t="str">
        <f>IF(G1455=0,"",IF(AD1455="free","re-planting",IF(AD1455="me","not NVP, by",IF($AD$8="yes",(VLOOKUP(A1455,'Discount Lookup'!J:K,2)*G1455*(1-$AC$1786)*(1+$AC$1788)),IF(AD1455="NVP",(VLOOKUP(A1455,'Discount Lookup'!J:K,2)*G1455*(1-$AC$1786)*(1+$AC$1788)),IF(AD1455="free","re-planting",IF(G1455=0,"",IF($AD$8="",IF(AD1455="me","not NVP, by",IF(AD1455="",IF(G1455&gt;0,(VLOOKUP(A1455,'Discount Lookup'!J:K,2)*G1455*(1-$AC$1786)*(1+$AC$1788)),""),"")),"not NVP, by"))))))))</f>
        <v/>
      </c>
      <c r="AC1455" s="830"/>
      <c r="AD1455" s="375" t="str">
        <f t="shared" si="3560"/>
        <v/>
      </c>
      <c r="AE1455" s="833" t="str">
        <f t="shared" si="3591"/>
        <v/>
      </c>
      <c r="AF1455" s="833"/>
      <c r="AG1455" s="833"/>
      <c r="AH1455" s="91" t="str">
        <f>IF(AD1455="free",0,IF(AD1455="me","",IF(G1455&gt;0,(VLOOKUP(A1455,'Discount Lookup'!J:K,2)*G1455),"")))</f>
        <v/>
      </c>
      <c r="AI1455" s="92" t="str">
        <f t="shared" si="3481"/>
        <v/>
      </c>
      <c r="AJ1455" s="828" t="str">
        <f t="shared" ref="AJ1455" si="3595">IF(G1455=0,"",IF(AD1455="me","  delivery-only",IF($AD$8="me","  delivery-only",CONCATENATE(" $",ROUND(AI1455/G1455,2)," each"))))</f>
        <v/>
      </c>
      <c r="AK1455" s="828"/>
      <c r="AL1455" s="313" t="str">
        <f t="shared" si="3510"/>
        <v/>
      </c>
      <c r="AM1455" s="312"/>
      <c r="AN1455" s="101"/>
      <c r="AO1455" s="101"/>
      <c r="AP1455" s="101"/>
      <c r="AQ1455" s="101"/>
      <c r="AR1455" s="101"/>
      <c r="AS1455" s="101"/>
      <c r="AT1455" s="101"/>
    </row>
    <row r="1456" spans="1:48" ht="12.95" customHeight="1">
      <c r="A1456" s="455">
        <v>3</v>
      </c>
      <c r="B1456" s="158" t="s">
        <v>50</v>
      </c>
      <c r="C1456" s="168" t="s">
        <v>136</v>
      </c>
      <c r="D1456" s="161" t="s">
        <v>87</v>
      </c>
      <c r="E1456" s="162">
        <v>34.950000000000003</v>
      </c>
      <c r="F1456" s="713" t="s">
        <v>1306</v>
      </c>
      <c r="G1456" s="357">
        <v>0</v>
      </c>
      <c r="H1456" s="748" t="str">
        <f t="shared" si="3586"/>
        <v/>
      </c>
      <c r="I1456" s="592">
        <f t="shared" si="3587"/>
        <v>0</v>
      </c>
      <c r="J1456" s="592">
        <f>IF(H1456="warranty",0,(I1456*($J$1782)))</f>
        <v>0</v>
      </c>
      <c r="K1456" s="834">
        <f t="shared" si="3588"/>
        <v>0</v>
      </c>
      <c r="L1456" s="834"/>
      <c r="M1456" s="832" t="str">
        <f>IF($H$1784=0,"",IF(G1456=0,"",IF(F1456="Qty=",CONCATENATE("$",ROUND(K1456*(1-$H$1784),2)," with ",($H$1784*100),"% discount"),CONCATENATE("$",ROUND(K1456*(1-$H$1784),2)," with ",(($H$1784*100+F1456*100)-($H$1784*100*F1456)),IF(F1456&gt;0,"% discounts",IF($H$1781&gt;0,"% discounts","% discount"))))))</f>
        <v/>
      </c>
      <c r="N1456" s="832"/>
      <c r="O1456" s="832"/>
      <c r="P1456" s="832"/>
      <c r="Q1456" s="832"/>
      <c r="R1456" s="832"/>
      <c r="S1456" s="303">
        <f t="shared" ref="S1456" si="3596">E1456*G1456</f>
        <v>0</v>
      </c>
      <c r="T1456" s="541">
        <f>VLOOKUP(A1456,'Discount Lookup'!D:E,2,FALSE)*G1456</f>
        <v>0</v>
      </c>
      <c r="U1456" s="83">
        <f>VLOOKUP(A1456,'Discount Lookup'!G:H,2,FALSE)*G1456</f>
        <v>0</v>
      </c>
      <c r="V1456" s="100">
        <f>E1456*($J$1782)*G1456</f>
        <v>0</v>
      </c>
      <c r="W1456" s="100">
        <f t="shared" ref="W1456" si="3597">I1456</f>
        <v>0</v>
      </c>
      <c r="X1456" s="100" t="b">
        <f>IF(G1456&gt;0,IF(AD1456="me","",G1456))</f>
        <v>0</v>
      </c>
      <c r="Y1456" s="201"/>
      <c r="Z1456" s="829" t="str">
        <f t="shared" si="3442"/>
        <v/>
      </c>
      <c r="AA1456" s="829"/>
      <c r="AB1456" s="830" t="str">
        <f>IF(G1456=0,"",IF(AD1456="free","re-planting",IF(AD1456="me","not NVP, by",IF($AD$8="yes",(VLOOKUP(A1456,'Discount Lookup'!J:K,2)*G1456*(1-$AC$1786)*(1+$AC$1788)),IF(AD1456="NVP",(VLOOKUP(A1456,'Discount Lookup'!J:K,2)*G1456*(1-$AC$1786)*(1+$AC$1788)),IF(AD1456="free","re-planting",IF(G1456=0,"",IF($AD$8="",IF(AD1456="me","not NVP, by",IF(AD1456="",IF(G1456&gt;0,(VLOOKUP(A1456,'Discount Lookup'!J:K,2)*G1456*(1-$AC$1786)*(1+$AC$1788)),""),"")),"not NVP, by"))))))))</f>
        <v/>
      </c>
      <c r="AC1456" s="830"/>
      <c r="AD1456" s="375" t="str">
        <f t="shared" si="3560"/>
        <v/>
      </c>
      <c r="AE1456" s="833" t="str">
        <f t="shared" si="3585"/>
        <v/>
      </c>
      <c r="AF1456" s="833"/>
      <c r="AG1456" s="833"/>
      <c r="AH1456" s="91" t="str">
        <f>IF(AD1456="free",0,IF(AD1456="me","",IF(G1456&gt;0,(VLOOKUP(A1456,'Discount Lookup'!J:K,2)*G1456),"")))</f>
        <v/>
      </c>
      <c r="AI1456" s="92" t="str">
        <f t="shared" si="3481"/>
        <v/>
      </c>
      <c r="AJ1456" s="828" t="str">
        <f t="shared" si="3444"/>
        <v/>
      </c>
      <c r="AK1456" s="828"/>
      <c r="AL1456" s="313" t="str">
        <f t="shared" si="3510"/>
        <v/>
      </c>
      <c r="AM1456" s="312"/>
      <c r="AN1456" s="101"/>
      <c r="AO1456" s="101"/>
      <c r="AP1456" s="101"/>
      <c r="AQ1456" s="101"/>
      <c r="AR1456" s="101"/>
      <c r="AS1456" s="101"/>
      <c r="AT1456" s="101"/>
    </row>
    <row r="1457" spans="1:46" ht="12.95" customHeight="1">
      <c r="A1457" s="494"/>
      <c r="B1457" s="198" t="s">
        <v>1445</v>
      </c>
      <c r="C1457" s="117"/>
      <c r="D1457" s="118"/>
      <c r="E1457" s="119"/>
      <c r="F1457" s="711"/>
      <c r="G1457" s="356"/>
      <c r="H1457" s="745"/>
      <c r="I1457" s="119"/>
      <c r="J1457" s="119"/>
      <c r="K1457" s="609"/>
      <c r="L1457" s="609"/>
      <c r="M1457" s="108"/>
      <c r="N1457" s="122"/>
      <c r="O1457" s="123"/>
      <c r="P1457" s="124"/>
      <c r="Q1457" s="124"/>
      <c r="R1457" s="83"/>
      <c r="S1457" s="82">
        <f>E1457*G1457</f>
        <v>0</v>
      </c>
      <c r="T1457" s="540"/>
      <c r="U1457" s="83"/>
      <c r="V1457" s="100" t="b">
        <f>IF(G1457&gt;0,IF(AD1457="me","",G1457))</f>
        <v>0</v>
      </c>
      <c r="W1457" s="100"/>
      <c r="X1457" s="100"/>
      <c r="Y1457" s="201"/>
      <c r="Z1457" s="829" t="str">
        <f t="shared" si="3442"/>
        <v/>
      </c>
      <c r="AA1457" s="829"/>
      <c r="AB1457" s="830" t="str">
        <f>IF(G1457=0,"",IF(AD1457="free","re-planting",IF(AD1457="me","not NVP, by",IF($AD$8="yes",(VLOOKUP(A1457,'Discount Lookup'!J:K,2)*G1457*(1-$AC$1786)*(1+$AC$1788)),IF(AD1457="NVP",(VLOOKUP(A1457,'Discount Lookup'!J:K,2)*G1457*(1-$AC$1786)*(1+$AC$1788)),IF(AD1457="free","re-planting",IF(G1457=0,"",IF($AD$8="",IF(AD1457="me","not NVP, by",IF(AD1457="",IF(G1457&gt;0,(VLOOKUP(A1457,'Discount Lookup'!J:K,2)*G1457*(1-$AC$1786)*(1+$AC$1788)),""),"")),"not NVP, by"))))))))</f>
        <v/>
      </c>
      <c r="AC1457" s="830"/>
      <c r="AD1457" s="375" t="str">
        <f t="shared" si="3560"/>
        <v/>
      </c>
      <c r="AE1457" s="833" t="str">
        <f t="shared" si="3585"/>
        <v/>
      </c>
      <c r="AF1457" s="833"/>
      <c r="AG1457" s="833"/>
      <c r="AH1457" s="91" t="str">
        <f>IF(AD1457="free",0,IF(AD1457="me","",IF(G1457&gt;0,(VLOOKUP(A1457,'Discount Lookup'!J:K,2)*G1457),"")))</f>
        <v/>
      </c>
      <c r="AI1457" s="92" t="str">
        <f t="shared" si="3481"/>
        <v/>
      </c>
      <c r="AJ1457" s="828" t="str">
        <f t="shared" si="3444"/>
        <v/>
      </c>
      <c r="AK1457" s="828"/>
      <c r="AL1457" s="313" t="str">
        <f t="shared" si="3510"/>
        <v/>
      </c>
      <c r="AM1457" s="312"/>
      <c r="AN1457" s="101"/>
      <c r="AO1457" s="101"/>
      <c r="AP1457" s="101"/>
      <c r="AQ1457" s="101"/>
      <c r="AR1457" s="101"/>
      <c r="AS1457" s="101"/>
      <c r="AT1457" s="101"/>
    </row>
    <row r="1458" spans="1:46" ht="12.95" customHeight="1">
      <c r="A1458" s="916" t="s">
        <v>969</v>
      </c>
      <c r="B1458" s="917"/>
      <c r="C1458" s="917"/>
      <c r="D1458" s="917"/>
      <c r="E1458" s="917"/>
      <c r="F1458" s="917"/>
      <c r="G1458" s="917"/>
      <c r="H1458" s="779" t="s">
        <v>560</v>
      </c>
      <c r="I1458" s="693" t="s">
        <v>280</v>
      </c>
      <c r="J1458" s="668"/>
      <c r="K1458" s="694" t="s">
        <v>45</v>
      </c>
      <c r="L1458" s="695" t="s">
        <v>46</v>
      </c>
      <c r="M1458" s="668"/>
      <c r="N1458" s="696" t="s">
        <v>157</v>
      </c>
      <c r="O1458" s="696"/>
      <c r="P1458" s="696"/>
      <c r="Q1458" s="696"/>
      <c r="R1458" s="835" t="s">
        <v>49</v>
      </c>
      <c r="S1458" s="835"/>
      <c r="T1458" s="835"/>
      <c r="U1458" s="835"/>
      <c r="V1458" s="100" t="b">
        <f>IF(G1458&gt;0,IF(AD1458="me","",G1458))</f>
        <v>0</v>
      </c>
      <c r="W1458" s="100"/>
      <c r="X1458" s="100"/>
      <c r="Y1458" s="201"/>
      <c r="Z1458" s="838" t="str">
        <f>IF(G1458=0,"",IF(AD1458="me","",IF($AD$8="me","",IF(AD1458="free","warranty",IF($AD$8="yes","NVP planting:","to NVP install:")))))</f>
        <v/>
      </c>
      <c r="AA1458" s="838"/>
      <c r="AB1458" s="830" t="str">
        <f>IF(G1458=0,"",IF(AD1458="free","re-planting",IF(AD1458="me","not NVP, by",IF($AD$8="yes",(VLOOKUP(A1458,'Discount Lookup'!J:K,2)*G1458*(1-$AC$1786)*(1+$AC$1788)),IF(AD1458="NVP",(VLOOKUP(A1458,'Discount Lookup'!J:K,2)*G1458*(1-$AC$1786)*(1+$AC$1788)),IF(AD1458="free","re-planting",IF(G1458=0,"",IF($AD$8="",IF(AD1458="me","not NVP, by",IF(AD1458="",IF(G1458&gt;0,(VLOOKUP(A1458,'Discount Lookup'!J:K,2)*G1458*(1-$AC$1786)*(1+$AC$1788)),""),"")),"not NVP, by"))))))))</f>
        <v/>
      </c>
      <c r="AC1458" s="830"/>
      <c r="AD1458" s="375" t="str">
        <f t="shared" si="3560"/>
        <v/>
      </c>
      <c r="AE1458" s="833" t="str">
        <f>IF(G1458&gt;0,(CONCATENATE((G1458)," quantity, ",(A1458)," ",B1458)),"")</f>
        <v/>
      </c>
      <c r="AF1458" s="833"/>
      <c r="AG1458" s="833"/>
      <c r="AH1458" s="91" t="s">
        <v>109</v>
      </c>
      <c r="AI1458" s="92" t="str">
        <f t="shared" si="3481"/>
        <v/>
      </c>
      <c r="AJ1458" s="828" t="str">
        <f>IF(G1458=0,"",IF(AD1458="me","  delivery-only",CONCATENATE(" $",ROUND(AI1458/G1458,2)," each")))</f>
        <v/>
      </c>
      <c r="AK1458" s="828"/>
      <c r="AL1458" s="313" t="str">
        <f t="shared" si="3510"/>
        <v/>
      </c>
      <c r="AM1458" s="312"/>
      <c r="AN1458" s="101"/>
      <c r="AO1458" s="101"/>
      <c r="AP1458" s="101"/>
      <c r="AQ1458" s="101"/>
      <c r="AR1458" s="101"/>
      <c r="AS1458" s="101"/>
      <c r="AT1458" s="101"/>
    </row>
    <row r="1459" spans="1:46" ht="12.95" customHeight="1">
      <c r="A1459" s="697">
        <v>2</v>
      </c>
      <c r="B1459" s="567" t="s">
        <v>50</v>
      </c>
      <c r="C1459" s="692" t="s">
        <v>136</v>
      </c>
      <c r="D1459" s="698" t="s">
        <v>86</v>
      </c>
      <c r="E1459" s="699">
        <v>34.950000000000003</v>
      </c>
      <c r="F1459" s="722" t="s">
        <v>1306</v>
      </c>
      <c r="G1459" s="357">
        <v>0</v>
      </c>
      <c r="H1459" s="755" t="str">
        <f t="shared" ref="H1459" si="3598">IF(G1459=0,"",IF(F1459="Qty=",IF(G1459=1,"plant","plants"),IF(F1459&gt;0.0001,"warranty","Error")))</f>
        <v/>
      </c>
      <c r="I1459" s="699">
        <f t="shared" ref="I1459" si="3599">IF(F1459="Qty=",(E1459*G1459),((E1459*(1-F1459))*G1459))</f>
        <v>0</v>
      </c>
      <c r="J1459" s="98">
        <f>IF(H1459="warranty",0,(I1459*($J$1782)))</f>
        <v>0</v>
      </c>
      <c r="K1459" s="831">
        <f t="shared" ref="K1459" si="3600">I1459+J1459</f>
        <v>0</v>
      </c>
      <c r="L1459" s="831"/>
      <c r="M1459" s="832" t="str">
        <f>IF($H$1784=0,"",IF(G1459=0,"",IF(F1459="Qty=",CONCATENATE("$",ROUND(K1459*(1-$H$1784),2)," with ",($H$1784*100),"% discount"),CONCATENATE("$",ROUND(K1459*(1-$H$1784),2)," with ",(($H$1784*100+F1459*100)-($H$1784*100*F1459)),IF(F1459&gt;0,"% discounts",IF($H$1781&gt;0,"% discounts","% discount"))))))</f>
        <v/>
      </c>
      <c r="N1459" s="832"/>
      <c r="O1459" s="832"/>
      <c r="P1459" s="832"/>
      <c r="Q1459" s="832"/>
      <c r="R1459" s="832"/>
      <c r="S1459" s="303">
        <f t="shared" ref="S1459" si="3601">E1459*G1459</f>
        <v>0</v>
      </c>
      <c r="T1459" s="541">
        <f>VLOOKUP(A1459,'Discount Lookup'!D:E,2,FALSE)*G1459</f>
        <v>0</v>
      </c>
      <c r="U1459" s="83">
        <f>VLOOKUP(A1459,'Discount Lookup'!G:H,2,FALSE)*G1459</f>
        <v>0</v>
      </c>
      <c r="V1459" s="100">
        <f>E1459*($J$1782)*G1459</f>
        <v>0</v>
      </c>
      <c r="W1459" s="100">
        <f t="shared" ref="W1459" si="3602">I1459</f>
        <v>0</v>
      </c>
      <c r="X1459" s="100" t="b">
        <f>IF(G1459&gt;0,IF(AD1459="me","",G1459))</f>
        <v>0</v>
      </c>
      <c r="Y1459" s="201"/>
      <c r="Z1459" s="838" t="str">
        <f>IF(G1459=0,"",IF(AD1459="me","",IF($AD$8="me","",IF(AD1459="free","warranty",IF($AD$8="yes","NVP planting:","to NVP install:")))))</f>
        <v/>
      </c>
      <c r="AA1459" s="838"/>
      <c r="AB1459" s="830" t="str">
        <f>IF(G1459=0,"",IF(AD1459="free","re-planting",IF(AD1459="me","not NVP, by",IF($AD$8="yes",(VLOOKUP(A1459,'Discount Lookup'!J:K,2)*G1459*(1-$AC$1786)*(1+$AC$1788)),IF(AD1459="NVP",(VLOOKUP(A1459,'Discount Lookup'!J:K,2)*G1459*(1-$AC$1786)*(1+$AC$1788)),IF(AD1459="free","re-planting",IF(G1459=0,"",IF($AD$8="",IF(AD1459="me","not NVP, by",IF(AD1459="",IF(G1459&gt;0,(VLOOKUP(A1459,'Discount Lookup'!J:K,2)*G1459*(1-$AC$1786)*(1+$AC$1788)),""),"")),"not NVP, by"))))))))</f>
        <v/>
      </c>
      <c r="AC1459" s="830"/>
      <c r="AD1459" s="375" t="str">
        <f t="shared" si="3560"/>
        <v/>
      </c>
      <c r="AE1459" s="833" t="str">
        <f>IF(G1459&gt;0,(CONCATENATE((G1459)," quantity, ",(A1459)," ",B1459)),"")</f>
        <v/>
      </c>
      <c r="AF1459" s="833"/>
      <c r="AG1459" s="833"/>
      <c r="AH1459" s="91" t="str">
        <f>IF(AD1459="free",0,IF(AD1459="me","",IF(G1459&gt;0,(VLOOKUP(A1459,'Discount Lookup'!J:K,2)*G1459),"")))</f>
        <v/>
      </c>
      <c r="AI1459" s="92" t="str">
        <f t="shared" si="3481"/>
        <v/>
      </c>
      <c r="AJ1459" s="828" t="str">
        <f>IF(G1459=0,"",IF(AD1459="me","  delivery-only",CONCATENATE(" $",ROUND(AI1459/G1459,2)," each")))</f>
        <v/>
      </c>
      <c r="AK1459" s="828"/>
      <c r="AL1459" s="313" t="str">
        <f t="shared" si="3510"/>
        <v/>
      </c>
      <c r="AM1459" s="312"/>
      <c r="AN1459" s="101"/>
      <c r="AO1459" s="101"/>
      <c r="AP1459" s="101"/>
      <c r="AQ1459" s="101"/>
      <c r="AR1459" s="101"/>
      <c r="AS1459" s="101"/>
      <c r="AT1459" s="101"/>
    </row>
    <row r="1460" spans="1:46" ht="12.95" customHeight="1">
      <c r="A1460" s="494"/>
      <c r="B1460" s="198" t="s">
        <v>1444</v>
      </c>
      <c r="C1460" s="117"/>
      <c r="D1460" s="118"/>
      <c r="E1460" s="119"/>
      <c r="F1460" s="711"/>
      <c r="G1460" s="356"/>
      <c r="H1460" s="745"/>
      <c r="I1460" s="119"/>
      <c r="J1460" s="119"/>
      <c r="K1460" s="609"/>
      <c r="L1460" s="609"/>
      <c r="M1460" s="108"/>
      <c r="N1460" s="122" t="s">
        <v>176</v>
      </c>
      <c r="O1460" s="123"/>
      <c r="P1460" s="124"/>
      <c r="Q1460" s="124"/>
      <c r="R1460" s="83"/>
      <c r="S1460" s="82"/>
      <c r="T1460" s="540"/>
      <c r="U1460" s="83"/>
      <c r="V1460" s="100"/>
      <c r="W1460" s="100"/>
      <c r="X1460" s="100"/>
      <c r="Y1460" s="201"/>
      <c r="Z1460" s="838" t="str">
        <f>IF(G1460=0,"",IF(AD1460="me","",IF($AD$8="me","",IF(AD1460="free","warranty",IF($AD$8="yes","NVP planting:","to NVP install:")))))</f>
        <v/>
      </c>
      <c r="AA1460" s="838"/>
      <c r="AB1460" s="830" t="str">
        <f>IF(G1460=0,"",IF(AD1460="free","re-planting",IF(AD1460="me","not NVP, by",IF($AD$8="yes",(VLOOKUP(A1460,'Discount Lookup'!J:K,2)*G1460*(1-$AC$1786)*(1+$AC$1788)),IF(AD1460="NVP",(VLOOKUP(A1460,'Discount Lookup'!J:K,2)*G1460*(1-$AC$1786)*(1+$AC$1788)),IF(AD1460="free","re-planting",IF(G1460=0,"",IF($AD$8="",IF(AD1460="me","not NVP, by",IF(AD1460="",IF(G1460&gt;0,(VLOOKUP(A1460,'Discount Lookup'!J:K,2)*G1460*(1-$AC$1786)*(1+$AC$1788)),""),"")),"not NVP, by"))))))))</f>
        <v/>
      </c>
      <c r="AC1460" s="830"/>
      <c r="AD1460" s="375" t="str">
        <f t="shared" si="3560"/>
        <v/>
      </c>
      <c r="AE1460" s="833" t="str">
        <f>IF(G1460&gt;0,(CONCATENATE((G1460)," quantity, ",(A1460)," ",B1460)),"")</f>
        <v/>
      </c>
      <c r="AF1460" s="833"/>
      <c r="AG1460" s="833"/>
      <c r="AH1460" s="91" t="s">
        <v>109</v>
      </c>
      <c r="AI1460" s="92" t="str">
        <f t="shared" si="3481"/>
        <v/>
      </c>
      <c r="AJ1460" s="828" t="str">
        <f>IF(G1460=0,"",IF(AD1460="me","  delivery-only",CONCATENATE(" $",ROUND(AI1460/G1460,2)," each")))</f>
        <v/>
      </c>
      <c r="AK1460" s="828"/>
      <c r="AL1460" s="313" t="str">
        <f t="shared" si="3510"/>
        <v/>
      </c>
      <c r="AM1460" s="312"/>
      <c r="AN1460" s="101"/>
      <c r="AO1460" s="101"/>
      <c r="AP1460" s="101"/>
      <c r="AQ1460" s="101"/>
      <c r="AR1460" s="101"/>
      <c r="AS1460" s="101"/>
      <c r="AT1460" s="101"/>
    </row>
    <row r="1461" spans="1:46" ht="12.95" customHeight="1">
      <c r="A1461" s="933" t="s">
        <v>781</v>
      </c>
      <c r="B1461" s="864"/>
      <c r="C1461" s="864"/>
      <c r="D1461" s="864"/>
      <c r="E1461" s="864"/>
      <c r="F1461" s="864"/>
      <c r="G1461" s="864"/>
      <c r="H1461" s="776" t="s">
        <v>560</v>
      </c>
      <c r="I1461" s="88" t="s">
        <v>79</v>
      </c>
      <c r="J1461" s="86"/>
      <c r="K1461" s="603" t="s">
        <v>45</v>
      </c>
      <c r="L1461" s="601" t="s">
        <v>46</v>
      </c>
      <c r="M1461" s="86"/>
      <c r="N1461" s="210" t="s">
        <v>157</v>
      </c>
      <c r="O1461" s="87"/>
      <c r="P1461" s="87"/>
      <c r="Q1461" s="87"/>
      <c r="R1461" s="835" t="s">
        <v>49</v>
      </c>
      <c r="S1461" s="835"/>
      <c r="T1461" s="835"/>
      <c r="U1461" s="835"/>
      <c r="V1461" s="100" t="b">
        <f>IF(G1461&gt;0,IF(AD1461="me","",G1461))</f>
        <v>0</v>
      </c>
      <c r="W1461" s="100"/>
      <c r="X1461" s="100"/>
      <c r="Y1461" s="201"/>
      <c r="Z1461" s="829" t="str">
        <f t="shared" si="3442"/>
        <v/>
      </c>
      <c r="AA1461" s="829"/>
      <c r="AB1461" s="830" t="str">
        <f>IF(G1461=0,"",IF(AD1461="free","re-planting",IF(AD1461="me","not NVP, by",IF($AD$8="yes",(VLOOKUP(A1461,'Discount Lookup'!J:K,2)*G1461*(1-$AC$1786)*(1+$AC$1788)),IF(AD1461="NVP",(VLOOKUP(A1461,'Discount Lookup'!J:K,2)*G1461*(1-$AC$1786)*(1+$AC$1788)),IF(AD1461="free","re-planting",IF(G1461=0,"",IF($AD$8="",IF(AD1461="me","not NVP, by",IF(AD1461="",IF(G1461&gt;0,(VLOOKUP(A1461,'Discount Lookup'!J:K,2)*G1461*(1-$AC$1786)*(1+$AC$1788)),""),"")),"not NVP, by"))))))))</f>
        <v/>
      </c>
      <c r="AC1461" s="830"/>
      <c r="AD1461" s="375" t="str">
        <f t="shared" si="3560"/>
        <v/>
      </c>
      <c r="AE1461" s="833" t="str">
        <f t="shared" si="3427"/>
        <v/>
      </c>
      <c r="AF1461" s="833"/>
      <c r="AG1461" s="833"/>
      <c r="AH1461" s="91">
        <f>IF(AD1461="free",0,IF(AD1461="me",0,IF(G1461&gt;0,(VLOOKUP(A1461,'Discount Lookup'!J:K,2)*G1461),0)))</f>
        <v>0</v>
      </c>
      <c r="AI1461" s="92" t="str">
        <f t="shared" si="3481"/>
        <v/>
      </c>
      <c r="AJ1461" s="828" t="str">
        <f t="shared" si="3444"/>
        <v/>
      </c>
      <c r="AK1461" s="828"/>
      <c r="AL1461" s="313" t="str">
        <f t="shared" si="3510"/>
        <v/>
      </c>
      <c r="AM1461" s="312"/>
      <c r="AN1461" s="101"/>
      <c r="AO1461" s="101"/>
      <c r="AP1461" s="101"/>
      <c r="AQ1461" s="101"/>
      <c r="AR1461" s="101"/>
      <c r="AS1461" s="101"/>
      <c r="AT1461" s="101"/>
    </row>
    <row r="1462" spans="1:46" ht="12.95" customHeight="1">
      <c r="A1462" s="456">
        <v>3</v>
      </c>
      <c r="B1462" s="87" t="s">
        <v>50</v>
      </c>
      <c r="C1462" s="399" t="s">
        <v>136</v>
      </c>
      <c r="D1462" s="129" t="s">
        <v>86</v>
      </c>
      <c r="E1462" s="98">
        <v>30.95</v>
      </c>
      <c r="F1462" s="705" t="s">
        <v>1306</v>
      </c>
      <c r="G1462" s="357">
        <v>0</v>
      </c>
      <c r="H1462" s="704" t="str">
        <f t="shared" ref="H1462:H1463" si="3603">IF(G1462=0,"",IF(F1462="Qty=",IF(G1462=1,"plant","plants"),IF(F1462&gt;0.0001,"warranty","Error")))</f>
        <v/>
      </c>
      <c r="I1462" s="98">
        <f t="shared" ref="I1462:I1463" si="3604">IF(F1462="Qty=",(E1462*G1462),((E1462*(1-F1462))*G1462))</f>
        <v>0</v>
      </c>
      <c r="J1462" s="98">
        <f>IF(H1462="warranty",0,(I1462*($J$1782)))</f>
        <v>0</v>
      </c>
      <c r="K1462" s="831">
        <f t="shared" ref="K1462:K1463" si="3605">I1462+J1462</f>
        <v>0</v>
      </c>
      <c r="L1462" s="831"/>
      <c r="M1462" s="832" t="str">
        <f>IF($H$1784=0,"",IF(G1462=0,"",IF(F1462="Qty=",CONCATENATE("$",ROUND(K1462*(1-$H$1784),2)," with ",($H$1784*100),"% discount"),CONCATENATE("$",ROUND(K1462*(1-$H$1784),2)," with ",(($H$1784*100+F1462*100)-($H$1784*100*F1462)),IF(F1462&gt;0,"% discounts",IF($H$1781&gt;0,"% discounts","% discount"))))))</f>
        <v/>
      </c>
      <c r="N1462" s="832"/>
      <c r="O1462" s="832"/>
      <c r="P1462" s="832"/>
      <c r="Q1462" s="832"/>
      <c r="R1462" s="832"/>
      <c r="S1462" s="303">
        <f t="shared" ref="S1462:S1463" si="3606">E1462*G1462</f>
        <v>0</v>
      </c>
      <c r="T1462" s="541">
        <f>VLOOKUP(A1462,'Discount Lookup'!D:E,2,FALSE)*G1462</f>
        <v>0</v>
      </c>
      <c r="U1462" s="83">
        <f>VLOOKUP(A1462,'Discount Lookup'!G:H,2,FALSE)*G1462</f>
        <v>0</v>
      </c>
      <c r="V1462" s="100">
        <f>E1462*($J$1782)*G1462</f>
        <v>0</v>
      </c>
      <c r="W1462" s="100">
        <f t="shared" ref="W1462:W1463" si="3607">I1462</f>
        <v>0</v>
      </c>
      <c r="X1462" s="100" t="b">
        <f>IF(G1462&gt;0,IF(AD1462="me","",G1462))</f>
        <v>0</v>
      </c>
      <c r="Y1462" s="201"/>
      <c r="Z1462" s="829" t="str">
        <f t="shared" ref="Z1462:Z1463" si="3608">IF(G1462=0,"",IF(AD1462="me","",IF($AD$8="me","",IF(AD1462="free","warranty",IF($AD$8="yes","NVP planting:","to NVP install:")))))</f>
        <v/>
      </c>
      <c r="AA1462" s="829"/>
      <c r="AB1462" s="830" t="str">
        <f>IF(G1462=0,"",IF(AD1462="free","re-planting",IF(AD1462="me","not NVP, by",IF($AD$8="yes",(VLOOKUP(A1462,'Discount Lookup'!J:K,2)*G1462*(1-$AC$1786)*(1+$AC$1788)),IF(AD1462="NVP",(VLOOKUP(A1462,'Discount Lookup'!J:K,2)*G1462*(1-$AC$1786)*(1+$AC$1788)),IF(AD1462="free","re-planting",IF(G1462=0,"",IF($AD$8="",IF(AD1462="me","not NVP, by",IF(AD1462="",IF(G1462&gt;0,(VLOOKUP(A1462,'Discount Lookup'!J:K,2)*G1462*(1-$AC$1786)*(1+$AC$1788)),""),"")),"not NVP, by"))))))))</f>
        <v/>
      </c>
      <c r="AC1462" s="830"/>
      <c r="AD1462" s="375" t="str">
        <f t="shared" si="3560"/>
        <v/>
      </c>
      <c r="AE1462" s="833" t="str">
        <f t="shared" ref="AE1462:AE1463" si="3609">IF(G1462&gt;0,(CONCATENATE((G1462)," quantity, ",(A1462)," ",B1462)),"")</f>
        <v/>
      </c>
      <c r="AF1462" s="833"/>
      <c r="AG1462" s="833"/>
      <c r="AH1462" s="91">
        <f>IF(AD1462="free",0,IF(AD1462="me",0,IF(G1462&gt;0,(VLOOKUP(A1462,'Discount Lookup'!J:K,2)*G1462),0)))</f>
        <v>0</v>
      </c>
      <c r="AI1462" s="92" t="str">
        <f t="shared" si="3481"/>
        <v/>
      </c>
      <c r="AJ1462" s="828" t="str">
        <f t="shared" ref="AJ1462:AJ1463" si="3610">IF(G1462=0,"",IF(AD1462="me","  delivery-only",IF($AD$8="me","  delivery-only",CONCATENATE(" $",ROUND(AI1462/G1462,2)," each"))))</f>
        <v/>
      </c>
      <c r="AK1462" s="828"/>
      <c r="AL1462" s="313" t="str">
        <f t="shared" si="3510"/>
        <v/>
      </c>
      <c r="AM1462" s="312"/>
      <c r="AN1462" s="101"/>
      <c r="AO1462" s="101"/>
      <c r="AP1462" s="101"/>
      <c r="AQ1462" s="101"/>
      <c r="AR1462" s="101"/>
      <c r="AS1462" s="101"/>
      <c r="AT1462" s="101"/>
    </row>
    <row r="1463" spans="1:46" ht="12.95" customHeight="1">
      <c r="A1463" s="456">
        <v>3</v>
      </c>
      <c r="B1463" s="87" t="s">
        <v>50</v>
      </c>
      <c r="C1463" s="399" t="s">
        <v>136</v>
      </c>
      <c r="D1463" s="129" t="s">
        <v>54</v>
      </c>
      <c r="E1463" s="98">
        <v>33.950000000000003</v>
      </c>
      <c r="F1463" s="705" t="s">
        <v>1306</v>
      </c>
      <c r="G1463" s="357">
        <v>0</v>
      </c>
      <c r="H1463" s="704" t="str">
        <f t="shared" si="3603"/>
        <v/>
      </c>
      <c r="I1463" s="98">
        <f t="shared" si="3604"/>
        <v>0</v>
      </c>
      <c r="J1463" s="98">
        <f>IF(H1463="warranty",0,(I1463*($J$1782)))</f>
        <v>0</v>
      </c>
      <c r="K1463" s="831">
        <f t="shared" si="3605"/>
        <v>0</v>
      </c>
      <c r="L1463" s="831"/>
      <c r="M1463" s="832" t="str">
        <f>IF($H$1784=0,"",IF(G1463=0,"",IF(F1463="Qty=",CONCATENATE("$",ROUND(K1463*(1-$H$1784),2)," with ",($H$1784*100),"% discount"),CONCATENATE("$",ROUND(K1463*(1-$H$1784),2)," with ",(($H$1784*100+F1463*100)-($H$1784*100*F1463)),IF(F1463&gt;0,"% discounts",IF($H$1781&gt;0,"% discounts","% discount"))))))</f>
        <v/>
      </c>
      <c r="N1463" s="832"/>
      <c r="O1463" s="832"/>
      <c r="P1463" s="832"/>
      <c r="Q1463" s="832"/>
      <c r="R1463" s="832"/>
      <c r="S1463" s="303">
        <f t="shared" si="3606"/>
        <v>0</v>
      </c>
      <c r="T1463" s="541">
        <f>VLOOKUP(A1463,'Discount Lookup'!D:E,2,FALSE)*G1463</f>
        <v>0</v>
      </c>
      <c r="U1463" s="83">
        <f>VLOOKUP(A1463,'Discount Lookup'!G:H,2,FALSE)*G1463</f>
        <v>0</v>
      </c>
      <c r="V1463" s="100">
        <f>E1463*($J$1782)*G1463</f>
        <v>0</v>
      </c>
      <c r="W1463" s="100">
        <f t="shared" si="3607"/>
        <v>0</v>
      </c>
      <c r="X1463" s="100" t="b">
        <f>IF(G1463&gt;0,IF(AD1463="me","",G1463))</f>
        <v>0</v>
      </c>
      <c r="Y1463" s="201"/>
      <c r="Z1463" s="829" t="str">
        <f t="shared" si="3608"/>
        <v/>
      </c>
      <c r="AA1463" s="829"/>
      <c r="AB1463" s="830" t="str">
        <f>IF(G1463=0,"",IF(AD1463="free","re-planting",IF(AD1463="me","not NVP, by",IF($AD$8="yes",(VLOOKUP(A1463,'Discount Lookup'!J:K,2)*G1463*(1-$AC$1786)*(1+$AC$1788)),IF(AD1463="NVP",(VLOOKUP(A1463,'Discount Lookup'!J:K,2)*G1463*(1-$AC$1786)*(1+$AC$1788)),IF(AD1463="free","re-planting",IF(G1463=0,"",IF($AD$8="",IF(AD1463="me","not NVP, by",IF(AD1463="",IF(G1463&gt;0,(VLOOKUP(A1463,'Discount Lookup'!J:K,2)*G1463*(1-$AC$1786)*(1+$AC$1788)),""),"")),"not NVP, by"))))))))</f>
        <v/>
      </c>
      <c r="AC1463" s="830"/>
      <c r="AD1463" s="375" t="str">
        <f t="shared" si="3560"/>
        <v/>
      </c>
      <c r="AE1463" s="833" t="str">
        <f t="shared" si="3609"/>
        <v/>
      </c>
      <c r="AF1463" s="833"/>
      <c r="AG1463" s="833"/>
      <c r="AH1463" s="91">
        <f>IF(AD1463="free",0,IF(AD1463="me",0,IF(G1463&gt;0,(VLOOKUP(A1463,'Discount Lookup'!J:K,2)*G1463),0)))</f>
        <v>0</v>
      </c>
      <c r="AI1463" s="92" t="str">
        <f t="shared" si="3481"/>
        <v/>
      </c>
      <c r="AJ1463" s="828" t="str">
        <f t="shared" si="3610"/>
        <v/>
      </c>
      <c r="AK1463" s="828"/>
      <c r="AL1463" s="313" t="str">
        <f t="shared" si="3510"/>
        <v/>
      </c>
      <c r="AM1463" s="312"/>
      <c r="AN1463" s="101"/>
      <c r="AO1463" s="101"/>
      <c r="AP1463" s="101"/>
      <c r="AQ1463" s="101"/>
      <c r="AR1463" s="101"/>
      <c r="AS1463" s="101"/>
      <c r="AT1463" s="101"/>
    </row>
    <row r="1464" spans="1:46" ht="12.95" customHeight="1">
      <c r="A1464" s="494"/>
      <c r="B1464" s="198" t="s">
        <v>782</v>
      </c>
      <c r="C1464" s="117"/>
      <c r="D1464" s="118"/>
      <c r="E1464" s="119"/>
      <c r="F1464" s="711"/>
      <c r="G1464" s="356"/>
      <c r="H1464" s="745"/>
      <c r="I1464" s="119"/>
      <c r="J1464" s="119"/>
      <c r="K1464" s="609"/>
      <c r="L1464" s="609"/>
      <c r="M1464" s="48"/>
      <c r="N1464" s="122" t="s">
        <v>162</v>
      </c>
      <c r="O1464" s="123"/>
      <c r="P1464" s="124"/>
      <c r="Q1464" s="124"/>
      <c r="R1464" s="83"/>
      <c r="S1464" s="82">
        <f>E1464*G1464</f>
        <v>0</v>
      </c>
      <c r="T1464" s="540"/>
      <c r="U1464" s="83"/>
      <c r="V1464" s="100" t="b">
        <f>IF(G1464&gt;0,IF(AD1464="me","",G1464))</f>
        <v>0</v>
      </c>
      <c r="W1464" s="100"/>
      <c r="X1464" s="100"/>
      <c r="Y1464" s="201"/>
      <c r="Z1464" s="829" t="str">
        <f t="shared" si="3442"/>
        <v/>
      </c>
      <c r="AA1464" s="829"/>
      <c r="AB1464" s="830" t="str">
        <f>IF(G1464=0,"",IF(AD1464="free","re-planting",IF(AD1464="me","not NVP, by",IF($AD$8="yes",(VLOOKUP(A1464,'Discount Lookup'!J:K,2)*G1464*(1-$AC$1786)*(1+$AC$1788)),IF(AD1464="NVP",(VLOOKUP(A1464,'Discount Lookup'!J:K,2)*G1464*(1-$AC$1786)*(1+$AC$1788)),IF(AD1464="free","re-planting",IF(G1464=0,"",IF($AD$8="",IF(AD1464="me","not NVP, by",IF(AD1464="",IF(G1464&gt;0,(VLOOKUP(A1464,'Discount Lookup'!J:K,2)*G1464*(1-$AC$1786)*(1+$AC$1788)),""),"")),"not NVP, by"))))))))</f>
        <v/>
      </c>
      <c r="AC1464" s="830"/>
      <c r="AD1464" s="375" t="str">
        <f t="shared" si="3560"/>
        <v/>
      </c>
      <c r="AE1464" s="833" t="str">
        <f t="shared" si="3427"/>
        <v/>
      </c>
      <c r="AF1464" s="833"/>
      <c r="AG1464" s="833"/>
      <c r="AH1464" s="91">
        <f>IF(AD1464="free",0,IF(AD1464="me",0,IF(G1464&gt;0,(VLOOKUP(A1464,'Discount Lookup'!J:K,2)*G1464),0)))</f>
        <v>0</v>
      </c>
      <c r="AI1464" s="92" t="str">
        <f t="shared" si="3481"/>
        <v/>
      </c>
      <c r="AJ1464" s="828" t="str">
        <f t="shared" si="3444"/>
        <v/>
      </c>
      <c r="AK1464" s="828"/>
      <c r="AL1464" s="313" t="str">
        <f t="shared" si="3510"/>
        <v/>
      </c>
      <c r="AM1464" s="312"/>
      <c r="AN1464" s="101"/>
      <c r="AO1464" s="101"/>
      <c r="AP1464" s="101"/>
      <c r="AQ1464" s="101"/>
      <c r="AR1464" s="101"/>
      <c r="AS1464" s="101"/>
      <c r="AT1464" s="101"/>
    </row>
    <row r="1465" spans="1:46" ht="12.95" customHeight="1">
      <c r="A1465" s="839" t="s">
        <v>972</v>
      </c>
      <c r="B1465" s="837"/>
      <c r="C1465" s="837"/>
      <c r="D1465" s="837"/>
      <c r="E1465" s="837"/>
      <c r="F1465" s="837"/>
      <c r="G1465" s="837"/>
      <c r="H1465" s="775" t="s">
        <v>602</v>
      </c>
      <c r="I1465" s="349" t="s">
        <v>280</v>
      </c>
      <c r="J1465" s="157"/>
      <c r="K1465" s="611" t="s">
        <v>45</v>
      </c>
      <c r="L1465" s="630" t="s">
        <v>46</v>
      </c>
      <c r="M1465" s="157"/>
      <c r="N1465" s="158" t="s">
        <v>69</v>
      </c>
      <c r="O1465" s="158"/>
      <c r="P1465" s="158"/>
      <c r="Q1465" s="158"/>
      <c r="R1465" s="157"/>
      <c r="S1465" s="170"/>
      <c r="T1465" s="547"/>
      <c r="U1465" s="211"/>
      <c r="V1465" s="100" t="b">
        <f>IF(G1465&gt;0,IF(AD1465="me","",G1465))</f>
        <v>0</v>
      </c>
      <c r="W1465" s="100"/>
      <c r="X1465" s="100"/>
      <c r="Y1465" s="201"/>
      <c r="Z1465" s="829" t="str">
        <f t="shared" ref="Z1465:Z1467" si="3611">IF(G1465=0,"",IF(AD1465="me","",IF($AD$8="me","",IF(AD1465="free","warranty",IF($AD$8="yes","NVP planting:","to NVP install:")))))</f>
        <v/>
      </c>
      <c r="AA1465" s="829"/>
      <c r="AB1465" s="830" t="str">
        <f>IF(G1465=0,"",IF(AD1465="free","re-planting",IF(AD1465="me","not NVP, by",IF($AD$8="yes",(VLOOKUP(A1465,'Discount Lookup'!J:K,2)*G1465*(1-$AC$1786)*(1+$AC$1788)),IF(AD1465="NVP",(VLOOKUP(A1465,'Discount Lookup'!J:K,2)*G1465*(1-$AC$1786)*(1+$AC$1788)),IF(AD1465="free","re-planting",IF(G1465=0,"",IF($AD$8="",IF(AD1465="me","not NVP, by",IF(AD1465="",IF(G1465&gt;0,(VLOOKUP(A1465,'Discount Lookup'!J:K,2)*G1465*(1-$AC$1786)*(1+$AC$1788)),""),"")),"not NVP, by"))))))))</f>
        <v/>
      </c>
      <c r="AC1465" s="830"/>
      <c r="AD1465" s="375" t="str">
        <f t="shared" ref="AD1465:AD1467" si="3612">IF(G1465=0,"",IF($AD$8="me","me",IF(H1465="warranty","free",IF($AD$8="yes","NVP",""))))</f>
        <v/>
      </c>
      <c r="AE1465" s="833" t="str">
        <f t="shared" si="3427"/>
        <v/>
      </c>
      <c r="AF1465" s="833"/>
      <c r="AG1465" s="833"/>
      <c r="AH1465" s="91" t="s">
        <v>109</v>
      </c>
      <c r="AI1465" s="92" t="str">
        <f t="shared" si="3481"/>
        <v/>
      </c>
      <c r="AJ1465" s="828" t="str">
        <f t="shared" ref="AJ1465:AJ1467" si="3613">IF(G1465=0,"",IF(AD1465="me","  delivery-only",IF($AD$8="me","  delivery-only",CONCATENATE(" $",ROUND(AI1465/G1465,2)," each"))))</f>
        <v/>
      </c>
      <c r="AK1465" s="828"/>
      <c r="AL1465" s="313" t="str">
        <f t="shared" si="3510"/>
        <v/>
      </c>
      <c r="AM1465" s="312"/>
      <c r="AN1465" s="101"/>
      <c r="AO1465" s="101"/>
      <c r="AP1465" s="101"/>
      <c r="AQ1465" s="101"/>
      <c r="AR1465" s="101"/>
      <c r="AS1465" s="101"/>
      <c r="AT1465" s="101"/>
    </row>
    <row r="1466" spans="1:46" ht="12.95" customHeight="1">
      <c r="A1466" s="455">
        <v>2</v>
      </c>
      <c r="B1466" s="158" t="s">
        <v>50</v>
      </c>
      <c r="C1466" s="168" t="s">
        <v>136</v>
      </c>
      <c r="D1466" s="161" t="s">
        <v>86</v>
      </c>
      <c r="E1466" s="162">
        <v>34.950000000000003</v>
      </c>
      <c r="F1466" s="713" t="s">
        <v>1306</v>
      </c>
      <c r="G1466" s="357">
        <v>0</v>
      </c>
      <c r="H1466" s="748" t="str">
        <f t="shared" ref="H1466" si="3614">IF(G1466=0,"",IF(F1466="Qty=",IF(G1466=1,"plant","plants"),IF(F1466&gt;0.0001,"warranty","Error")))</f>
        <v/>
      </c>
      <c r="I1466" s="592">
        <f t="shared" ref="I1466" si="3615">IF(F1466="Qty=",(E1466*G1466),((E1466*(1-F1466))*G1466))</f>
        <v>0</v>
      </c>
      <c r="J1466" s="592">
        <f>IF(H1466="warranty",0,(I1466*($J$1782)))</f>
        <v>0</v>
      </c>
      <c r="K1466" s="834">
        <f t="shared" ref="K1466" si="3616">I1466+J1466</f>
        <v>0</v>
      </c>
      <c r="L1466" s="834"/>
      <c r="M1466" s="832" t="str">
        <f>IF($H$1784=0,"",IF(G1466=0,"",IF(F1466="Qty=",CONCATENATE("$",ROUND(K1466*(1-$H$1784),2)," with ",($H$1784*100),"% discount"),CONCATENATE("$",ROUND(K1466*(1-$H$1784),2)," with ",(($H$1784*100+F1466*100)-($H$1784*100*F1466)),IF(F1466&gt;0,"% discounts",IF($H$1781&gt;0,"% discounts","% discount"))))))</f>
        <v/>
      </c>
      <c r="N1466" s="832"/>
      <c r="O1466" s="832"/>
      <c r="P1466" s="832"/>
      <c r="Q1466" s="832"/>
      <c r="R1466" s="832"/>
      <c r="S1466" s="303">
        <f t="shared" ref="S1466" si="3617">E1466*G1466</f>
        <v>0</v>
      </c>
      <c r="T1466" s="541">
        <f>VLOOKUP(A1466,'Discount Lookup'!D:E,2,FALSE)*G1466</f>
        <v>0</v>
      </c>
      <c r="U1466" s="83">
        <f>VLOOKUP(A1466,'Discount Lookup'!G:H,2,FALSE)*G1466</f>
        <v>0</v>
      </c>
      <c r="V1466" s="100">
        <f>E1466*($J$1782)*G1466</f>
        <v>0</v>
      </c>
      <c r="W1466" s="100">
        <f t="shared" ref="W1466" si="3618">I1466</f>
        <v>0</v>
      </c>
      <c r="X1466" s="100" t="b">
        <f>IF(G1466&gt;0,IF(AD1466="me","",G1466))</f>
        <v>0</v>
      </c>
      <c r="Y1466" s="201"/>
      <c r="Z1466" s="829" t="str">
        <f t="shared" si="3611"/>
        <v/>
      </c>
      <c r="AA1466" s="829"/>
      <c r="AB1466" s="830" t="str">
        <f>IF(G1466=0,"",IF(AD1466="free","re-planting",IF(AD1466="me","not NVP, by",IF($AD$8="yes",(VLOOKUP(A1466,'Discount Lookup'!J:K,2)*G1466*(1-$AC$1786)*(1+$AC$1788)),IF(AD1466="NVP",(VLOOKUP(A1466,'Discount Lookup'!J:K,2)*G1466*(1-$AC$1786)*(1+$AC$1788)),IF(AD1466="free","re-planting",IF(G1466=0,"",IF($AD$8="",IF(AD1466="me","not NVP, by",IF(AD1466="",IF(G1466&gt;0,(VLOOKUP(A1466,'Discount Lookup'!J:K,2)*G1466*(1-$AC$1786)*(1+$AC$1788)),""),"")),"not NVP, by"))))))))</f>
        <v/>
      </c>
      <c r="AC1466" s="830"/>
      <c r="AD1466" s="375" t="str">
        <f t="shared" si="3612"/>
        <v/>
      </c>
      <c r="AE1466" s="833" t="str">
        <f t="shared" si="3427"/>
        <v/>
      </c>
      <c r="AF1466" s="833"/>
      <c r="AG1466" s="833"/>
      <c r="AH1466" s="91" t="str">
        <f>IF(AD1466="free",0,IF(AD1466="me","",IF(G1466&gt;0,(VLOOKUP(A1466,'Discount Lookup'!J:K,2)*G1466),"")))</f>
        <v/>
      </c>
      <c r="AI1466" s="92" t="str">
        <f t="shared" si="3481"/>
        <v/>
      </c>
      <c r="AJ1466" s="828" t="str">
        <f t="shared" si="3613"/>
        <v/>
      </c>
      <c r="AK1466" s="828"/>
      <c r="AL1466" s="313" t="str">
        <f t="shared" si="3510"/>
        <v/>
      </c>
      <c r="AM1466" s="312"/>
      <c r="AN1466" s="101"/>
      <c r="AO1466" s="101"/>
      <c r="AP1466" s="101"/>
      <c r="AQ1466" s="101"/>
      <c r="AR1466" s="101"/>
      <c r="AS1466" s="101"/>
      <c r="AT1466" s="101"/>
    </row>
    <row r="1467" spans="1:46" ht="12.95" customHeight="1">
      <c r="A1467" s="494"/>
      <c r="B1467" s="198" t="s">
        <v>973</v>
      </c>
      <c r="C1467" s="117"/>
      <c r="D1467" s="118"/>
      <c r="E1467" s="119"/>
      <c r="F1467" s="711"/>
      <c r="G1467" s="356"/>
      <c r="H1467" s="745"/>
      <c r="I1467" s="119"/>
      <c r="J1467" s="119"/>
      <c r="K1467" s="609"/>
      <c r="L1467" s="609"/>
      <c r="M1467" s="121"/>
      <c r="N1467" s="122" t="s">
        <v>176</v>
      </c>
      <c r="O1467" s="123"/>
      <c r="P1467" s="124"/>
      <c r="Q1467" s="124"/>
      <c r="R1467" s="83"/>
      <c r="S1467" s="82"/>
      <c r="T1467" s="540"/>
      <c r="U1467" s="83"/>
      <c r="V1467" s="100"/>
      <c r="W1467" s="100"/>
      <c r="X1467" s="100"/>
      <c r="Y1467" s="201"/>
      <c r="Z1467" s="829" t="str">
        <f t="shared" si="3611"/>
        <v/>
      </c>
      <c r="AA1467" s="829"/>
      <c r="AB1467" s="830" t="str">
        <f>IF(G1467=0,"",IF(AD1467="free","re-planting",IF(AD1467="me","not NVP, by",IF($AD$8="yes",(VLOOKUP(A1467,'Discount Lookup'!J:K,2)*G1467*(1-$AC$1786)*(1+$AC$1788)),IF(AD1467="NVP",(VLOOKUP(A1467,'Discount Lookup'!J:K,2)*G1467*(1-$AC$1786)*(1+$AC$1788)),IF(AD1467="free","re-planting",IF(G1467=0,"",IF($AD$8="",IF(AD1467="me","not NVP, by",IF(AD1467="",IF(G1467&gt;0,(VLOOKUP(A1467,'Discount Lookup'!J:K,2)*G1467*(1-$AC$1786)*(1+$AC$1788)),""),"")),"not NVP, by"))))))))</f>
        <v/>
      </c>
      <c r="AC1467" s="830"/>
      <c r="AD1467" s="375" t="str">
        <f t="shared" si="3612"/>
        <v/>
      </c>
      <c r="AE1467" s="833" t="str">
        <f t="shared" si="3427"/>
        <v/>
      </c>
      <c r="AF1467" s="833"/>
      <c r="AG1467" s="833"/>
      <c r="AH1467" s="91" t="s">
        <v>109</v>
      </c>
      <c r="AI1467" s="92" t="str">
        <f t="shared" si="3481"/>
        <v/>
      </c>
      <c r="AJ1467" s="828" t="str">
        <f t="shared" si="3613"/>
        <v/>
      </c>
      <c r="AK1467" s="828"/>
      <c r="AL1467" s="313" t="str">
        <f t="shared" si="3510"/>
        <v/>
      </c>
      <c r="AM1467" s="312"/>
      <c r="AN1467" s="101"/>
      <c r="AO1467" s="101"/>
      <c r="AP1467" s="101"/>
      <c r="AQ1467" s="101"/>
      <c r="AR1467" s="101"/>
      <c r="AS1467" s="101"/>
      <c r="AT1467" s="101"/>
    </row>
    <row r="1468" spans="1:46" ht="13.5" customHeight="1">
      <c r="A1468" s="933" t="s">
        <v>1660</v>
      </c>
      <c r="B1468" s="864"/>
      <c r="C1468" s="864"/>
      <c r="D1468" s="864"/>
      <c r="E1468" s="864"/>
      <c r="F1468" s="864"/>
      <c r="G1468" s="864"/>
      <c r="H1468" s="776" t="s">
        <v>624</v>
      </c>
      <c r="I1468" s="439" t="s">
        <v>280</v>
      </c>
      <c r="J1468" s="93"/>
      <c r="K1468" s="664" t="s">
        <v>45</v>
      </c>
      <c r="L1468" s="601" t="s">
        <v>46</v>
      </c>
      <c r="M1468" s="86"/>
      <c r="N1468" s="567" t="s">
        <v>1371</v>
      </c>
      <c r="O1468" s="567"/>
      <c r="P1468" s="667"/>
      <c r="Q1468" s="667"/>
      <c r="R1468" s="668"/>
      <c r="S1468" s="669"/>
      <c r="T1468" s="670"/>
      <c r="U1468" s="671" t="s">
        <v>1370</v>
      </c>
      <c r="V1468" s="100" t="b">
        <f>IF(G1468&gt;0,IF(AD1468="me","",G1468))</f>
        <v>0</v>
      </c>
      <c r="W1468" s="100"/>
      <c r="X1468" s="100"/>
      <c r="Y1468" s="201"/>
      <c r="Z1468" s="829" t="str">
        <f t="shared" ref="Z1468:Z1470" si="3619">IF(G1468=0,"",IF(AD1468="me","",IF($AD$8="me","",IF(AD1468="free","warranty",IF($AD$8="yes","NVP planting:","to NVP install:")))))</f>
        <v/>
      </c>
      <c r="AA1468" s="829"/>
      <c r="AB1468" s="830" t="str">
        <f>IF(G1468=0,"",IF(AD1468="free","re-planting",IF(AD1468="me","not NVP, by",IF($AD$8="yes",(VLOOKUP(A1468,'Discount Lookup'!J:K,2)*G1468*(1-$AC$1786)*(1+$AC$1788)),IF(AD1468="NVP",(VLOOKUP(A1468,'Discount Lookup'!J:K,2)*G1468*(1-$AC$1786)*(1+$AC$1788)),IF(AD1468="free","re-planting",IF(G1468=0,"",IF($AD$8="",IF(AD1468="me","not NVP, by",IF(AD1468="",IF(G1468&gt;0,(VLOOKUP(A1468,'Discount Lookup'!J:K,2)*G1468*(1-$AC$1786)*(1+$AC$1788)),""),"")),"not NVP, by"))))))))</f>
        <v/>
      </c>
      <c r="AC1468" s="830"/>
      <c r="AD1468" s="375" t="str">
        <f t="shared" ref="AD1468:AD1470" si="3620">IF(G1468=0,"",IF($AD$8="me","me",IF(H1468="warranty","free",IF($AD$8="yes","NVP",""))))</f>
        <v/>
      </c>
      <c r="AE1468" s="833" t="str">
        <f t="shared" ref="AE1468:AE1470" si="3621">IF(G1468&gt;0,(CONCATENATE((G1468)," quantity, ",(A1468)," ",B1468)),"")</f>
        <v/>
      </c>
      <c r="AF1468" s="833"/>
      <c r="AG1468" s="833"/>
      <c r="AH1468" s="91">
        <f>IF(AD1468="free",0,IF(AD1468="me",0,IF(G1468&gt;0,(VLOOKUP(A1468,'Discount Lookup'!J:K,2)*G1468),0)))</f>
        <v>0</v>
      </c>
      <c r="AI1468" s="92" t="str">
        <f t="shared" si="3481"/>
        <v/>
      </c>
      <c r="AJ1468" s="828" t="str">
        <f t="shared" ref="AJ1468:AJ1470" si="3622">IF(G1468=0,"",IF(AD1468="me","  delivery-only",IF($AD$8="me","  delivery-only",CONCATENATE(" $",ROUND(AI1468/G1468,2)," each"))))</f>
        <v/>
      </c>
      <c r="AK1468" s="828"/>
      <c r="AL1468" s="313" t="str">
        <f t="shared" si="3510"/>
        <v/>
      </c>
      <c r="AM1468" s="312"/>
      <c r="AN1468" s="101"/>
      <c r="AO1468" s="101"/>
      <c r="AP1468" s="101"/>
      <c r="AQ1468" s="101"/>
      <c r="AR1468" s="101"/>
      <c r="AS1468" s="101"/>
      <c r="AT1468" s="101"/>
    </row>
    <row r="1469" spans="1:46" ht="12.95" customHeight="1">
      <c r="A1469" s="456">
        <v>1</v>
      </c>
      <c r="B1469" s="87" t="s">
        <v>50</v>
      </c>
      <c r="C1469" s="692" t="s">
        <v>136</v>
      </c>
      <c r="D1469" s="129" t="s">
        <v>87</v>
      </c>
      <c r="E1469" s="98">
        <v>14.95</v>
      </c>
      <c r="F1469" s="705" t="s">
        <v>1306</v>
      </c>
      <c r="G1469" s="357">
        <v>0</v>
      </c>
      <c r="H1469" s="704" t="str">
        <f t="shared" ref="H1469" si="3623">IF(G1469=0,"",IF(F1469="Qty=",IF(G1469=1,"plant","plants"),IF(F1469&gt;0.0001,"warranty","Error")))</f>
        <v/>
      </c>
      <c r="I1469" s="98">
        <f t="shared" ref="I1469" si="3624">IF(F1469="Qty=",(E1469*G1469),((E1469*(1-F1469))*G1469))</f>
        <v>0</v>
      </c>
      <c r="J1469" s="98">
        <f>IF(H1469="warranty",0,(I1469*($J$1782)))</f>
        <v>0</v>
      </c>
      <c r="K1469" s="831">
        <f t="shared" ref="K1469" si="3625">I1469+J1469</f>
        <v>0</v>
      </c>
      <c r="L1469" s="831"/>
      <c r="M1469" s="832" t="str">
        <f>IF($H$1784=0,"",IF(G1469=0,"",IF(F1469="Qty=",CONCATENATE("$",ROUND(K1469*(1-$H$1784),2)," with ",($H$1784*100),"% discount"),CONCATENATE("$",ROUND(K1469*(1-$H$1784),2)," with ",(($H$1784*100+F1469*100)-($H$1784*100*F1469)),IF(F1469&gt;0,"% discounts",IF($H$1781&gt;0,"% discounts","% discount"))))))</f>
        <v/>
      </c>
      <c r="N1469" s="832"/>
      <c r="O1469" s="832"/>
      <c r="P1469" s="832"/>
      <c r="Q1469" s="832"/>
      <c r="R1469" s="832"/>
      <c r="S1469" s="303">
        <f t="shared" ref="S1469" si="3626">E1469*G1469</f>
        <v>0</v>
      </c>
      <c r="T1469" s="541">
        <f>VLOOKUP(A1469,'Discount Lookup'!D:E,2,FALSE)*G1469</f>
        <v>0</v>
      </c>
      <c r="U1469" s="83">
        <f>VLOOKUP(A1469,'Discount Lookup'!G:H,2,FALSE)*G1469</f>
        <v>0</v>
      </c>
      <c r="V1469" s="100">
        <f>E1469*($J$1782)*G1469</f>
        <v>0</v>
      </c>
      <c r="W1469" s="100">
        <f t="shared" ref="W1469" si="3627">I1469</f>
        <v>0</v>
      </c>
      <c r="X1469" s="100" t="b">
        <f>IF(G1469&gt;0,IF(AD1469="me","",G1469))</f>
        <v>0</v>
      </c>
      <c r="Y1469" s="201"/>
      <c r="Z1469" s="829" t="str">
        <f t="shared" si="3619"/>
        <v/>
      </c>
      <c r="AA1469" s="829"/>
      <c r="AB1469" s="830" t="str">
        <f>IF(G1469=0,"",IF(AD1469="free","re-planting",IF(AD1469="me","not NVP, by",IF($AD$8="yes",(VLOOKUP(A1469,'Discount Lookup'!J:K,2)*G1469*(1-$AC$1786)*(1+$AC$1788)),IF(AD1469="NVP",(VLOOKUP(A1469,'Discount Lookup'!J:K,2)*G1469*(1-$AC$1786)*(1+$AC$1788)),IF(AD1469="free","re-planting",IF(G1469=0,"",IF($AD$8="",IF(AD1469="me","not NVP, by",IF(AD1469="",IF(G1469&gt;0,(VLOOKUP(A1469,'Discount Lookup'!J:K,2)*G1469*(1-$AC$1786)*(1+$AC$1788)),""),"")),"not NVP, by"))))))))</f>
        <v/>
      </c>
      <c r="AC1469" s="830"/>
      <c r="AD1469" s="375" t="str">
        <f t="shared" si="3620"/>
        <v/>
      </c>
      <c r="AE1469" s="833" t="str">
        <f t="shared" si="3621"/>
        <v/>
      </c>
      <c r="AF1469" s="833"/>
      <c r="AG1469" s="833"/>
      <c r="AH1469" s="91">
        <f>IF(AD1469="free",0,IF(AD1469="me",0,IF(G1469&gt;0,(VLOOKUP(A1469,'Discount Lookup'!J:K,2)*G1469),0)))</f>
        <v>0</v>
      </c>
      <c r="AI1469" s="92" t="str">
        <f t="shared" si="3481"/>
        <v/>
      </c>
      <c r="AJ1469" s="828" t="str">
        <f t="shared" si="3622"/>
        <v/>
      </c>
      <c r="AK1469" s="828"/>
      <c r="AL1469" s="313" t="str">
        <f t="shared" si="3510"/>
        <v/>
      </c>
      <c r="AM1469" s="312"/>
      <c r="AN1469" s="101"/>
      <c r="AO1469" s="101"/>
      <c r="AP1469" s="101"/>
      <c r="AQ1469" s="101"/>
      <c r="AR1469" s="101"/>
      <c r="AS1469" s="101"/>
      <c r="AT1469" s="101"/>
    </row>
    <row r="1470" spans="1:46" ht="12.95" customHeight="1">
      <c r="A1470" s="494"/>
      <c r="B1470" s="198" t="s">
        <v>1576</v>
      </c>
      <c r="C1470" s="117"/>
      <c r="D1470" s="118"/>
      <c r="E1470" s="119"/>
      <c r="F1470" s="711"/>
      <c r="G1470" s="356"/>
      <c r="H1470" s="745"/>
      <c r="I1470" s="119"/>
      <c r="J1470" s="934"/>
      <c r="K1470" s="934"/>
      <c r="L1470" s="934"/>
      <c r="M1470" s="48"/>
      <c r="N1470" s="122"/>
      <c r="O1470" s="123"/>
      <c r="P1470" s="124"/>
      <c r="Q1470" s="124"/>
      <c r="R1470" s="83"/>
      <c r="S1470" s="82">
        <f>E1470*G1470</f>
        <v>0</v>
      </c>
      <c r="T1470" s="540"/>
      <c r="U1470" s="83"/>
      <c r="V1470" s="100" t="b">
        <f>IF(G1470&gt;0,IF(AD1470="me","",G1470))</f>
        <v>0</v>
      </c>
      <c r="W1470" s="100"/>
      <c r="X1470" s="100"/>
      <c r="Y1470" s="201"/>
      <c r="Z1470" s="829" t="str">
        <f t="shared" si="3619"/>
        <v/>
      </c>
      <c r="AA1470" s="829"/>
      <c r="AB1470" s="830" t="str">
        <f>IF(G1470=0,"",IF(AD1470="free","re-planting",IF(AD1470="me","not NVP, by",IF($AD$8="yes",(VLOOKUP(A1470,'Discount Lookup'!J:K,2)*G1470*(1-$AC$1786)*(1+$AC$1788)),IF(AD1470="NVP",(VLOOKUP(A1470,'Discount Lookup'!J:K,2)*G1470*(1-$AC$1786)*(1+$AC$1788)),IF(AD1470="free","re-planting",IF(G1470=0,"",IF($AD$8="",IF(AD1470="me","not NVP, by",IF(AD1470="",IF(G1470&gt;0,(VLOOKUP(A1470,'Discount Lookup'!J:K,2)*G1470*(1-$AC$1786)*(1+$AC$1788)),""),"")),"not NVP, by"))))))))</f>
        <v/>
      </c>
      <c r="AC1470" s="830"/>
      <c r="AD1470" s="375" t="str">
        <f t="shared" si="3620"/>
        <v/>
      </c>
      <c r="AE1470" s="833" t="str">
        <f t="shared" si="3621"/>
        <v/>
      </c>
      <c r="AF1470" s="833"/>
      <c r="AG1470" s="833"/>
      <c r="AH1470" s="91">
        <f>IF(AD1470="free",0,IF(AD1470="me",0,IF(G1470&gt;0,(VLOOKUP(A1470,'Discount Lookup'!J:K,2)*G1470),0)))</f>
        <v>0</v>
      </c>
      <c r="AI1470" s="92" t="str">
        <f t="shared" si="3481"/>
        <v/>
      </c>
      <c r="AJ1470" s="828" t="str">
        <f t="shared" si="3622"/>
        <v/>
      </c>
      <c r="AK1470" s="828"/>
      <c r="AL1470" s="313" t="str">
        <f t="shared" si="3510"/>
        <v/>
      </c>
      <c r="AM1470" s="312"/>
      <c r="AN1470" s="101"/>
      <c r="AO1470" s="101"/>
      <c r="AP1470" s="101"/>
      <c r="AQ1470" s="101"/>
      <c r="AR1470" s="101"/>
      <c r="AS1470" s="101"/>
      <c r="AT1470" s="101"/>
    </row>
    <row r="1471" spans="1:46" ht="12.95" customHeight="1">
      <c r="A1471" s="499"/>
      <c r="D1471" s="142"/>
      <c r="G1471" s="361"/>
      <c r="H1471" s="749"/>
      <c r="M1471" s="212"/>
      <c r="N1471" s="840"/>
      <c r="O1471" s="840"/>
      <c r="P1471" s="124"/>
      <c r="Q1471" s="841" t="s">
        <v>125</v>
      </c>
      <c r="R1471" s="841"/>
      <c r="S1471" s="841"/>
      <c r="T1471" s="841"/>
      <c r="U1471" s="841"/>
      <c r="V1471" s="841"/>
      <c r="Y1471" s="132"/>
      <c r="Z1471" s="829" t="str">
        <f t="shared" si="3442"/>
        <v/>
      </c>
      <c r="AA1471" s="829"/>
      <c r="AB1471" s="830" t="str">
        <f>IF(G1471=0,"",IF(AD1471="free","re-planting",IF(AD1471="me","not NVP, by",IF($AD$8="yes",(VLOOKUP(A1471,'Discount Lookup'!J:K,2)*G1471*(1-$AC$1786)*(1+$AC$1788)),IF(AD1471="NVP",(VLOOKUP(A1471,'Discount Lookup'!J:K,2)*G1471*(1-$AC$1786)*(1+$AC$1788)),IF(AD1471="free","re-planting",IF(G1471=0,"",IF($AD$8="",IF(AD1471="me","not NVP, by",IF(AD1471="",IF(G1471&gt;0,(VLOOKUP(A1471,'Discount Lookup'!J:K,2)*G1471*(1-$AC$1786)*(1+$AC$1788)),""),"")),"not NVP, by"))))))))</f>
        <v/>
      </c>
      <c r="AC1471" s="830"/>
      <c r="AD1471" s="375" t="str">
        <f t="shared" si="3560"/>
        <v/>
      </c>
      <c r="AE1471" s="833" t="str">
        <f t="shared" si="3427"/>
        <v/>
      </c>
      <c r="AF1471" s="833"/>
      <c r="AG1471" s="833"/>
      <c r="AH1471" s="91">
        <f>IF(AD1471="free",0,IF(AD1471="me",0,IF(G1471&gt;0,(VLOOKUP(A1471,'Discount Lookup'!J:K,2)*G1471),0)))</f>
        <v>0</v>
      </c>
      <c r="AI1471" s="92" t="str">
        <f t="shared" ref="AI1471:AI1534" si="3628">IF(G1471=0,"",IF(AD1471="free",(K1471*(1-$H$1784)),IF($AD$8="me",(K1471*(1-$H$1784)),IF(AD1471="me",(K1471*(1-$H$1784)),(K1471*(1-$H$1784))+AB1471))))</f>
        <v/>
      </c>
      <c r="AJ1471" s="828" t="str">
        <f t="shared" si="3444"/>
        <v/>
      </c>
      <c r="AK1471" s="828"/>
      <c r="AL1471" s="313" t="str">
        <f t="shared" si="3510"/>
        <v/>
      </c>
      <c r="AM1471" s="312"/>
      <c r="AN1471" s="101"/>
      <c r="AO1471" s="101"/>
      <c r="AP1471" s="101"/>
      <c r="AQ1471" s="101"/>
      <c r="AR1471" s="101"/>
      <c r="AS1471" s="101"/>
      <c r="AT1471" s="101"/>
    </row>
    <row r="1472" spans="1:46" ht="12.95" customHeight="1">
      <c r="A1472" s="414" t="s">
        <v>783</v>
      </c>
      <c r="B1472" s="415"/>
      <c r="C1472" s="416"/>
      <c r="D1472" s="417"/>
      <c r="E1472" s="413"/>
      <c r="F1472" s="723"/>
      <c r="G1472" s="418"/>
      <c r="H1472" s="756"/>
      <c r="I1472" s="519" t="str">
        <f>IF($A$8="show",COUNTIF($G$1472:$G$1612,"&gt;0"),IF($E$1="Quote","",IF($E$1="Order","",IF($E$1="Delivered","",IF($E$1="Completed","",IF(SUM($G$1472:$G$1612)=0,"",COUNTIF($G$1472:$G$1612,"&gt;0")))))))</f>
        <v/>
      </c>
      <c r="J1472" s="520" t="str">
        <f>IF($A$8="show",CONCATENATE("EG picked, ",SUM($G$1472:$G$1612)," EG plants total"),IF($E$1="Quote","",IF($E$1="Order","",IF($E$1="Delivered","",IF($E$1="Completed","",IF(SUM($G$1472:$G$1612)&gt;0,CONCATENATE("EG picked, ",SUM($G$1472:$G$1612)," EG plants total"),""))))))</f>
        <v/>
      </c>
      <c r="K1472" s="614"/>
      <c r="L1472" s="527"/>
      <c r="M1472" s="856" t="s">
        <v>258</v>
      </c>
      <c r="N1472" s="857"/>
      <c r="O1472" s="858"/>
      <c r="P1472" s="873" t="s">
        <v>259</v>
      </c>
      <c r="Q1472" s="874"/>
      <c r="R1472" s="874"/>
      <c r="S1472" s="874"/>
      <c r="T1472" s="874"/>
      <c r="U1472" s="874"/>
      <c r="V1472" s="100"/>
      <c r="W1472" s="100"/>
      <c r="X1472" s="100"/>
      <c r="Y1472" s="201"/>
      <c r="Z1472" s="829" t="str">
        <f t="shared" si="3442"/>
        <v/>
      </c>
      <c r="AA1472" s="829"/>
      <c r="AB1472" s="830" t="str">
        <f>IF(G1472=0,"",IF(AD1472="free","re-planting",IF(AD1472="me","not NVP, by",IF($AD$8="yes",(VLOOKUP(A1472,'Discount Lookup'!J:K,2)*G1472*(1-$AC$1786)*(1+$AC$1788)),IF(AD1472="NVP",(VLOOKUP(A1472,'Discount Lookup'!J:K,2)*G1472*(1-$AC$1786)*(1+$AC$1788)),IF(AD1472="free","re-planting",IF(G1472=0,"",IF($AD$8="",IF(AD1472="me","not NVP, by",IF(AD1472="",IF(G1472&gt;0,(VLOOKUP(A1472,'Discount Lookup'!J:K,2)*G1472*(1-$AC$1786)*(1+$AC$1788)),""),"")),"not NVP, by"))))))))</f>
        <v/>
      </c>
      <c r="AC1472" s="830"/>
      <c r="AD1472" s="375" t="str">
        <f t="shared" si="3560"/>
        <v/>
      </c>
      <c r="AE1472" s="833" t="str">
        <f t="shared" si="3427"/>
        <v/>
      </c>
      <c r="AF1472" s="833"/>
      <c r="AG1472" s="833"/>
      <c r="AH1472" s="91">
        <f>IF(AD1472="free",0,IF(AD1472="me",0,IF(G1472&gt;0,(VLOOKUP(A1472,'Discount Lookup'!J:K,2)*G1472),0)))</f>
        <v>0</v>
      </c>
      <c r="AI1472" s="92" t="str">
        <f t="shared" si="3628"/>
        <v/>
      </c>
      <c r="AJ1472" s="828" t="str">
        <f t="shared" si="3444"/>
        <v/>
      </c>
      <c r="AK1472" s="828"/>
      <c r="AL1472" s="313" t="str">
        <f t="shared" si="3510"/>
        <v/>
      </c>
      <c r="AM1472" s="312"/>
      <c r="AN1472" s="101"/>
      <c r="AO1472" s="101"/>
      <c r="AP1472" s="101"/>
      <c r="AQ1472" s="101"/>
      <c r="AR1472" s="101"/>
      <c r="AS1472" s="101"/>
      <c r="AT1472" s="101"/>
    </row>
    <row r="1473" spans="1:46" ht="12.95" customHeight="1">
      <c r="A1473" s="929" t="s">
        <v>784</v>
      </c>
      <c r="B1473" s="902"/>
      <c r="C1473" s="902"/>
      <c r="D1473" s="902"/>
      <c r="E1473" s="902"/>
      <c r="F1473" s="902"/>
      <c r="G1473" s="902"/>
      <c r="H1473" s="776" t="s">
        <v>785</v>
      </c>
      <c r="I1473" s="88" t="s">
        <v>79</v>
      </c>
      <c r="J1473" s="86"/>
      <c r="K1473" s="603" t="s">
        <v>45</v>
      </c>
      <c r="L1473" s="601" t="s">
        <v>46</v>
      </c>
      <c r="M1473" s="86"/>
      <c r="N1473" s="87" t="s">
        <v>69</v>
      </c>
      <c r="O1473" s="87"/>
      <c r="P1473" s="87"/>
      <c r="Q1473" s="87"/>
      <c r="R1473" s="835" t="s">
        <v>49</v>
      </c>
      <c r="S1473" s="835"/>
      <c r="T1473" s="835"/>
      <c r="U1473" s="835"/>
      <c r="V1473" s="100" t="b">
        <f>IF(G1473&gt;0,IF(AD1473="me","",G1473))</f>
        <v>0</v>
      </c>
      <c r="W1473" s="100"/>
      <c r="X1473" s="100"/>
      <c r="Y1473" s="201"/>
      <c r="Z1473" s="829" t="str">
        <f t="shared" ref="Z1473:Z1476" si="3629">IF(G1473=0,"",IF(AD1473="me","",IF($AD$8="me","",IF(AD1473="free","warranty",IF($AD$8="yes","NVP planting:","to NVP install:")))))</f>
        <v/>
      </c>
      <c r="AA1473" s="829"/>
      <c r="AB1473" s="830" t="str">
        <f>IF(G1473=0,"",IF(AD1473="free","re-planting",IF(AD1473="me","not NVP, by",IF($AD$8="yes",(VLOOKUP(A1473,'Discount Lookup'!J:K,2)*G1473*(1-$AC$1786)*(1+$AC$1788)),IF(AD1473="NVP",(VLOOKUP(A1473,'Discount Lookup'!J:K,2)*G1473*(1-$AC$1786)*(1+$AC$1788)),IF(AD1473="free","re-planting",IF(G1473=0,"",IF($AD$8="",IF(AD1473="me","not NVP, by",IF(AD1473="",IF(G1473&gt;0,(VLOOKUP(A1473,'Discount Lookup'!J:K,2)*G1473*(1-$AC$1786)*(1+$AC$1788)),""),"")),"not NVP, by"))))))))</f>
        <v/>
      </c>
      <c r="AC1473" s="830"/>
      <c r="AD1473" s="375" t="str">
        <f t="shared" si="3560"/>
        <v/>
      </c>
      <c r="AE1473" s="833" t="str">
        <f t="shared" ref="AE1473:AE1476" si="3630">IF(G1473&gt;0,(CONCATENATE((G1473)," quantity, ",(A1473)," ",B1473)),"")</f>
        <v/>
      </c>
      <c r="AF1473" s="833"/>
      <c r="AG1473" s="833"/>
      <c r="AH1473" s="91" t="str">
        <f>IF(AD1473="free",0,IF(AD1473="me","",IF(G1473&gt;0,(VLOOKUP(A1473,'Discount Lookup'!J:K,2)*G1473),"")))</f>
        <v/>
      </c>
      <c r="AI1473" s="92" t="str">
        <f t="shared" si="3628"/>
        <v/>
      </c>
      <c r="AJ1473" s="828" t="str">
        <f t="shared" ref="AJ1473:AJ1476" si="3631">IF(G1473=0,"",IF(AD1473="me","  delivery-only",IF($AD$8="me","  delivery-only",CONCATENATE(" $",ROUND(AI1473/G1473,2)," each"))))</f>
        <v/>
      </c>
      <c r="AK1473" s="828"/>
      <c r="AL1473" s="313" t="str">
        <f t="shared" si="3510"/>
        <v/>
      </c>
      <c r="AM1473" s="312"/>
      <c r="AN1473" s="101"/>
      <c r="AO1473" s="101"/>
      <c r="AP1473" s="101"/>
      <c r="AQ1473" s="101"/>
      <c r="AR1473" s="101"/>
      <c r="AS1473" s="101"/>
      <c r="AT1473" s="101"/>
    </row>
    <row r="1474" spans="1:46" ht="12.95" customHeight="1">
      <c r="A1474" s="419">
        <v>3</v>
      </c>
      <c r="B1474" s="87" t="s">
        <v>50</v>
      </c>
      <c r="C1474" s="399" t="s">
        <v>136</v>
      </c>
      <c r="D1474" s="129" t="s">
        <v>86</v>
      </c>
      <c r="E1474" s="98">
        <v>28.95</v>
      </c>
      <c r="F1474" s="705" t="s">
        <v>1306</v>
      </c>
      <c r="G1474" s="357">
        <v>0</v>
      </c>
      <c r="H1474" s="704" t="str">
        <f t="shared" ref="H1474" si="3632">IF(G1474=0,"",IF(F1474="Qty=",IF(G1474=1,"plant","plants"),IF(F1474&gt;0.0001,"warranty","Error")))</f>
        <v/>
      </c>
      <c r="I1474" s="98">
        <f t="shared" ref="I1474" si="3633">IF(F1474="Qty=",(E1474*G1474),((E1474*(1-F1474))*G1474))</f>
        <v>0</v>
      </c>
      <c r="J1474" s="98">
        <f>IF(H1474="warranty",0,(I1474*($J$1782)))</f>
        <v>0</v>
      </c>
      <c r="K1474" s="831">
        <f t="shared" ref="K1474:K1475" si="3634">I1474+J1474</f>
        <v>0</v>
      </c>
      <c r="L1474" s="831"/>
      <c r="M1474" s="832" t="str">
        <f>IF($H$1784=0,"",IF(G1474=0,"",IF(F1474="Qty=",CONCATENATE("$",ROUND(K1474*(1-$H$1784),2)," with ",($H$1784*100),"% discount"),CONCATENATE("$",ROUND(K1474*(1-$H$1784),2)," with ",(($H$1784*100+F1474*100)-($H$1784*100*F1474)),IF(F1474&gt;0,"% discounts",IF($H$1781&gt;0,"% discounts","% discount"))))))</f>
        <v/>
      </c>
      <c r="N1474" s="832"/>
      <c r="O1474" s="832"/>
      <c r="P1474" s="832"/>
      <c r="Q1474" s="832"/>
      <c r="R1474" s="832"/>
      <c r="S1474" s="303">
        <f t="shared" ref="S1474" si="3635">E1474*G1474</f>
        <v>0</v>
      </c>
      <c r="T1474" s="541">
        <f>VLOOKUP(A1474,'Discount Lookup'!D:E,2,FALSE)*G1474</f>
        <v>0</v>
      </c>
      <c r="U1474" s="83">
        <f>VLOOKUP(A1474,'Discount Lookup'!G:H,2,FALSE)*G1474</f>
        <v>0</v>
      </c>
      <c r="V1474" s="100">
        <f>E1474*($J$1782)*G1474</f>
        <v>0</v>
      </c>
      <c r="W1474" s="100">
        <f t="shared" ref="W1474" si="3636">I1474</f>
        <v>0</v>
      </c>
      <c r="X1474" s="100" t="b">
        <f>IF(G1474&gt;0,IF(AD1474="me","",G1474))</f>
        <v>0</v>
      </c>
      <c r="Y1474" s="201"/>
      <c r="Z1474" s="829" t="str">
        <f t="shared" ref="Z1474" si="3637">IF(G1474=0,"",IF(AD1474="me","",IF($AD$8="me","",IF(AD1474="free","warranty",IF($AD$8="yes","NVP planting:","to NVP install:")))))</f>
        <v/>
      </c>
      <c r="AA1474" s="829"/>
      <c r="AB1474" s="830" t="str">
        <f>IF(G1474=0,"",IF(AD1474="free","re-planting",IF(AD1474="me","not NVP, by",IF($AD$8="yes",(VLOOKUP(A1474,'Discount Lookup'!J:K,2)*G1474*(1-$AC$1786)*(1+$AC$1788)),IF(AD1474="NVP",(VLOOKUP(A1474,'Discount Lookup'!J:K,2)*G1474*(1-$AC$1786)*(1+$AC$1788)),IF(AD1474="free","re-planting",IF(G1474=0,"",IF($AD$8="",IF(AD1474="me","not NVP, by",IF(AD1474="",IF(G1474&gt;0,(VLOOKUP(A1474,'Discount Lookup'!J:K,2)*G1474*(1-$AC$1786)*(1+$AC$1788)),""),"")),"not NVP, by"))))))))</f>
        <v/>
      </c>
      <c r="AC1474" s="830"/>
      <c r="AD1474" s="375" t="str">
        <f t="shared" si="3560"/>
        <v/>
      </c>
      <c r="AE1474" s="833" t="str">
        <f t="shared" ref="AE1474" si="3638">IF(G1474&gt;0,(CONCATENATE((G1474)," quantity, ",(A1474)," ",B1474)),"")</f>
        <v/>
      </c>
      <c r="AF1474" s="833"/>
      <c r="AG1474" s="833"/>
      <c r="AH1474" s="91" t="str">
        <f>IF(AD1474="free",0,IF(AD1474="me","",IF(G1474&gt;0,(VLOOKUP(A1474,'Discount Lookup'!J:K,2)*G1474),"")))</f>
        <v/>
      </c>
      <c r="AI1474" s="92" t="str">
        <f t="shared" si="3628"/>
        <v/>
      </c>
      <c r="AJ1474" s="828" t="str">
        <f t="shared" ref="AJ1474" si="3639">IF(G1474=0,"",IF(AD1474="me","  delivery-only",IF($AD$8="me","  delivery-only",CONCATENATE(" $",ROUND(AI1474/G1474,2)," each"))))</f>
        <v/>
      </c>
      <c r="AK1474" s="828"/>
      <c r="AL1474" s="313" t="str">
        <f t="shared" si="3510"/>
        <v/>
      </c>
      <c r="AM1474" s="312"/>
      <c r="AN1474" s="101"/>
      <c r="AO1474" s="101"/>
      <c r="AP1474" s="101"/>
      <c r="AQ1474" s="101"/>
      <c r="AR1474" s="101"/>
      <c r="AS1474" s="101"/>
      <c r="AT1474" s="101"/>
    </row>
    <row r="1475" spans="1:46" ht="12.95" customHeight="1">
      <c r="A1475" s="419">
        <v>3</v>
      </c>
      <c r="B1475" s="87" t="s">
        <v>50</v>
      </c>
      <c r="C1475" s="399" t="s">
        <v>136</v>
      </c>
      <c r="D1475" s="129" t="s">
        <v>87</v>
      </c>
      <c r="E1475" s="98">
        <v>33.950000000000003</v>
      </c>
      <c r="F1475" s="705" t="s">
        <v>1306</v>
      </c>
      <c r="G1475" s="357">
        <v>0</v>
      </c>
      <c r="H1475" s="704" t="str">
        <f t="shared" ref="H1475" si="3640">IF(G1475=0,"",IF(F1475="Qty=",IF(G1475=1,"plant","plants"),IF(F1475&gt;0.0001,"warranty","Error")))</f>
        <v/>
      </c>
      <c r="I1475" s="98">
        <f t="shared" ref="I1475" si="3641">IF(F1475="Qty=",(E1475*G1475),((E1475*(1-F1475))*G1475))</f>
        <v>0</v>
      </c>
      <c r="J1475" s="98">
        <f>IF(H1475="warranty",0,(I1475*($J$1782)))</f>
        <v>0</v>
      </c>
      <c r="K1475" s="831">
        <f t="shared" si="3634"/>
        <v>0</v>
      </c>
      <c r="L1475" s="831"/>
      <c r="M1475" s="832" t="str">
        <f>IF($H$1784=0,"",IF(G1475=0,"",IF(F1475="Qty=",CONCATENATE("$",ROUND(K1475*(1-$H$1784),2)," with ",($H$1784*100),"% discount"),CONCATENATE("$",ROUND(K1475*(1-$H$1784),2)," with ",(($H$1784*100+F1475*100)-($H$1784*100*F1475)),IF(F1475&gt;0,"% discounts",IF($H$1781&gt;0,"% discounts","% discount"))))))</f>
        <v/>
      </c>
      <c r="N1475" s="832"/>
      <c r="O1475" s="832"/>
      <c r="P1475" s="832"/>
      <c r="Q1475" s="832"/>
      <c r="R1475" s="832"/>
      <c r="S1475" s="303">
        <f t="shared" ref="S1475" si="3642">E1475*G1475</f>
        <v>0</v>
      </c>
      <c r="T1475" s="541">
        <f>VLOOKUP(A1475,'Discount Lookup'!D:E,2,FALSE)*G1475</f>
        <v>0</v>
      </c>
      <c r="U1475" s="83">
        <f>VLOOKUP(A1475,'Discount Lookup'!G:H,2,FALSE)*G1475</f>
        <v>0</v>
      </c>
      <c r="V1475" s="100">
        <f>E1475*($J$1782)*G1475</f>
        <v>0</v>
      </c>
      <c r="W1475" s="100">
        <f t="shared" ref="W1475" si="3643">I1475</f>
        <v>0</v>
      </c>
      <c r="X1475" s="100" t="b">
        <f>IF(G1475&gt;0,IF(AD1475="me","",G1475))</f>
        <v>0</v>
      </c>
      <c r="Y1475" s="201"/>
      <c r="Z1475" s="829" t="str">
        <f t="shared" si="3629"/>
        <v/>
      </c>
      <c r="AA1475" s="829"/>
      <c r="AB1475" s="830" t="str">
        <f>IF(G1475=0,"",IF(AD1475="free","re-planting",IF(AD1475="me","not NVP, by",IF($AD$8="yes",(VLOOKUP(A1475,'Discount Lookup'!J:K,2)*G1475*(1-$AC$1786)*(1+$AC$1788)),IF(AD1475="NVP",(VLOOKUP(A1475,'Discount Lookup'!J:K,2)*G1475*(1-$AC$1786)*(1+$AC$1788)),IF(AD1475="free","re-planting",IF(G1475=0,"",IF($AD$8="",IF(AD1475="me","not NVP, by",IF(AD1475="",IF(G1475&gt;0,(VLOOKUP(A1475,'Discount Lookup'!J:K,2)*G1475*(1-$AC$1786)*(1+$AC$1788)),""),"")),"not NVP, by"))))))))</f>
        <v/>
      </c>
      <c r="AC1475" s="830"/>
      <c r="AD1475" s="375" t="str">
        <f t="shared" si="3560"/>
        <v/>
      </c>
      <c r="AE1475" s="833" t="str">
        <f t="shared" si="3630"/>
        <v/>
      </c>
      <c r="AF1475" s="833"/>
      <c r="AG1475" s="833"/>
      <c r="AH1475" s="91" t="str">
        <f>IF(AD1475="free",0,IF(AD1475="me","",IF(G1475&gt;0,(VLOOKUP(A1475,'Discount Lookup'!J:K,2)*G1475),"")))</f>
        <v/>
      </c>
      <c r="AI1475" s="92" t="str">
        <f t="shared" si="3628"/>
        <v/>
      </c>
      <c r="AJ1475" s="828" t="str">
        <f t="shared" si="3631"/>
        <v/>
      </c>
      <c r="AK1475" s="828"/>
      <c r="AL1475" s="313" t="str">
        <f t="shared" si="3510"/>
        <v/>
      </c>
      <c r="AM1475" s="312"/>
      <c r="AN1475" s="101"/>
      <c r="AO1475" s="101"/>
      <c r="AP1475" s="101"/>
      <c r="AQ1475" s="101"/>
      <c r="AR1475" s="101"/>
      <c r="AS1475" s="101"/>
      <c r="AT1475" s="101"/>
    </row>
    <row r="1476" spans="1:46" ht="12.95" customHeight="1">
      <c r="A1476" s="465"/>
      <c r="B1476" s="198" t="s">
        <v>786</v>
      </c>
      <c r="C1476" s="130"/>
      <c r="D1476" s="104"/>
      <c r="E1476" s="131"/>
      <c r="F1476" s="710"/>
      <c r="G1476" s="356"/>
      <c r="H1476" s="744"/>
      <c r="I1476" s="131"/>
      <c r="J1476" s="131"/>
      <c r="K1476" s="608"/>
      <c r="L1476" s="608"/>
      <c r="M1476" s="121"/>
      <c r="N1476" s="121"/>
      <c r="O1476" s="123"/>
      <c r="P1476" s="124"/>
      <c r="Q1476" s="124"/>
      <c r="R1476" s="83"/>
      <c r="S1476" s="82">
        <f>E1476*G1476</f>
        <v>0</v>
      </c>
      <c r="T1476" s="540"/>
      <c r="U1476" s="83"/>
      <c r="V1476" s="100" t="b">
        <f>IF(G1476&gt;0,IF(AD1476="me","",G1476))</f>
        <v>0</v>
      </c>
      <c r="W1476" s="100"/>
      <c r="X1476" s="100"/>
      <c r="Y1476" s="201"/>
      <c r="Z1476" s="829" t="str">
        <f t="shared" si="3629"/>
        <v/>
      </c>
      <c r="AA1476" s="829"/>
      <c r="AB1476" s="830" t="str">
        <f>IF(G1476=0,"",IF(AD1476="free","re-planting",IF(AD1476="me","not NVP, by",IF($AD$8="yes",(VLOOKUP(A1476,'Discount Lookup'!J:K,2)*G1476*(1-$AC$1786)*(1+$AC$1788)),IF(AD1476="NVP",(VLOOKUP(A1476,'Discount Lookup'!J:K,2)*G1476*(1-$AC$1786)*(1+$AC$1788)),IF(AD1476="free","re-planting",IF(G1476=0,"",IF($AD$8="",IF(AD1476="me","not NVP, by",IF(AD1476="",IF(G1476&gt;0,(VLOOKUP(A1476,'Discount Lookup'!J:K,2)*G1476*(1-$AC$1786)*(1+$AC$1788)),""),"")),"not NVP, by"))))))))</f>
        <v/>
      </c>
      <c r="AC1476" s="830"/>
      <c r="AD1476" s="375" t="str">
        <f t="shared" si="3560"/>
        <v/>
      </c>
      <c r="AE1476" s="833" t="str">
        <f t="shared" si="3630"/>
        <v/>
      </c>
      <c r="AF1476" s="833"/>
      <c r="AG1476" s="833"/>
      <c r="AH1476" s="91" t="str">
        <f>IF(AD1476="free",0,IF(AD1476="me","",IF(G1476&gt;0,(VLOOKUP(A1476,'Discount Lookup'!J:K,2)*G1476),"")))</f>
        <v/>
      </c>
      <c r="AI1476" s="92" t="str">
        <f t="shared" si="3628"/>
        <v/>
      </c>
      <c r="AJ1476" s="828" t="str">
        <f t="shared" si="3631"/>
        <v/>
      </c>
      <c r="AK1476" s="828"/>
      <c r="AL1476" s="313" t="str">
        <f t="shared" si="3510"/>
        <v/>
      </c>
      <c r="AM1476" s="312"/>
      <c r="AN1476" s="101"/>
      <c r="AO1476" s="101"/>
      <c r="AP1476" s="101"/>
      <c r="AQ1476" s="101"/>
      <c r="AR1476" s="101"/>
      <c r="AS1476" s="101"/>
      <c r="AT1476" s="101"/>
    </row>
    <row r="1477" spans="1:46" ht="12.95" customHeight="1">
      <c r="A1477" s="929" t="s">
        <v>787</v>
      </c>
      <c r="B1477" s="902"/>
      <c r="C1477" s="902"/>
      <c r="D1477" s="902"/>
      <c r="E1477" s="902"/>
      <c r="F1477" s="902"/>
      <c r="G1477" s="902"/>
      <c r="H1477" s="776" t="s">
        <v>186</v>
      </c>
      <c r="I1477" s="88" t="s">
        <v>788</v>
      </c>
      <c r="J1477" s="86"/>
      <c r="K1477" s="603" t="s">
        <v>45</v>
      </c>
      <c r="L1477" s="601" t="s">
        <v>46</v>
      </c>
      <c r="M1477" s="86"/>
      <c r="N1477" s="87" t="s">
        <v>69</v>
      </c>
      <c r="O1477" s="87"/>
      <c r="P1477" s="87"/>
      <c r="Q1477" s="87"/>
      <c r="R1477" s="86"/>
      <c r="S1477" s="125"/>
      <c r="T1477" s="543"/>
      <c r="U1477" s="112"/>
      <c r="V1477" s="100" t="b">
        <f>IF(G1477&gt;0,IF(AD1477="me","",G1477))</f>
        <v>0</v>
      </c>
      <c r="W1477" s="100"/>
      <c r="X1477" s="100"/>
      <c r="Y1477" s="201"/>
      <c r="Z1477" s="829" t="str">
        <f t="shared" ref="Z1477:Z1528" si="3644">IF(G1477=0,"",IF(AD1477="me","",IF($AD$8="me","",IF(AD1477="free","warranty",IF($AD$8="yes","NVP planting:","to NVP install:")))))</f>
        <v/>
      </c>
      <c r="AA1477" s="829"/>
      <c r="AB1477" s="830" t="str">
        <f>IF(G1477=0,"",IF(AD1477="free","re-planting",IF(AD1477="me","not NVP, by",IF($AD$8="yes",(VLOOKUP(A1477,'Discount Lookup'!J:K,2)*G1477*(1-$AC$1786)*(1+$AC$1788)),IF(AD1477="NVP",(VLOOKUP(A1477,'Discount Lookup'!J:K,2)*G1477*(1-$AC$1786)*(1+$AC$1788)),IF(AD1477="free","re-planting",IF(G1477=0,"",IF($AD$8="",IF(AD1477="me","not NVP, by",IF(AD1477="",IF(G1477&gt;0,(VLOOKUP(A1477,'Discount Lookup'!J:K,2)*G1477*(1-$AC$1786)*(1+$AC$1788)),""),"")),"not NVP, by"))))))))</f>
        <v/>
      </c>
      <c r="AC1477" s="830"/>
      <c r="AD1477" s="375" t="str">
        <f t="shared" si="3560"/>
        <v/>
      </c>
      <c r="AE1477" s="833" t="str">
        <f t="shared" ref="AE1477:AE1538" si="3645">IF(G1477&gt;0,(CONCATENATE((G1477)," quantity, ",(A1477)," ",B1477)),"")</f>
        <v/>
      </c>
      <c r="AF1477" s="833"/>
      <c r="AG1477" s="833"/>
      <c r="AH1477" s="91">
        <f>IF(AD1477="free",0,IF(AD1477="me",0,IF(G1477&gt;0,(VLOOKUP(A1477,'Discount Lookup'!J:K,2)*G1477),0)))</f>
        <v>0</v>
      </c>
      <c r="AI1477" s="92" t="str">
        <f t="shared" si="3628"/>
        <v/>
      </c>
      <c r="AJ1477" s="828" t="str">
        <f t="shared" ref="AJ1477:AJ1528" si="3646">IF(G1477=0,"",IF(AD1477="me","  delivery-only",IF($AD$8="me","  delivery-only",CONCATENATE(" $",ROUND(AI1477/G1477,2)," each"))))</f>
        <v/>
      </c>
      <c r="AK1477" s="828"/>
      <c r="AL1477" s="313" t="str">
        <f t="shared" si="3510"/>
        <v/>
      </c>
      <c r="AM1477" s="312"/>
      <c r="AN1477" s="101"/>
      <c r="AO1477" s="101"/>
      <c r="AP1477" s="101"/>
      <c r="AQ1477" s="101"/>
      <c r="AR1477" s="101"/>
      <c r="AS1477" s="101"/>
      <c r="AT1477" s="101"/>
    </row>
    <row r="1478" spans="1:46" ht="12.95" customHeight="1">
      <c r="A1478" s="419">
        <v>3</v>
      </c>
      <c r="B1478" s="87" t="s">
        <v>50</v>
      </c>
      <c r="C1478" s="399" t="s">
        <v>136</v>
      </c>
      <c r="D1478" s="129" t="s">
        <v>86</v>
      </c>
      <c r="E1478" s="98">
        <v>28.95</v>
      </c>
      <c r="F1478" s="705" t="s">
        <v>1306</v>
      </c>
      <c r="G1478" s="357">
        <v>0</v>
      </c>
      <c r="H1478" s="704" t="str">
        <f t="shared" ref="H1478" si="3647">IF(G1478=0,"",IF(F1478="Qty=",IF(G1478=1,"plant","plants"),IF(F1478&gt;0.0001,"warranty","Error")))</f>
        <v/>
      </c>
      <c r="I1478" s="98">
        <f t="shared" ref="I1478" si="3648">IF(F1478="Qty=",(E1478*G1478),((E1478*(1-F1478))*G1478))</f>
        <v>0</v>
      </c>
      <c r="J1478" s="98">
        <f>IF(H1478="warranty",0,(I1478*($J$1782)))</f>
        <v>0</v>
      </c>
      <c r="K1478" s="831">
        <f t="shared" ref="K1478" si="3649">I1478+J1478</f>
        <v>0</v>
      </c>
      <c r="L1478" s="831"/>
      <c r="M1478" s="832" t="str">
        <f>IF($H$1784=0,"",IF(G1478=0,"",IF(F1478="Qty=",CONCATENATE("$",ROUND(K1478*(1-$H$1784),2)," with ",($H$1784*100),"% discount"),CONCATENATE("$",ROUND(K1478*(1-$H$1784),2)," with ",(($H$1784*100+F1478*100)-($H$1784*100*F1478)),IF(F1478&gt;0,"% discounts",IF($H$1781&gt;0,"% discounts","% discount"))))))</f>
        <v/>
      </c>
      <c r="N1478" s="832"/>
      <c r="O1478" s="832"/>
      <c r="P1478" s="832"/>
      <c r="Q1478" s="832"/>
      <c r="R1478" s="832"/>
      <c r="S1478" s="303">
        <f t="shared" ref="S1478" si="3650">E1478*G1478</f>
        <v>0</v>
      </c>
      <c r="T1478" s="541">
        <f>VLOOKUP(A1478,'Discount Lookup'!D:E,2,FALSE)*G1478</f>
        <v>0</v>
      </c>
      <c r="U1478" s="83">
        <f>VLOOKUP(A1478,'Discount Lookup'!G:H,2,FALSE)*G1478</f>
        <v>0</v>
      </c>
      <c r="V1478" s="100">
        <f>E1478*($J$1782)*G1478</f>
        <v>0</v>
      </c>
      <c r="W1478" s="100">
        <f t="shared" ref="W1478" si="3651">I1478</f>
        <v>0</v>
      </c>
      <c r="X1478" s="100" t="b">
        <f>IF(G1478&gt;0,IF(AD1478="me","",G1478))</f>
        <v>0</v>
      </c>
      <c r="Y1478" s="201"/>
      <c r="Z1478" s="829" t="str">
        <f t="shared" si="3644"/>
        <v/>
      </c>
      <c r="AA1478" s="829"/>
      <c r="AB1478" s="830" t="str">
        <f>IF(G1478=0,"",IF(AD1478="free","re-planting",IF(AD1478="me","not NVP, by",IF($AD$8="yes",(VLOOKUP(A1478,'Discount Lookup'!J:K,2)*G1478*(1-$AC$1786)*(1+$AC$1788)),IF(AD1478="NVP",(VLOOKUP(A1478,'Discount Lookup'!J:K,2)*G1478*(1-$AC$1786)*(1+$AC$1788)),IF(AD1478="free","re-planting",IF(G1478=0,"",IF($AD$8="",IF(AD1478="me","not NVP, by",IF(AD1478="",IF(G1478&gt;0,(VLOOKUP(A1478,'Discount Lookup'!J:K,2)*G1478*(1-$AC$1786)*(1+$AC$1788)),""),"")),"not NVP, by"))))))))</f>
        <v/>
      </c>
      <c r="AC1478" s="830"/>
      <c r="AD1478" s="375" t="str">
        <f t="shared" si="3560"/>
        <v/>
      </c>
      <c r="AE1478" s="833" t="str">
        <f t="shared" ref="AE1478" si="3652">IF(G1478&gt;0,(CONCATENATE((G1478)," quantity, ",(A1478)," ",B1478)),"")</f>
        <v/>
      </c>
      <c r="AF1478" s="833"/>
      <c r="AG1478" s="833"/>
      <c r="AH1478" s="91">
        <f>IF(AD1478="free",0,IF(AD1478="me",0,IF(G1478&gt;0,(VLOOKUP(A1478,'Discount Lookup'!J:K,2)*G1478),0)))</f>
        <v>0</v>
      </c>
      <c r="AI1478" s="92" t="str">
        <f t="shared" si="3628"/>
        <v/>
      </c>
      <c r="AJ1478" s="828" t="str">
        <f t="shared" si="3646"/>
        <v/>
      </c>
      <c r="AK1478" s="828"/>
      <c r="AL1478" s="313" t="str">
        <f t="shared" si="3510"/>
        <v/>
      </c>
      <c r="AM1478" s="312"/>
      <c r="AN1478" s="101"/>
      <c r="AO1478" s="101"/>
      <c r="AP1478" s="101"/>
      <c r="AQ1478" s="101"/>
      <c r="AR1478" s="101"/>
      <c r="AS1478" s="101"/>
      <c r="AT1478" s="101"/>
    </row>
    <row r="1479" spans="1:46" ht="12.95" customHeight="1">
      <c r="A1479" s="465"/>
      <c r="B1479" s="198" t="s">
        <v>789</v>
      </c>
      <c r="C1479" s="130"/>
      <c r="D1479" s="104"/>
      <c r="E1479" s="131"/>
      <c r="F1479" s="710"/>
      <c r="G1479" s="356"/>
      <c r="H1479" s="744"/>
      <c r="I1479" s="131"/>
      <c r="J1479" s="131"/>
      <c r="K1479" s="608"/>
      <c r="L1479" s="608"/>
      <c r="M1479" s="121"/>
      <c r="N1479" s="121"/>
      <c r="O1479" s="123"/>
      <c r="P1479" s="124"/>
      <c r="Q1479" s="124"/>
      <c r="R1479" s="83"/>
      <c r="S1479" s="82">
        <f>E1479*G1479</f>
        <v>0</v>
      </c>
      <c r="T1479" s="540"/>
      <c r="U1479" s="83"/>
      <c r="V1479" s="100" t="b">
        <f>IF(G1479&gt;0,IF(AD1479="me","",G1479))</f>
        <v>0</v>
      </c>
      <c r="W1479" s="100"/>
      <c r="X1479" s="100"/>
      <c r="Y1479" s="201"/>
      <c r="Z1479" s="829" t="str">
        <f t="shared" si="3644"/>
        <v/>
      </c>
      <c r="AA1479" s="829"/>
      <c r="AB1479" s="830" t="str">
        <f>IF(G1479=0,"",IF(AD1479="free","re-planting",IF(AD1479="me","not NVP, by",IF($AD$8="yes",(VLOOKUP(A1479,'Discount Lookup'!J:K,2)*G1479*(1-$AC$1786)*(1+$AC$1788)),IF(AD1479="NVP",(VLOOKUP(A1479,'Discount Lookup'!J:K,2)*G1479*(1-$AC$1786)*(1+$AC$1788)),IF(AD1479="free","re-planting",IF(G1479=0,"",IF($AD$8="",IF(AD1479="me","not NVP, by",IF(AD1479="",IF(G1479&gt;0,(VLOOKUP(A1479,'Discount Lookup'!J:K,2)*G1479*(1-$AC$1786)*(1+$AC$1788)),""),"")),"not NVP, by"))))))))</f>
        <v/>
      </c>
      <c r="AC1479" s="830"/>
      <c r="AD1479" s="375" t="str">
        <f t="shared" si="3560"/>
        <v/>
      </c>
      <c r="AE1479" s="833" t="str">
        <f t="shared" si="3645"/>
        <v/>
      </c>
      <c r="AF1479" s="833"/>
      <c r="AG1479" s="833"/>
      <c r="AH1479" s="91">
        <f>IF(AD1479="free",0,IF(AD1479="me",0,IF(G1479&gt;0,(VLOOKUP(A1479,'Discount Lookup'!J:K,2)*G1479),0)))</f>
        <v>0</v>
      </c>
      <c r="AI1479" s="92" t="str">
        <f t="shared" si="3628"/>
        <v/>
      </c>
      <c r="AJ1479" s="828" t="str">
        <f t="shared" si="3646"/>
        <v/>
      </c>
      <c r="AK1479" s="828"/>
      <c r="AL1479" s="313" t="str">
        <f t="shared" si="3510"/>
        <v/>
      </c>
      <c r="AM1479" s="312"/>
      <c r="AN1479" s="101"/>
      <c r="AO1479" s="101"/>
      <c r="AP1479" s="101"/>
      <c r="AQ1479" s="101"/>
      <c r="AR1479" s="101"/>
      <c r="AS1479" s="101"/>
      <c r="AT1479" s="101"/>
    </row>
    <row r="1480" spans="1:46" ht="12.95" customHeight="1">
      <c r="A1480" s="898" t="s">
        <v>993</v>
      </c>
      <c r="B1480" s="897"/>
      <c r="C1480" s="897"/>
      <c r="D1480" s="897"/>
      <c r="E1480" s="897"/>
      <c r="F1480" s="897"/>
      <c r="G1480" s="897"/>
      <c r="H1480" s="776" t="s">
        <v>444</v>
      </c>
      <c r="I1480" s="348" t="s">
        <v>44</v>
      </c>
      <c r="J1480" s="93"/>
      <c r="K1480" s="603" t="s">
        <v>45</v>
      </c>
      <c r="L1480" s="601" t="s">
        <v>46</v>
      </c>
      <c r="M1480" s="86"/>
      <c r="N1480" s="87" t="s">
        <v>69</v>
      </c>
      <c r="O1480" s="87"/>
      <c r="P1480" s="88"/>
      <c r="Q1480" s="88"/>
      <c r="R1480" s="86"/>
      <c r="S1480" s="125"/>
      <c r="T1480" s="543"/>
      <c r="U1480" s="89" t="s">
        <v>221</v>
      </c>
      <c r="V1480" s="100" t="b">
        <f>IF(G1480&gt;0,IF(AD1480="me","",G1480))</f>
        <v>0</v>
      </c>
      <c r="W1480" s="100"/>
      <c r="X1480" s="100"/>
      <c r="Y1480" s="201"/>
      <c r="Z1480" s="829" t="str">
        <f t="shared" ref="Z1480:Z1485" si="3653">IF(G1480=0,"",IF(AD1480="me","",IF($AD$8="me","",IF(AD1480="free","warranty",IF($AD$8="yes","NVP planting:","to NVP install:")))))</f>
        <v/>
      </c>
      <c r="AA1480" s="829"/>
      <c r="AB1480" s="830" t="str">
        <f>IF(G1480=0,"",IF(AD1480="free","re-planting",IF(AD1480="me","not NVP, by",IF($AD$8="yes",(VLOOKUP(A1480,'Discount Lookup'!J:K,2)*G1480*(1-$AC$1786)*(1+$AC$1788)),IF(AD1480="NVP",(VLOOKUP(A1480,'Discount Lookup'!J:K,2)*G1480*(1-$AC$1786)*(1+$AC$1788)),IF(AD1480="free","re-planting",IF(G1480=0,"",IF($AD$8="",IF(AD1480="me","not NVP, by",IF(AD1480="",IF(G1480&gt;0,(VLOOKUP(A1480,'Discount Lookup'!J:K,2)*G1480*(1-$AC$1786)*(1+$AC$1788)),""),"")),"not NVP, by"))))))))</f>
        <v/>
      </c>
      <c r="AC1480" s="830"/>
      <c r="AD1480" s="375" t="str">
        <f>IF(G1480=0,"",IF($AD$8="me","me",IF(H1480="warranty","free",IF($AD$8="yes","NVP",""))))</f>
        <v/>
      </c>
      <c r="AE1480" s="833" t="str">
        <f t="shared" ref="AE1480:AE1485" si="3654">IF(G1480&gt;0,(CONCATENATE((G1480)," quantity, ",(A1480)," ",B1480)),"")</f>
        <v/>
      </c>
      <c r="AF1480" s="833"/>
      <c r="AG1480" s="833"/>
      <c r="AH1480" s="91">
        <f>IF(AD1480="free",0,IF(AD1480="me",0,IF(G1480&gt;0,(VLOOKUP(A1480,'Discount Lookup'!J:K,2)*G1480),0)))</f>
        <v>0</v>
      </c>
      <c r="AI1480" s="92" t="str">
        <f t="shared" si="3628"/>
        <v/>
      </c>
      <c r="AJ1480" s="828" t="str">
        <f>IF(G1480=0,"",IF(AD1480="me","  delivery-only",IF($AD$8="me","  delivery-only",CONCATENATE(" $",ROUND(AI1480/G1480,2)," each"))))</f>
        <v/>
      </c>
      <c r="AK1480" s="828"/>
      <c r="AL1480" s="313" t="str">
        <f t="shared" si="3510"/>
        <v/>
      </c>
      <c r="AM1480" s="312"/>
      <c r="AN1480" s="101"/>
      <c r="AO1480" s="101"/>
      <c r="AP1480" s="101"/>
      <c r="AQ1480" s="101"/>
      <c r="AR1480" s="101"/>
      <c r="AS1480" s="101"/>
      <c r="AT1480" s="101"/>
    </row>
    <row r="1481" spans="1:46" ht="12.95" customHeight="1">
      <c r="A1481" s="447">
        <v>1</v>
      </c>
      <c r="B1481" s="87" t="s">
        <v>50</v>
      </c>
      <c r="C1481" s="399" t="s">
        <v>136</v>
      </c>
      <c r="D1481" s="129" t="s">
        <v>87</v>
      </c>
      <c r="E1481" s="98">
        <v>11.95</v>
      </c>
      <c r="F1481" s="705" t="s">
        <v>1306</v>
      </c>
      <c r="G1481" s="357">
        <v>0</v>
      </c>
      <c r="H1481" s="704" t="str">
        <f t="shared" ref="H1481" si="3655">IF(G1481=0,"",IF(F1481="Qty=",IF(G1481=1,"plant","plants"),IF(F1481&gt;0.0001,"warranty","Error")))</f>
        <v/>
      </c>
      <c r="I1481" s="98">
        <f t="shared" ref="I1481" si="3656">IF(F1481="Qty=",(E1481*G1481),((E1481*(1-F1481))*G1481))</f>
        <v>0</v>
      </c>
      <c r="J1481" s="98">
        <f>IF(H1481="warranty",0,(I1481*($J$1782)))</f>
        <v>0</v>
      </c>
      <c r="K1481" s="831">
        <f t="shared" ref="K1481" si="3657">I1481+J1481</f>
        <v>0</v>
      </c>
      <c r="L1481" s="831"/>
      <c r="M1481" s="832" t="str">
        <f>IF($H$1784=0,"",IF(G1481=0,"",IF(F1481="Qty=",CONCATENATE("$",ROUND(K1481*(1-$H$1784),2)," with ",($H$1784*100),"% discount"),CONCATENATE("$",ROUND(K1481*(1-$H$1784),2)," with ",(($H$1784*100+F1481*100)-($H$1784*100*F1481)),IF(F1481&gt;0,"% discounts",IF($H$1781&gt;0,"% discounts","% discount"))))))</f>
        <v/>
      </c>
      <c r="N1481" s="832"/>
      <c r="O1481" s="832"/>
      <c r="P1481" s="832"/>
      <c r="Q1481" s="832"/>
      <c r="R1481" s="832"/>
      <c r="S1481" s="303">
        <f t="shared" ref="S1481" si="3658">E1481*G1481</f>
        <v>0</v>
      </c>
      <c r="T1481" s="541">
        <f>VLOOKUP(A1481,'Discount Lookup'!D:E,2,FALSE)*G1481</f>
        <v>0</v>
      </c>
      <c r="U1481" s="83">
        <f>VLOOKUP(A1481,'Discount Lookup'!G:H,2,FALSE)*G1481</f>
        <v>0</v>
      </c>
      <c r="V1481" s="100">
        <f>E1481*($J$1782)*G1481</f>
        <v>0</v>
      </c>
      <c r="W1481" s="100">
        <f t="shared" ref="W1481" si="3659">I1481</f>
        <v>0</v>
      </c>
      <c r="X1481" s="100" t="b">
        <f>IF(G1481&gt;0,IF(AD1481="me","",G1481))</f>
        <v>0</v>
      </c>
      <c r="Y1481" s="201"/>
      <c r="Z1481" s="829" t="str">
        <f t="shared" si="3653"/>
        <v/>
      </c>
      <c r="AA1481" s="829"/>
      <c r="AB1481" s="830" t="str">
        <f>IF(G1481=0,"",IF(AD1481="free","re-planting",IF(AD1481="me","not NVP, by",IF($AD$8="yes",(VLOOKUP(A1481,'Discount Lookup'!J:K,2)*G1481*(1-$AC$1786)*(1+$AC$1788)),IF(AD1481="NVP",(VLOOKUP(A1481,'Discount Lookup'!J:K,2)*G1481*(1-$AC$1786)*(1+$AC$1788)),IF(AD1481="free","re-planting",IF(G1481=0,"",IF($AD$8="",IF(AD1481="me","not NVP, by",IF(AD1481="",IF(G1481&gt;0,(VLOOKUP(A1481,'Discount Lookup'!J:K,2)*G1481*(1-$AC$1786)*(1+$AC$1788)),""),"")),"not NVP, by"))))))))</f>
        <v/>
      </c>
      <c r="AC1481" s="830"/>
      <c r="AD1481" s="375" t="str">
        <f>IF(G1481=0,"",IF($AD$8="me","me",IF(H1481="warranty","free",IF($AD$8="yes","NVP",""))))</f>
        <v/>
      </c>
      <c r="AE1481" s="833" t="str">
        <f t="shared" si="3654"/>
        <v/>
      </c>
      <c r="AF1481" s="833"/>
      <c r="AG1481" s="833"/>
      <c r="AH1481" s="91">
        <f>IF(AD1481="free",0,IF(AD1481="me",0,IF(G1481&gt;0,(VLOOKUP(A1481,'Discount Lookup'!J:K,2)*G1481),0)))</f>
        <v>0</v>
      </c>
      <c r="AI1481" s="92" t="str">
        <f t="shared" si="3628"/>
        <v/>
      </c>
      <c r="AJ1481" s="828" t="str">
        <f>IF(G1481=0,"",IF(AD1481="me","  delivery-only",IF($AD$8="me","  delivery-only",CONCATENATE(" $",ROUND(AI1481/G1481,2)," each"))))</f>
        <v/>
      </c>
      <c r="AK1481" s="828"/>
      <c r="AL1481" s="313" t="str">
        <f t="shared" si="3510"/>
        <v/>
      </c>
      <c r="AM1481" s="312"/>
      <c r="AN1481" s="101"/>
      <c r="AO1481" s="101"/>
      <c r="AP1481" s="101"/>
      <c r="AQ1481" s="101"/>
      <c r="AR1481" s="101"/>
      <c r="AS1481" s="101"/>
      <c r="AT1481" s="101"/>
    </row>
    <row r="1482" spans="1:46" ht="12.75" customHeight="1">
      <c r="A1482" s="508"/>
      <c r="B1482" s="149" t="s">
        <v>994</v>
      </c>
      <c r="C1482" s="117"/>
      <c r="D1482" s="118"/>
      <c r="E1482" s="119"/>
      <c r="F1482" s="711"/>
      <c r="G1482" s="356"/>
      <c r="H1482" s="745"/>
      <c r="I1482" s="119"/>
      <c r="J1482" s="119"/>
      <c r="K1482" s="609"/>
      <c r="L1482" s="609"/>
      <c r="M1482" s="108"/>
      <c r="N1482" s="122" t="s">
        <v>115</v>
      </c>
      <c r="O1482" s="123"/>
      <c r="P1482" s="124"/>
      <c r="Q1482" s="124"/>
      <c r="R1482" s="83"/>
      <c r="S1482" s="82"/>
      <c r="T1482" s="540"/>
      <c r="U1482" s="83"/>
      <c r="V1482" s="100"/>
      <c r="W1482" s="100"/>
      <c r="X1482" s="100"/>
      <c r="Y1482" s="201"/>
      <c r="Z1482" s="829" t="str">
        <f t="shared" si="3653"/>
        <v/>
      </c>
      <c r="AA1482" s="829"/>
      <c r="AB1482" s="830" t="str">
        <f>IF(G1482=0,"",IF(AD1482="free","re-planting",IF(AD1482="me","not NVP, by",IF($AD$8="yes",(VLOOKUP(A1482,'Discount Lookup'!J:K,2)*G1482*(1-$AC$1786)*(1+$AC$1788)),IF(AD1482="NVP",(VLOOKUP(A1482,'Discount Lookup'!J:K,2)*G1482*(1-$AC$1786)*(1+$AC$1788)),IF(AD1482="free","re-planting",IF(G1482=0,"",IF($AD$8="",IF(AD1482="me","not NVP, by",IF(AD1482="",IF(G1482&gt;0,(VLOOKUP(A1482,'Discount Lookup'!J:K,2)*G1482*(1-$AC$1786)*(1+$AC$1788)),""),"")),"not NVP, by"))))))))</f>
        <v/>
      </c>
      <c r="AC1482" s="830"/>
      <c r="AD1482" s="375" t="str">
        <f>IF(G1482=0,"",IF($AD$8="me","me",IF(H1482="warranty","free",IF($AD$8="yes","NVP",""))))</f>
        <v/>
      </c>
      <c r="AE1482" s="833" t="str">
        <f t="shared" si="3654"/>
        <v/>
      </c>
      <c r="AF1482" s="833"/>
      <c r="AG1482" s="833"/>
      <c r="AH1482" s="91">
        <f>IF(AD1482="free",0,IF(AD1482="me",0,IF(G1482&gt;0,(VLOOKUP(A1482,'Discount Lookup'!J:K,2)*G1482),0)))</f>
        <v>0</v>
      </c>
      <c r="AI1482" s="92" t="str">
        <f t="shared" si="3628"/>
        <v/>
      </c>
      <c r="AJ1482" s="828" t="str">
        <f>IF(G1482=0,"",IF(AD1482="me","  delivery-only",IF($AD$8="me","  delivery-only",CONCATENATE(" $",ROUND(AI1482/G1482,2)," each"))))</f>
        <v/>
      </c>
      <c r="AK1482" s="828"/>
      <c r="AL1482" s="313" t="str">
        <f t="shared" si="3510"/>
        <v/>
      </c>
      <c r="AM1482" s="312"/>
      <c r="AN1482" s="101"/>
      <c r="AO1482" s="101"/>
      <c r="AP1482" s="101"/>
      <c r="AQ1482" s="101"/>
      <c r="AR1482" s="101"/>
      <c r="AS1482" s="101"/>
      <c r="AT1482" s="101"/>
    </row>
    <row r="1483" spans="1:46" ht="12.95" customHeight="1">
      <c r="A1483" s="898" t="s">
        <v>998</v>
      </c>
      <c r="B1483" s="897"/>
      <c r="C1483" s="897"/>
      <c r="D1483" s="897"/>
      <c r="E1483" s="897"/>
      <c r="F1483" s="897"/>
      <c r="G1483" s="897"/>
      <c r="H1483" s="776" t="s">
        <v>444</v>
      </c>
      <c r="I1483" s="348" t="s">
        <v>44</v>
      </c>
      <c r="J1483" s="93"/>
      <c r="K1483" s="603" t="s">
        <v>45</v>
      </c>
      <c r="L1483" s="601" t="s">
        <v>46</v>
      </c>
      <c r="M1483" s="86"/>
      <c r="N1483" s="87" t="s">
        <v>128</v>
      </c>
      <c r="O1483" s="87"/>
      <c r="P1483" s="88"/>
      <c r="Q1483" s="88"/>
      <c r="R1483" s="86"/>
      <c r="S1483" s="125"/>
      <c r="T1483" s="543"/>
      <c r="U1483" s="89" t="s">
        <v>221</v>
      </c>
      <c r="V1483" s="100" t="b">
        <f>IF(G1483&gt;0,IF(AD1483="me","",G1483))</f>
        <v>0</v>
      </c>
      <c r="W1483" s="100"/>
      <c r="X1483" s="100"/>
      <c r="Y1483" s="201"/>
      <c r="Z1483" s="838" t="str">
        <f t="shared" si="3653"/>
        <v/>
      </c>
      <c r="AA1483" s="838"/>
      <c r="AB1483" s="830" t="str">
        <f>IF(G1483=0,"",IF(AD1483="free","re-planting",IF(AD1483="me","not NVP, by",IF($AD$8="yes",(VLOOKUP(A1483,'Discount Lookup'!J:K,2)*G1483*(1-$AC$1786)*(1+$AC$1788)),IF(AD1483="NVP",(VLOOKUP(A1483,'Discount Lookup'!J:K,2)*G1483*(1-$AC$1786)*(1+$AC$1788)),IF(AD1483="free","re-planting",IF(G1483=0,"",IF($AD$8="",IF(AD1483="me","not NVP, by",IF(AD1483="",IF(G1483&gt;0,(VLOOKUP(A1483,'Discount Lookup'!J:K,2)*G1483*(1-$AC$1786)*(1+$AC$1788)),""),"")),"not NVP, by"))))))))</f>
        <v/>
      </c>
      <c r="AC1483" s="830"/>
      <c r="AD1483" s="375" t="str">
        <f t="shared" si="3560"/>
        <v/>
      </c>
      <c r="AE1483" s="833" t="str">
        <f t="shared" si="3654"/>
        <v/>
      </c>
      <c r="AF1483" s="833"/>
      <c r="AG1483" s="833"/>
      <c r="AH1483" s="91" t="s">
        <v>109</v>
      </c>
      <c r="AI1483" s="92" t="str">
        <f t="shared" si="3628"/>
        <v/>
      </c>
      <c r="AJ1483" s="828" t="str">
        <f>IF(G1483=0,"",IF(AD1483="me","  delivery-only",CONCATENATE(" $",ROUND(AI1483/G1483,2)," each")))</f>
        <v/>
      </c>
      <c r="AK1483" s="828"/>
      <c r="AL1483" s="313" t="str">
        <f t="shared" ref="AL1483:AL1546" si="3660">IF(AD1483="free","      ~ discounts included, no tax or planting fee applies ~",IF(G1483=0,"",IF($AD$8="me",CONCATENATE(" $",ROUND(AI1483/G1483,2)," per plant, with tax &amp; discount"),IF(AD1483="me",CONCATENATE(" $",ROUND(AI1483/G1483,2)," per plant, with tax &amp; discount"),CONCATENATE("= $",ROUND((K1483*(1-$H$1784))/G1483,2)," per plant + $",AB1483/G1483,(" per planting      ~ includes tax &amp; discounts ~"))))))</f>
        <v/>
      </c>
      <c r="AM1483" s="312"/>
      <c r="AN1483" s="101"/>
      <c r="AO1483" s="101"/>
      <c r="AP1483" s="101"/>
      <c r="AQ1483" s="101"/>
      <c r="AR1483" s="101"/>
      <c r="AS1483" s="101"/>
      <c r="AT1483" s="101"/>
    </row>
    <row r="1484" spans="1:46" ht="12.95" customHeight="1">
      <c r="A1484" s="447">
        <v>3</v>
      </c>
      <c r="B1484" s="87" t="s">
        <v>50</v>
      </c>
      <c r="C1484" s="399" t="s">
        <v>136</v>
      </c>
      <c r="D1484" s="129" t="s">
        <v>87</v>
      </c>
      <c r="E1484" s="98">
        <v>34.950000000000003</v>
      </c>
      <c r="F1484" s="705" t="s">
        <v>1306</v>
      </c>
      <c r="G1484" s="357">
        <v>0</v>
      </c>
      <c r="H1484" s="704" t="str">
        <f t="shared" ref="H1484" si="3661">IF(G1484=0,"",IF(F1484="Qty=",IF(G1484=1,"plant","plants"),IF(F1484&gt;0.0001,"warranty","Error")))</f>
        <v/>
      </c>
      <c r="I1484" s="98">
        <f t="shared" ref="I1484" si="3662">IF(F1484="Qty=",(E1484*G1484),((E1484*(1-F1484))*G1484))</f>
        <v>0</v>
      </c>
      <c r="J1484" s="98">
        <f>IF(H1484="warranty",0,(I1484*($J$1782)))</f>
        <v>0</v>
      </c>
      <c r="K1484" s="831">
        <f t="shared" ref="K1484" si="3663">I1484+J1484</f>
        <v>0</v>
      </c>
      <c r="L1484" s="831"/>
      <c r="M1484" s="832" t="str">
        <f>IF($H$1784=0,"",IF(G1484=0,"",IF(F1484="Qty=",CONCATENATE("$",ROUND(K1484*(1-$H$1784),2)," with ",($H$1784*100),"% discount"),CONCATENATE("$",ROUND(K1484*(1-$H$1784),2)," with ",(($H$1784*100+F1484*100)-($H$1784*100*F1484)),IF(F1484&gt;0,"% discounts",IF($H$1781&gt;0,"% discounts","% discount"))))))</f>
        <v/>
      </c>
      <c r="N1484" s="832"/>
      <c r="O1484" s="832"/>
      <c r="P1484" s="832"/>
      <c r="Q1484" s="832"/>
      <c r="R1484" s="832"/>
      <c r="S1484" s="303">
        <f t="shared" ref="S1484" si="3664">E1484*G1484</f>
        <v>0</v>
      </c>
      <c r="T1484" s="541">
        <f>VLOOKUP(A1484,'Discount Lookup'!D:E,2,FALSE)*G1484</f>
        <v>0</v>
      </c>
      <c r="U1484" s="83">
        <f>VLOOKUP(A1484,'Discount Lookup'!G:H,2,FALSE)*G1484</f>
        <v>0</v>
      </c>
      <c r="V1484" s="100">
        <f>E1484*($J$1782)*G1484</f>
        <v>0</v>
      </c>
      <c r="W1484" s="100">
        <f t="shared" ref="W1484" si="3665">I1484</f>
        <v>0</v>
      </c>
      <c r="X1484" s="100" t="b">
        <f>IF(G1484&gt;0,IF(AD1484="me","",G1484))</f>
        <v>0</v>
      </c>
      <c r="Y1484" s="201"/>
      <c r="Z1484" s="838" t="str">
        <f t="shared" si="3653"/>
        <v/>
      </c>
      <c r="AA1484" s="838"/>
      <c r="AB1484" s="830" t="str">
        <f>IF(G1484=0,"",IF(AD1484="free","re-planting",IF(AD1484="me","not NVP, by",IF($AD$8="yes",(VLOOKUP(A1484,'Discount Lookup'!J:K,2)*G1484*(1-$AC$1786)*(1+$AC$1788)),IF(AD1484="NVP",(VLOOKUP(A1484,'Discount Lookup'!J:K,2)*G1484*(1-$AC$1786)*(1+$AC$1788)),IF(AD1484="free","re-planting",IF(G1484=0,"",IF($AD$8="",IF(AD1484="me","not NVP, by",IF(AD1484="",IF(G1484&gt;0,(VLOOKUP(A1484,'Discount Lookup'!J:K,2)*G1484*(1-$AC$1786)*(1+$AC$1788)),""),"")),"not NVP, by"))))))))</f>
        <v/>
      </c>
      <c r="AC1484" s="830"/>
      <c r="AD1484" s="375" t="str">
        <f t="shared" si="3560"/>
        <v/>
      </c>
      <c r="AE1484" s="833" t="str">
        <f t="shared" si="3654"/>
        <v/>
      </c>
      <c r="AF1484" s="833"/>
      <c r="AG1484" s="833"/>
      <c r="AH1484" s="91" t="str">
        <f>IF(AD1484="free",0,IF(AD1484="me","",IF(G1484&gt;0,(VLOOKUP(A1484,'Discount Lookup'!J:K,2)*G1484),"")))</f>
        <v/>
      </c>
      <c r="AI1484" s="92" t="str">
        <f t="shared" si="3628"/>
        <v/>
      </c>
      <c r="AJ1484" s="828" t="str">
        <f>IF(G1484=0,"",IF(AD1484="me","  delivery-only",CONCATENATE(" $",ROUND(AI1484/G1484,2)," each")))</f>
        <v/>
      </c>
      <c r="AK1484" s="828"/>
      <c r="AL1484" s="313" t="str">
        <f t="shared" si="3660"/>
        <v/>
      </c>
      <c r="AM1484" s="312"/>
      <c r="AN1484" s="101"/>
      <c r="AO1484" s="101"/>
      <c r="AP1484" s="101"/>
      <c r="AQ1484" s="101"/>
      <c r="AR1484" s="101"/>
      <c r="AS1484" s="101"/>
      <c r="AT1484" s="101"/>
    </row>
    <row r="1485" spans="1:46" ht="12.95" customHeight="1">
      <c r="A1485" s="504"/>
      <c r="B1485" s="198" t="s">
        <v>999</v>
      </c>
      <c r="C1485" s="130"/>
      <c r="E1485" s="131"/>
      <c r="F1485" s="710"/>
      <c r="G1485" s="356"/>
      <c r="H1485" s="744"/>
      <c r="I1485" s="131"/>
      <c r="J1485" s="131"/>
      <c r="K1485" s="608"/>
      <c r="L1485" s="608"/>
      <c r="M1485" s="121"/>
      <c r="N1485" s="121"/>
      <c r="O1485" s="123"/>
      <c r="P1485" s="124"/>
      <c r="Q1485" s="124"/>
      <c r="R1485" s="83"/>
      <c r="S1485" s="82"/>
      <c r="T1485" s="540"/>
      <c r="U1485" s="83"/>
      <c r="V1485" s="100"/>
      <c r="W1485" s="100"/>
      <c r="X1485" s="100"/>
      <c r="Y1485" s="201"/>
      <c r="Z1485" s="838" t="str">
        <f t="shared" si="3653"/>
        <v/>
      </c>
      <c r="AA1485" s="838"/>
      <c r="AB1485" s="830" t="str">
        <f>IF(G1485=0,"",IF(AD1485="free","re-planting",IF(AD1485="me","not NVP, by",IF($AD$8="yes",(VLOOKUP(A1485,'Discount Lookup'!J:K,2)*G1485*(1-$AC$1786)*(1+$AC$1788)),IF(AD1485="NVP",(VLOOKUP(A1485,'Discount Lookup'!J:K,2)*G1485*(1-$AC$1786)*(1+$AC$1788)),IF(AD1485="free","re-planting",IF(G1485=0,"",IF($AD$8="",IF(AD1485="me","not NVP, by",IF(AD1485="",IF(G1485&gt;0,(VLOOKUP(A1485,'Discount Lookup'!J:K,2)*G1485*(1-$AC$1786)*(1+$AC$1788)),""),"")),"not NVP, by"))))))))</f>
        <v/>
      </c>
      <c r="AC1485" s="830"/>
      <c r="AD1485" s="375" t="str">
        <f t="shared" si="3560"/>
        <v/>
      </c>
      <c r="AE1485" s="833" t="str">
        <f t="shared" si="3654"/>
        <v/>
      </c>
      <c r="AF1485" s="833"/>
      <c r="AG1485" s="833"/>
      <c r="AH1485" s="91" t="s">
        <v>109</v>
      </c>
      <c r="AI1485" s="92" t="str">
        <f t="shared" si="3628"/>
        <v/>
      </c>
      <c r="AJ1485" s="828" t="str">
        <f>IF(G1485=0,"",IF(AD1485="me","  delivery-only",CONCATENATE(" $",ROUND(AI1485/G1485,2)," each")))</f>
        <v/>
      </c>
      <c r="AK1485" s="828"/>
      <c r="AL1485" s="313" t="str">
        <f t="shared" si="3660"/>
        <v/>
      </c>
      <c r="AM1485" s="312"/>
      <c r="AN1485" s="101"/>
      <c r="AO1485" s="101"/>
      <c r="AP1485" s="101"/>
      <c r="AQ1485" s="101"/>
      <c r="AR1485" s="101"/>
      <c r="AS1485" s="101"/>
      <c r="AT1485" s="101"/>
    </row>
    <row r="1486" spans="1:46" ht="12.95" customHeight="1">
      <c r="A1486" s="929" t="s">
        <v>790</v>
      </c>
      <c r="B1486" s="902"/>
      <c r="C1486" s="902"/>
      <c r="D1486" s="902"/>
      <c r="E1486" s="902"/>
      <c r="F1486" s="902"/>
      <c r="G1486" s="902"/>
      <c r="H1486" s="776" t="s">
        <v>791</v>
      </c>
      <c r="I1486" s="88" t="s">
        <v>79</v>
      </c>
      <c r="J1486" s="86"/>
      <c r="K1486" s="603" t="s">
        <v>45</v>
      </c>
      <c r="L1486" s="601" t="s">
        <v>46</v>
      </c>
      <c r="M1486" s="86"/>
      <c r="N1486" s="87" t="s">
        <v>128</v>
      </c>
      <c r="O1486" s="87"/>
      <c r="P1486" s="87"/>
      <c r="Q1486" s="87"/>
      <c r="R1486" s="835" t="s">
        <v>49</v>
      </c>
      <c r="S1486" s="835"/>
      <c r="T1486" s="835"/>
      <c r="U1486" s="835"/>
      <c r="V1486" s="100" t="b">
        <f>IF(G1486&gt;0,IF(AD1486="me","",G1486))</f>
        <v>0</v>
      </c>
      <c r="W1486" s="100"/>
      <c r="X1486" s="100"/>
      <c r="Y1486" s="201"/>
      <c r="Z1486" s="829" t="str">
        <f t="shared" si="3644"/>
        <v/>
      </c>
      <c r="AA1486" s="829"/>
      <c r="AB1486" s="830" t="str">
        <f>IF(G1486=0,"",IF(AD1486="free","re-planting",IF(AD1486="me","not NVP, by",IF($AD$8="yes",(VLOOKUP(A1486,'Discount Lookup'!J:K,2)*G1486*(1-$AC$1786)*(1+$AC$1788)),IF(AD1486="NVP",(VLOOKUP(A1486,'Discount Lookup'!J:K,2)*G1486*(1-$AC$1786)*(1+$AC$1788)),IF(AD1486="free","re-planting",IF(G1486=0,"",IF($AD$8="",IF(AD1486="me","not NVP, by",IF(AD1486="",IF(G1486&gt;0,(VLOOKUP(A1486,'Discount Lookup'!J:K,2)*G1486*(1-$AC$1786)*(1+$AC$1788)),""),"")),"not NVP, by"))))))))</f>
        <v/>
      </c>
      <c r="AC1486" s="830"/>
      <c r="AD1486" s="375" t="str">
        <f t="shared" si="3560"/>
        <v/>
      </c>
      <c r="AE1486" s="833" t="str">
        <f t="shared" si="3645"/>
        <v/>
      </c>
      <c r="AF1486" s="833"/>
      <c r="AG1486" s="833"/>
      <c r="AH1486" s="91">
        <f>IF(AD1486="free",0,IF(AD1486="me",0,IF(G1486&gt;0,(VLOOKUP(A1486,'Discount Lookup'!J:K,2)*G1486),0)))</f>
        <v>0</v>
      </c>
      <c r="AI1486" s="92" t="str">
        <f t="shared" si="3628"/>
        <v/>
      </c>
      <c r="AJ1486" s="828" t="str">
        <f t="shared" si="3646"/>
        <v/>
      </c>
      <c r="AK1486" s="828"/>
      <c r="AL1486" s="313" t="str">
        <f t="shared" si="3660"/>
        <v/>
      </c>
      <c r="AM1486" s="312"/>
      <c r="AN1486" s="101"/>
      <c r="AO1486" s="101"/>
      <c r="AP1486" s="101"/>
      <c r="AQ1486" s="101"/>
      <c r="AR1486" s="101"/>
      <c r="AS1486" s="101"/>
      <c r="AT1486" s="101"/>
    </row>
    <row r="1487" spans="1:46" ht="12.95" customHeight="1">
      <c r="A1487" s="419">
        <v>1</v>
      </c>
      <c r="B1487" s="87" t="s">
        <v>50</v>
      </c>
      <c r="C1487" s="399" t="s">
        <v>136</v>
      </c>
      <c r="D1487" s="129" t="s">
        <v>62</v>
      </c>
      <c r="E1487" s="98">
        <v>8.9499999999999993</v>
      </c>
      <c r="F1487" s="705" t="s">
        <v>1306</v>
      </c>
      <c r="G1487" s="357">
        <v>0</v>
      </c>
      <c r="H1487" s="704" t="str">
        <f t="shared" ref="H1487" si="3666">IF(G1487=0,"",IF(F1487="Qty=",IF(G1487=1,"plant","plants"),IF(F1487&gt;0.0001,"warranty","Error")))</f>
        <v/>
      </c>
      <c r="I1487" s="98">
        <f t="shared" ref="I1487" si="3667">IF(F1487="Qty=",(E1487*G1487),((E1487*(1-F1487))*G1487))</f>
        <v>0</v>
      </c>
      <c r="J1487" s="98">
        <f>IF(H1487="warranty",0,(I1487*($J$1782)))</f>
        <v>0</v>
      </c>
      <c r="K1487" s="831">
        <f t="shared" ref="K1487" si="3668">I1487+J1487</f>
        <v>0</v>
      </c>
      <c r="L1487" s="831"/>
      <c r="M1487" s="832" t="str">
        <f>IF($H$1784=0,"",IF(G1487=0,"",IF(F1487="Qty=",CONCATENATE("$",ROUND(K1487*(1-$H$1784),2)," with ",($H$1784*100),"% discount"),CONCATENATE("$",ROUND(K1487*(1-$H$1784),2)," with ",(($H$1784*100+F1487*100)-($H$1784*100*F1487)),IF(F1487&gt;0,"% discounts",IF($H$1781&gt;0,"% discounts","% discount"))))))</f>
        <v/>
      </c>
      <c r="N1487" s="832"/>
      <c r="O1487" s="832"/>
      <c r="P1487" s="832"/>
      <c r="Q1487" s="832"/>
      <c r="R1487" s="832"/>
      <c r="S1487" s="303">
        <f t="shared" ref="S1487" si="3669">E1487*G1487</f>
        <v>0</v>
      </c>
      <c r="T1487" s="541">
        <f>VLOOKUP(A1487,'Discount Lookup'!D:E,2,FALSE)*G1487</f>
        <v>0</v>
      </c>
      <c r="U1487" s="83">
        <f>VLOOKUP(A1487,'Discount Lookup'!G:H,2,FALSE)*G1487</f>
        <v>0</v>
      </c>
      <c r="V1487" s="100">
        <f>E1487*($J$1782)*G1487</f>
        <v>0</v>
      </c>
      <c r="W1487" s="100">
        <f t="shared" ref="W1487" si="3670">I1487</f>
        <v>0</v>
      </c>
      <c r="X1487" s="100" t="b">
        <f>IF(G1487&gt;0,IF(AD1487="me","",G1487))</f>
        <v>0</v>
      </c>
      <c r="Y1487" s="201"/>
      <c r="Z1487" s="829" t="str">
        <f t="shared" si="3644"/>
        <v/>
      </c>
      <c r="AA1487" s="829"/>
      <c r="AB1487" s="830" t="str">
        <f>IF(G1487=0,"",IF(AD1487="free","re-planting",IF(AD1487="me","not NVP, by",IF($AD$8="yes",(VLOOKUP(A1487,'Discount Lookup'!J:K,2)*G1487*(1-$AC$1786)*(1+$AC$1788)),IF(AD1487="NVP",(VLOOKUP(A1487,'Discount Lookup'!J:K,2)*G1487*(1-$AC$1786)*(1+$AC$1788)),IF(AD1487="free","re-planting",IF(G1487=0,"",IF($AD$8="",IF(AD1487="me","not NVP, by",IF(AD1487="",IF(G1487&gt;0,(VLOOKUP(A1487,'Discount Lookup'!J:K,2)*G1487*(1-$AC$1786)*(1+$AC$1788)),""),"")),"not NVP, by"))))))))</f>
        <v/>
      </c>
      <c r="AC1487" s="830"/>
      <c r="AD1487" s="375" t="str">
        <f t="shared" si="3560"/>
        <v/>
      </c>
      <c r="AE1487" s="833" t="str">
        <f t="shared" si="3645"/>
        <v/>
      </c>
      <c r="AF1487" s="833"/>
      <c r="AG1487" s="833"/>
      <c r="AH1487" s="91">
        <f>IF(AD1487="free",0,IF(AD1487="me",0,IF(G1487&gt;0,(VLOOKUP(A1487,'Discount Lookup'!J:K,2)*G1487),0)))</f>
        <v>0</v>
      </c>
      <c r="AI1487" s="92" t="str">
        <f t="shared" si="3628"/>
        <v/>
      </c>
      <c r="AJ1487" s="828" t="str">
        <f t="shared" si="3646"/>
        <v/>
      </c>
      <c r="AK1487" s="828"/>
      <c r="AL1487" s="313" t="str">
        <f t="shared" si="3660"/>
        <v/>
      </c>
      <c r="AM1487" s="312"/>
      <c r="AN1487" s="101"/>
      <c r="AO1487" s="101"/>
      <c r="AP1487" s="101"/>
      <c r="AQ1487" s="101"/>
      <c r="AR1487" s="101"/>
      <c r="AS1487" s="101"/>
      <c r="AT1487" s="101"/>
    </row>
    <row r="1488" spans="1:46" ht="12.95" customHeight="1">
      <c r="A1488" s="482"/>
      <c r="B1488" s="198" t="s">
        <v>792</v>
      </c>
      <c r="G1488" s="361"/>
      <c r="H1488" s="749"/>
      <c r="M1488" s="110"/>
      <c r="N1488" s="189"/>
      <c r="O1488" s="48"/>
      <c r="P1488" s="111"/>
      <c r="Q1488" s="111"/>
      <c r="R1488" s="48"/>
      <c r="S1488" s="82"/>
      <c r="T1488" s="540"/>
      <c r="U1488" s="83"/>
      <c r="V1488" s="100" t="b">
        <f>IF(G1488&gt;0,IF(AD1488="me","",G1488))</f>
        <v>0</v>
      </c>
      <c r="W1488" s="100"/>
      <c r="X1488" s="100"/>
      <c r="Y1488" s="201"/>
      <c r="Z1488" s="829" t="str">
        <f t="shared" si="3644"/>
        <v/>
      </c>
      <c r="AA1488" s="829"/>
      <c r="AB1488" s="830" t="str">
        <f>IF(G1488=0,"",IF(AD1488="free","re-planting",IF(AD1488="me","not NVP, by",IF($AD$8="yes",(VLOOKUP(A1488,'Discount Lookup'!J:K,2)*G1488*(1-$AC$1786)*(1+$AC$1788)),IF(AD1488="NVP",(VLOOKUP(A1488,'Discount Lookup'!J:K,2)*G1488*(1-$AC$1786)*(1+$AC$1788)),IF(AD1488="free","re-planting",IF(G1488=0,"",IF($AD$8="",IF(AD1488="me","not NVP, by",IF(AD1488="",IF(G1488&gt;0,(VLOOKUP(A1488,'Discount Lookup'!J:K,2)*G1488*(1-$AC$1786)*(1+$AC$1788)),""),"")),"not NVP, by"))))))))</f>
        <v/>
      </c>
      <c r="AC1488" s="830"/>
      <c r="AD1488" s="375" t="str">
        <f t="shared" si="3560"/>
        <v/>
      </c>
      <c r="AE1488" s="833" t="str">
        <f t="shared" si="3645"/>
        <v/>
      </c>
      <c r="AF1488" s="833"/>
      <c r="AG1488" s="833"/>
      <c r="AH1488" s="91">
        <f>IF(AD1488="free",0,IF(AD1488="me",0,IF(G1488&gt;0,(VLOOKUP(A1488,'Discount Lookup'!J:K,2)*G1488),0)))</f>
        <v>0</v>
      </c>
      <c r="AI1488" s="92" t="str">
        <f t="shared" si="3628"/>
        <v/>
      </c>
      <c r="AJ1488" s="828" t="str">
        <f t="shared" si="3646"/>
        <v/>
      </c>
      <c r="AK1488" s="828"/>
      <c r="AL1488" s="313" t="str">
        <f t="shared" si="3660"/>
        <v/>
      </c>
      <c r="AM1488" s="312"/>
      <c r="AN1488" s="101"/>
      <c r="AO1488" s="101"/>
      <c r="AP1488" s="101"/>
      <c r="AQ1488" s="101"/>
      <c r="AR1488" s="101"/>
      <c r="AS1488" s="101"/>
      <c r="AT1488" s="101"/>
    </row>
    <row r="1489" spans="1:46" ht="12.75" customHeight="1">
      <c r="A1489" s="920" t="s">
        <v>793</v>
      </c>
      <c r="B1489" s="921"/>
      <c r="C1489" s="921"/>
      <c r="D1489" s="921"/>
      <c r="E1489" s="921"/>
      <c r="F1489" s="921"/>
      <c r="G1489" s="921"/>
      <c r="H1489" s="776" t="s">
        <v>602</v>
      </c>
      <c r="I1489" s="88" t="s">
        <v>174</v>
      </c>
      <c r="J1489" s="86"/>
      <c r="K1489" s="603" t="s">
        <v>45</v>
      </c>
      <c r="L1489" s="601" t="s">
        <v>46</v>
      </c>
      <c r="M1489" s="86"/>
      <c r="N1489" s="87" t="s">
        <v>128</v>
      </c>
      <c r="O1489" s="87"/>
      <c r="P1489" s="87"/>
      <c r="Q1489" s="87"/>
      <c r="R1489" s="86"/>
      <c r="S1489" s="125"/>
      <c r="T1489" s="543"/>
      <c r="U1489" s="112"/>
      <c r="V1489" s="100" t="b">
        <f>IF(G1489&gt;0,IF(AD1489="me","",G1489))</f>
        <v>0</v>
      </c>
      <c r="W1489" s="100"/>
      <c r="X1489" s="100"/>
      <c r="Y1489" s="201"/>
      <c r="Z1489" s="829" t="str">
        <f t="shared" si="3644"/>
        <v/>
      </c>
      <c r="AA1489" s="829"/>
      <c r="AB1489" s="830" t="str">
        <f>IF(G1489=0,"",IF(AD1489="free","re-planting",IF(AD1489="me","not NVP, by",IF($AD$8="yes",(VLOOKUP(A1489,'Discount Lookup'!J:K,2)*G1489*(1-$AC$1786)*(1+$AC$1788)),IF(AD1489="NVP",(VLOOKUP(A1489,'Discount Lookup'!J:K,2)*G1489*(1-$AC$1786)*(1+$AC$1788)),IF(AD1489="free","re-planting",IF(G1489=0,"",IF($AD$8="",IF(AD1489="me","not NVP, by",IF(AD1489="",IF(G1489&gt;0,(VLOOKUP(A1489,'Discount Lookup'!J:K,2)*G1489*(1-$AC$1786)*(1+$AC$1788)),""),"")),"not NVP, by"))))))))</f>
        <v/>
      </c>
      <c r="AC1489" s="830"/>
      <c r="AD1489" s="375" t="str">
        <f t="shared" si="3560"/>
        <v/>
      </c>
      <c r="AE1489" s="833" t="str">
        <f t="shared" si="3645"/>
        <v/>
      </c>
      <c r="AF1489" s="833"/>
      <c r="AG1489" s="833"/>
      <c r="AH1489" s="91">
        <f>IF(AD1489="free",0,IF(AD1489="me",0,IF(G1489&gt;0,(VLOOKUP(A1489,'Discount Lookup'!J:K,2)*G1489),0)))</f>
        <v>0</v>
      </c>
      <c r="AI1489" s="92" t="str">
        <f t="shared" si="3628"/>
        <v/>
      </c>
      <c r="AJ1489" s="828" t="str">
        <f t="shared" si="3646"/>
        <v/>
      </c>
      <c r="AK1489" s="828"/>
      <c r="AL1489" s="313" t="str">
        <f t="shared" si="3660"/>
        <v/>
      </c>
      <c r="AM1489" s="312"/>
      <c r="AN1489" s="101"/>
      <c r="AO1489" s="101"/>
      <c r="AP1489" s="101"/>
      <c r="AQ1489" s="101"/>
      <c r="AR1489" s="101"/>
      <c r="AS1489" s="101"/>
      <c r="AT1489" s="101"/>
    </row>
    <row r="1490" spans="1:46" ht="12.95" customHeight="1">
      <c r="A1490" s="419">
        <v>3</v>
      </c>
      <c r="B1490" s="87" t="s">
        <v>50</v>
      </c>
      <c r="C1490" s="399" t="s">
        <v>136</v>
      </c>
      <c r="D1490" s="129" t="s">
        <v>90</v>
      </c>
      <c r="E1490" s="98">
        <v>33.950000000000003</v>
      </c>
      <c r="F1490" s="705" t="s">
        <v>1306</v>
      </c>
      <c r="G1490" s="357">
        <v>0</v>
      </c>
      <c r="H1490" s="704" t="str">
        <f t="shared" ref="H1490" si="3671">IF(G1490=0,"",IF(F1490="Qty=",IF(G1490=1,"plant","plants"),IF(F1490&gt;0.0001,"warranty","Error")))</f>
        <v/>
      </c>
      <c r="I1490" s="98">
        <f t="shared" ref="I1490" si="3672">IF(F1490="Qty=",(E1490*G1490),((E1490*(1-F1490))*G1490))</f>
        <v>0</v>
      </c>
      <c r="J1490" s="98">
        <f>IF(H1490="warranty",0,(I1490*($J$1782)))</f>
        <v>0</v>
      </c>
      <c r="K1490" s="831">
        <f t="shared" ref="K1490" si="3673">I1490+J1490</f>
        <v>0</v>
      </c>
      <c r="L1490" s="831"/>
      <c r="M1490" s="832" t="str">
        <f>IF($H$1784=0,"",IF(G1490=0,"",IF(F1490="Qty=",CONCATENATE("$",ROUND(K1490*(1-$H$1784),2)," with ",($H$1784*100),"% discount"),CONCATENATE("$",ROUND(K1490*(1-$H$1784),2)," with ",(($H$1784*100+F1490*100)-($H$1784*100*F1490)),IF(F1490&gt;0,"% discounts",IF($H$1781&gt;0,"% discounts","% discount"))))))</f>
        <v/>
      </c>
      <c r="N1490" s="832"/>
      <c r="O1490" s="832"/>
      <c r="P1490" s="832"/>
      <c r="Q1490" s="832"/>
      <c r="R1490" s="832"/>
      <c r="S1490" s="303">
        <f t="shared" ref="S1490" si="3674">E1490*G1490</f>
        <v>0</v>
      </c>
      <c r="T1490" s="541">
        <f>VLOOKUP(A1490,'Discount Lookup'!D:E,2,FALSE)*G1490</f>
        <v>0</v>
      </c>
      <c r="U1490" s="83">
        <f>VLOOKUP(A1490,'Discount Lookup'!G:H,2,FALSE)*G1490</f>
        <v>0</v>
      </c>
      <c r="V1490" s="100">
        <f>E1490*($J$1782)*G1490</f>
        <v>0</v>
      </c>
      <c r="W1490" s="100">
        <f t="shared" ref="W1490" si="3675">I1490</f>
        <v>0</v>
      </c>
      <c r="X1490" s="100" t="b">
        <f>IF(G1490&gt;0,IF(AD1490="me","",G1490))</f>
        <v>0</v>
      </c>
      <c r="Y1490" s="201"/>
      <c r="Z1490" s="829" t="str">
        <f t="shared" si="3644"/>
        <v/>
      </c>
      <c r="AA1490" s="829"/>
      <c r="AB1490" s="830" t="str">
        <f>IF(G1490=0,"",IF(AD1490="free","re-planting",IF(AD1490="me","not NVP, by",IF($AD$8="yes",(VLOOKUP(A1490,'Discount Lookup'!J:K,2)*G1490*(1-$AC$1786)*(1+$AC$1788)),IF(AD1490="NVP",(VLOOKUP(A1490,'Discount Lookup'!J:K,2)*G1490*(1-$AC$1786)*(1+$AC$1788)),IF(AD1490="free","re-planting",IF(G1490=0,"",IF($AD$8="",IF(AD1490="me","not NVP, by",IF(AD1490="",IF(G1490&gt;0,(VLOOKUP(A1490,'Discount Lookup'!J:K,2)*G1490*(1-$AC$1786)*(1+$AC$1788)),""),"")),"not NVP, by"))))))))</f>
        <v/>
      </c>
      <c r="AC1490" s="830"/>
      <c r="AD1490" s="375" t="str">
        <f t="shared" si="3560"/>
        <v/>
      </c>
      <c r="AE1490" s="833" t="str">
        <f>IF(G1490&gt;0,(CONCATENATE((G1490)," quantity, ",(A1490)," ",B1490)),"")</f>
        <v/>
      </c>
      <c r="AF1490" s="833"/>
      <c r="AG1490" s="833"/>
      <c r="AH1490" s="91">
        <f>IF(AD1490="free",0,IF(AD1490="me",0,IF(G1490&gt;0,(VLOOKUP(A1490,'Discount Lookup'!J:K,2)*G1490),0)))</f>
        <v>0</v>
      </c>
      <c r="AI1490" s="92" t="str">
        <f t="shared" si="3628"/>
        <v/>
      </c>
      <c r="AJ1490" s="828" t="str">
        <f t="shared" si="3646"/>
        <v/>
      </c>
      <c r="AK1490" s="828"/>
      <c r="AL1490" s="313" t="str">
        <f t="shared" si="3660"/>
        <v/>
      </c>
      <c r="AM1490" s="312"/>
      <c r="AN1490" s="101"/>
      <c r="AO1490" s="101"/>
      <c r="AP1490" s="101"/>
      <c r="AQ1490" s="101"/>
      <c r="AR1490" s="101"/>
      <c r="AS1490" s="101"/>
      <c r="AT1490" s="101"/>
    </row>
    <row r="1491" spans="1:46" ht="12.75" customHeight="1">
      <c r="A1491" s="482"/>
      <c r="B1491" s="198" t="s">
        <v>794</v>
      </c>
      <c r="C1491" s="147"/>
      <c r="D1491" s="147"/>
      <c r="E1491" s="169"/>
      <c r="F1491" s="717"/>
      <c r="G1491" s="363"/>
      <c r="H1491" s="749"/>
      <c r="I1491" s="169"/>
      <c r="J1491" s="169"/>
      <c r="K1491" s="586"/>
      <c r="L1491" s="586"/>
      <c r="M1491" s="212"/>
      <c r="N1491" s="212"/>
      <c r="O1491" s="123"/>
      <c r="P1491" s="124"/>
      <c r="Q1491" s="124"/>
      <c r="R1491" s="83"/>
      <c r="S1491" s="82">
        <f>E1491*G1491</f>
        <v>0</v>
      </c>
      <c r="T1491" s="540"/>
      <c r="U1491" s="83"/>
      <c r="V1491" s="100" t="b">
        <f>IF(G1491&gt;0,IF(AD1491="me","",G1491))</f>
        <v>0</v>
      </c>
      <c r="W1491" s="100"/>
      <c r="X1491" s="100"/>
      <c r="Y1491" s="201"/>
      <c r="Z1491" s="829" t="str">
        <f t="shared" si="3644"/>
        <v/>
      </c>
      <c r="AA1491" s="829"/>
      <c r="AB1491" s="830" t="str">
        <f>IF(G1491=0,"",IF(AD1491="free","re-planting",IF(AD1491="me","not NVP, by",IF($AD$8="yes",(VLOOKUP(A1491,'Discount Lookup'!J:K,2)*G1491*(1-$AC$1786)*(1+$AC$1788)),IF(AD1491="NVP",(VLOOKUP(A1491,'Discount Lookup'!J:K,2)*G1491*(1-$AC$1786)*(1+$AC$1788)),IF(AD1491="free","re-planting",IF(G1491=0,"",IF($AD$8="",IF(AD1491="me","not NVP, by",IF(AD1491="",IF(G1491&gt;0,(VLOOKUP(A1491,'Discount Lookup'!J:K,2)*G1491*(1-$AC$1786)*(1+$AC$1788)),""),"")),"not NVP, by"))))))))</f>
        <v/>
      </c>
      <c r="AC1491" s="830"/>
      <c r="AD1491" s="375" t="str">
        <f t="shared" si="3560"/>
        <v/>
      </c>
      <c r="AE1491" s="833" t="str">
        <f t="shared" si="3645"/>
        <v/>
      </c>
      <c r="AF1491" s="833"/>
      <c r="AG1491" s="833"/>
      <c r="AH1491" s="91">
        <f>IF(AD1491="free",0,IF(AD1491="me",0,IF(G1491&gt;0,(VLOOKUP(A1491,'Discount Lookup'!J:K,2)*G1491),0)))</f>
        <v>0</v>
      </c>
      <c r="AI1491" s="92" t="str">
        <f t="shared" si="3628"/>
        <v/>
      </c>
      <c r="AJ1491" s="828" t="str">
        <f t="shared" si="3646"/>
        <v/>
      </c>
      <c r="AK1491" s="828"/>
      <c r="AL1491" s="313" t="str">
        <f t="shared" si="3660"/>
        <v/>
      </c>
      <c r="AM1491" s="312"/>
      <c r="AN1491" s="101"/>
      <c r="AO1491" s="101"/>
      <c r="AP1491" s="101"/>
      <c r="AQ1491" s="101"/>
      <c r="AR1491" s="101"/>
      <c r="AS1491" s="101"/>
      <c r="AT1491" s="101"/>
    </row>
    <row r="1492" spans="1:46" ht="12.95" customHeight="1">
      <c r="A1492" s="929" t="s">
        <v>1263</v>
      </c>
      <c r="B1492" s="902"/>
      <c r="C1492" s="902"/>
      <c r="D1492" s="902"/>
      <c r="E1492" s="902"/>
      <c r="F1492" s="902"/>
      <c r="G1492" s="902"/>
      <c r="H1492" s="776" t="s">
        <v>621</v>
      </c>
      <c r="I1492" s="348" t="s">
        <v>44</v>
      </c>
      <c r="J1492" s="668"/>
      <c r="K1492" s="603" t="s">
        <v>45</v>
      </c>
      <c r="L1492" s="601" t="s">
        <v>46</v>
      </c>
      <c r="M1492" s="86"/>
      <c r="N1492" s="567" t="s">
        <v>1371</v>
      </c>
      <c r="O1492" s="567"/>
      <c r="P1492" s="667"/>
      <c r="Q1492" s="667"/>
      <c r="R1492" s="668"/>
      <c r="S1492" s="669"/>
      <c r="T1492" s="670"/>
      <c r="U1492" s="671" t="s">
        <v>1370</v>
      </c>
      <c r="V1492" s="100" t="b">
        <f>IF(G1492&gt;0,IF(AD1492="me","",G1492))</f>
        <v>0</v>
      </c>
      <c r="W1492" s="100"/>
      <c r="X1492" s="100"/>
      <c r="Y1492" s="790"/>
      <c r="Z1492" s="829" t="str">
        <f>IF(G1492=0,"",IF(AD1492="me","",IF($AD$8="me","",IF(AD1492="free","warranty",IF($AD$8="yes","NVP planting:","to NVP install:")))))</f>
        <v/>
      </c>
      <c r="AA1492" s="829"/>
      <c r="AB1492" s="830" t="str">
        <f>IF(G1492=0,"",IF(AD1492="free","re-planting",IF(AD1492="me","not NVP, by",IF($AD$8="yes",(VLOOKUP(A1492,'Discount Lookup'!J:K,2)*G1492*(1-$AC$1786)*(1+$AC$1788)),IF(AD1492="NVP",(VLOOKUP(A1492,'Discount Lookup'!J:K,2)*G1492*(1-$AC$1786)*(1+$AC$1788)),IF(AD1492="free","re-planting",IF(G1492=0,"",IF($AD$8="",IF(AD1492="me","not NVP, by",IF(AD1492="",IF(G1492&gt;0,(VLOOKUP(A1492,'Discount Lookup'!J:K,2)*G1492*(1-$AC$1786)*(1+$AC$1788)),""),"")),"not NVP, by"))))))))</f>
        <v/>
      </c>
      <c r="AC1492" s="830"/>
      <c r="AD1492" s="375" t="str">
        <f>IF(G1492=0,"",IF($AD$8="me","me",IF(H1492="warranty","free",IF($AD$8="yes","NVP",""))))</f>
        <v/>
      </c>
      <c r="AE1492" s="833" t="str">
        <f t="shared" ref="AE1492:AE1494" si="3676">IF(G1492&gt;0,(CONCATENATE((G1492)," quantity, ",(A1492)," ",B1492)),"")</f>
        <v/>
      </c>
      <c r="AF1492" s="833"/>
      <c r="AG1492" s="833"/>
      <c r="AH1492" s="91">
        <f>IF(AD1492="free",0,IF(AD1492="me",0,IF(G1492&gt;0,(VLOOKUP(A1492,'Discount Lookup'!J:K,2)*G1492),0)))</f>
        <v>0</v>
      </c>
      <c r="AI1492" s="92" t="str">
        <f t="shared" si="3628"/>
        <v/>
      </c>
      <c r="AJ1492" s="828" t="str">
        <f>IF(G1492=0,"",IF(AD1492="me","  delivery-only",IF($AD$8="me","  delivery-only",CONCATENATE(" $",ROUND(AI1492/G1492,2)," each"))))</f>
        <v/>
      </c>
      <c r="AK1492" s="828"/>
      <c r="AL1492" s="313" t="str">
        <f t="shared" si="3660"/>
        <v/>
      </c>
      <c r="AM1492" s="312"/>
      <c r="AN1492" s="101"/>
      <c r="AO1492" s="101"/>
      <c r="AP1492" s="101"/>
      <c r="AQ1492" s="101"/>
      <c r="AR1492" s="101"/>
      <c r="AS1492" s="101"/>
      <c r="AT1492" s="101"/>
    </row>
    <row r="1493" spans="1:46" ht="12.95" customHeight="1">
      <c r="A1493" s="419">
        <v>1</v>
      </c>
      <c r="B1493" s="87" t="s">
        <v>50</v>
      </c>
      <c r="C1493" s="399" t="s">
        <v>136</v>
      </c>
      <c r="D1493" s="129" t="s">
        <v>87</v>
      </c>
      <c r="E1493" s="98">
        <v>14.95</v>
      </c>
      <c r="F1493" s="705" t="s">
        <v>1306</v>
      </c>
      <c r="G1493" s="357">
        <v>0</v>
      </c>
      <c r="H1493" s="704" t="str">
        <f t="shared" ref="H1493" si="3677">IF(G1493=0,"",IF(F1493="Qty=",IF(G1493=1,"plant","plants"),IF(F1493&gt;0.0001,"warranty","Error")))</f>
        <v/>
      </c>
      <c r="I1493" s="98">
        <f t="shared" ref="I1493" si="3678">IF(F1493="Qty=",(E1493*G1493),((E1493*(1-F1493))*G1493))</f>
        <v>0</v>
      </c>
      <c r="J1493" s="98">
        <f>IF(H1493="warranty",0,(I1493*($J$1782)))</f>
        <v>0</v>
      </c>
      <c r="K1493" s="831">
        <f t="shared" ref="K1493" si="3679">I1493+J1493</f>
        <v>0</v>
      </c>
      <c r="L1493" s="831"/>
      <c r="M1493" s="832" t="str">
        <f>IF($H$1784=0,"",IF(G1493=0,"",IF(F1493="Qty=",CONCATENATE("$",ROUND(K1493*(1-$H$1784),2)," with ",($H$1784*100),"% discount"),CONCATENATE("$",ROUND(K1493*(1-$H$1784),2)," with ",(($H$1784*100+F1493*100)-($H$1784*100*F1493)),IF(F1493&gt;0,"% discounts",IF($H$1781&gt;0,"% discounts","% discount"))))))</f>
        <v/>
      </c>
      <c r="N1493" s="832"/>
      <c r="O1493" s="832"/>
      <c r="P1493" s="832"/>
      <c r="Q1493" s="832"/>
      <c r="R1493" s="832"/>
      <c r="S1493" s="303">
        <f t="shared" ref="S1493" si="3680">E1493*G1493</f>
        <v>0</v>
      </c>
      <c r="T1493" s="541">
        <f>VLOOKUP(A1493,'Discount Lookup'!D:E,2,FALSE)*G1493</f>
        <v>0</v>
      </c>
      <c r="U1493" s="83">
        <f>VLOOKUP(A1493,'Discount Lookup'!G:H,2,FALSE)*G1493</f>
        <v>0</v>
      </c>
      <c r="V1493" s="100">
        <f>E1493*($J$1782)*G1493</f>
        <v>0</v>
      </c>
      <c r="W1493" s="100">
        <f t="shared" ref="W1493" si="3681">I1493</f>
        <v>0</v>
      </c>
      <c r="X1493" s="100" t="b">
        <f>IF(G1493&gt;0,IF(AD1493="me","",G1493))</f>
        <v>0</v>
      </c>
      <c r="Y1493" s="790"/>
      <c r="Z1493" s="838" t="str">
        <f>IF(G1493=0,"",IF(AD1493="me","",IF($AD$8="me","",IF(AD1493="free","warranty",IF($AD$8="yes","NVP planting:","to NVP install:")))))</f>
        <v/>
      </c>
      <c r="AA1493" s="838"/>
      <c r="AB1493" s="830" t="str">
        <f>IF(G1493=0,"",IF(AD1493="free","re-planting",IF(AD1493="me","not NVP, by",IF($AD$8="yes",(VLOOKUP(A1493,'Discount Lookup'!J:K,2)*G1493*(1-$AC$1786)*(1+$AC$1788)),IF(AD1493="NVP",(VLOOKUP(A1493,'Discount Lookup'!J:K,2)*G1493*(1-$AC$1786)*(1+$AC$1788)),IF(AD1493="free","re-planting",IF(G1493=0,"",IF($AD$8="",IF(AD1493="me","not NVP, by",IF(AD1493="",IF(G1493&gt;0,(VLOOKUP(A1493,'Discount Lookup'!J:K,2)*G1493*(1-$AC$1786)*(1+$AC$1788)),""),"")),"not NVP, by"))))))))</f>
        <v/>
      </c>
      <c r="AC1493" s="830"/>
      <c r="AD1493" s="375" t="str">
        <f>IF(G1493=0,"",IF($AD$8="me","me",IF(H1493="warranty","free",IF($AD$8="yes","NVP",""))))</f>
        <v/>
      </c>
      <c r="AE1493" s="833" t="str">
        <f t="shared" si="3676"/>
        <v/>
      </c>
      <c r="AF1493" s="833"/>
      <c r="AG1493" s="833"/>
      <c r="AH1493" s="91">
        <f>IF(AD1493="free",0,IF(AD1493="me",0,IF(G1493&gt;0,(VLOOKUP(A1493,'Discount Lookup'!J:K,2)*G1493),0)))</f>
        <v>0</v>
      </c>
      <c r="AI1493" s="92" t="str">
        <f t="shared" si="3628"/>
        <v/>
      </c>
      <c r="AJ1493" s="828" t="str">
        <f>IF(G1493=0,"",IF(AD1493="me","  delivery-only",IF($AD$8="me","  delivery-only",CONCATENATE(" $",ROUND(AI1493/G1493,2)," each"))))</f>
        <v/>
      </c>
      <c r="AK1493" s="828"/>
      <c r="AL1493" s="313" t="str">
        <f t="shared" si="3660"/>
        <v/>
      </c>
      <c r="AM1493" s="312"/>
      <c r="AN1493" s="101"/>
      <c r="AO1493" s="101"/>
      <c r="AP1493" s="101"/>
      <c r="AQ1493" s="101"/>
      <c r="AR1493" s="101"/>
      <c r="AS1493" s="101"/>
      <c r="AT1493" s="101"/>
    </row>
    <row r="1494" spans="1:46" ht="12.75" customHeight="1">
      <c r="A1494" s="482"/>
      <c r="B1494" s="198" t="s">
        <v>1264</v>
      </c>
      <c r="C1494" s="147"/>
      <c r="D1494" s="147"/>
      <c r="E1494" s="169"/>
      <c r="F1494" s="717"/>
      <c r="G1494" s="363"/>
      <c r="H1494" s="749"/>
      <c r="I1494" s="169"/>
      <c r="J1494" s="169"/>
      <c r="K1494" s="586"/>
      <c r="L1494" s="586"/>
      <c r="M1494" s="212"/>
      <c r="N1494" s="122" t="s">
        <v>115</v>
      </c>
      <c r="O1494" s="123"/>
      <c r="P1494" s="124"/>
      <c r="Q1494" s="124"/>
      <c r="R1494" s="83"/>
      <c r="S1494" s="82"/>
      <c r="T1494" s="540"/>
      <c r="U1494" s="83"/>
      <c r="V1494" s="100" t="b">
        <f>IF(G1494&gt;0,IF(AD1494="me","",G1494))</f>
        <v>0</v>
      </c>
      <c r="W1494" s="100"/>
      <c r="X1494" s="100"/>
      <c r="Y1494" s="790"/>
      <c r="Z1494" s="838" t="str">
        <f>IF(G1494=0,"",IF(AD1494="me","",IF($AD$8="me","",IF(AD1494="free","warranty",IF($AD$8="yes","NVP planting:","to NVP install:")))))</f>
        <v/>
      </c>
      <c r="AA1494" s="838"/>
      <c r="AB1494" s="830" t="str">
        <f>IF(G1494=0,"",IF(AD1494="free","re-planting",IF(AD1494="me","not NVP, by",IF($AD$8="yes",(VLOOKUP(A1494,'Discount Lookup'!J:K,2)*G1494*(1-$AC$1786)*(1+$AC$1788)),IF(AD1494="NVP",(VLOOKUP(A1494,'Discount Lookup'!J:K,2)*G1494*(1-$AC$1786)*(1+$AC$1788)),IF(AD1494="free","re-planting",IF(G1494=0,"",IF($AD$8="",IF(AD1494="me","not NVP, by",IF(AD1494="",IF(G1494&gt;0,(VLOOKUP(A1494,'Discount Lookup'!J:K,2)*G1494*(1-$AC$1786)*(1+$AC$1788)),""),"")),"not NVP, by"))))))))</f>
        <v/>
      </c>
      <c r="AC1494" s="830"/>
      <c r="AD1494" s="375" t="str">
        <f>IF(G1494=0,"",IF($AD$8="me","me",IF(H1494="warranty","free",IF($AD$8="yes","NVP",""))))</f>
        <v/>
      </c>
      <c r="AE1494" s="833" t="str">
        <f t="shared" si="3676"/>
        <v/>
      </c>
      <c r="AF1494" s="833"/>
      <c r="AG1494" s="833"/>
      <c r="AH1494" s="91">
        <f>IF(AD1494="free",0,IF(AD1494="me",0,IF(G1494&gt;0,(VLOOKUP(A1494,'Discount Lookup'!J:K,2)*G1494),0)))</f>
        <v>0</v>
      </c>
      <c r="AI1494" s="92" t="str">
        <f t="shared" si="3628"/>
        <v/>
      </c>
      <c r="AJ1494" s="828" t="str">
        <f>IF(G1494=0,"",IF(AD1494="me","  delivery-only",IF($AD$8="me","  delivery-only",CONCATENATE(" $",ROUND(AI1494/G1494,2)," each"))))</f>
        <v/>
      </c>
      <c r="AK1494" s="828"/>
      <c r="AL1494" s="313" t="str">
        <f t="shared" si="3660"/>
        <v/>
      </c>
      <c r="AM1494" s="312"/>
      <c r="AN1494" s="101"/>
      <c r="AO1494" s="101"/>
      <c r="AP1494" s="101"/>
      <c r="AQ1494" s="101"/>
      <c r="AR1494" s="101"/>
      <c r="AS1494" s="101"/>
      <c r="AT1494" s="101"/>
    </row>
    <row r="1495" spans="1:46" ht="12.95" customHeight="1">
      <c r="A1495" s="920" t="s">
        <v>795</v>
      </c>
      <c r="B1495" s="921"/>
      <c r="C1495" s="921"/>
      <c r="D1495" s="921"/>
      <c r="E1495" s="921"/>
      <c r="F1495" s="921"/>
      <c r="G1495" s="921"/>
      <c r="H1495" s="776" t="s">
        <v>624</v>
      </c>
      <c r="I1495" s="88" t="s">
        <v>174</v>
      </c>
      <c r="J1495" s="86"/>
      <c r="K1495" s="603" t="s">
        <v>45</v>
      </c>
      <c r="L1495" s="601" t="s">
        <v>46</v>
      </c>
      <c r="M1495" s="86"/>
      <c r="N1495" s="87" t="s">
        <v>128</v>
      </c>
      <c r="O1495" s="87"/>
      <c r="P1495" s="87"/>
      <c r="Q1495" s="87"/>
      <c r="R1495" s="86"/>
      <c r="S1495" s="125"/>
      <c r="T1495" s="543"/>
      <c r="U1495" s="112"/>
      <c r="V1495" s="100" t="b">
        <f>IF(G1495&gt;0,IF(AD1495="me","",G1495))</f>
        <v>0</v>
      </c>
      <c r="W1495" s="100"/>
      <c r="X1495" s="100"/>
      <c r="Y1495" s="201"/>
      <c r="Z1495" s="829" t="str">
        <f t="shared" si="3644"/>
        <v/>
      </c>
      <c r="AA1495" s="829"/>
      <c r="AB1495" s="830" t="str">
        <f>IF(G1495=0,"",IF(AD1495="free","re-planting",IF(AD1495="me","not NVP, by",IF($AD$8="yes",(VLOOKUP(A1495,'Discount Lookup'!J:K,2)*G1495*(1-$AC$1786)*(1+$AC$1788)),IF(AD1495="NVP",(VLOOKUP(A1495,'Discount Lookup'!J:K,2)*G1495*(1-$AC$1786)*(1+$AC$1788)),IF(AD1495="free","re-planting",IF(G1495=0,"",IF($AD$8="",IF(AD1495="me","not NVP, by",IF(AD1495="",IF(G1495&gt;0,(VLOOKUP(A1495,'Discount Lookup'!J:K,2)*G1495*(1-$AC$1786)*(1+$AC$1788)),""),"")),"not NVP, by"))))))))</f>
        <v/>
      </c>
      <c r="AC1495" s="830"/>
      <c r="AD1495" s="375" t="str">
        <f t="shared" si="3560"/>
        <v/>
      </c>
      <c r="AE1495" s="833" t="str">
        <f t="shared" si="3645"/>
        <v/>
      </c>
      <c r="AF1495" s="833"/>
      <c r="AG1495" s="833"/>
      <c r="AH1495" s="91">
        <f>IF(AD1495="free",0,IF(AD1495="me",0,IF(G1495&gt;0,(VLOOKUP(A1495,'Discount Lookup'!J:K,2)*G1495),0)))</f>
        <v>0</v>
      </c>
      <c r="AI1495" s="92" t="str">
        <f t="shared" si="3628"/>
        <v/>
      </c>
      <c r="AJ1495" s="828" t="str">
        <f t="shared" si="3646"/>
        <v/>
      </c>
      <c r="AK1495" s="828"/>
      <c r="AL1495" s="313" t="str">
        <f t="shared" si="3660"/>
        <v/>
      </c>
      <c r="AM1495" s="312"/>
      <c r="AN1495" s="101"/>
      <c r="AO1495" s="101"/>
      <c r="AP1495" s="101"/>
      <c r="AQ1495" s="101"/>
      <c r="AR1495" s="101"/>
      <c r="AS1495" s="101"/>
      <c r="AT1495" s="101"/>
    </row>
    <row r="1496" spans="1:46" ht="12.95" customHeight="1">
      <c r="A1496" s="419">
        <v>3</v>
      </c>
      <c r="B1496" s="87" t="s">
        <v>50</v>
      </c>
      <c r="C1496" s="399" t="s">
        <v>136</v>
      </c>
      <c r="D1496" s="129" t="s">
        <v>87</v>
      </c>
      <c r="E1496" s="98">
        <v>26.95</v>
      </c>
      <c r="F1496" s="705" t="s">
        <v>1306</v>
      </c>
      <c r="G1496" s="357">
        <v>0</v>
      </c>
      <c r="H1496" s="704" t="str">
        <f t="shared" ref="H1496" si="3682">IF(G1496=0,"",IF(F1496="Qty=",IF(G1496=1,"plant","plants"),IF(F1496&gt;0.0001,"warranty","Error")))</f>
        <v/>
      </c>
      <c r="I1496" s="98">
        <f t="shared" ref="I1496" si="3683">IF(F1496="Qty=",(E1496*G1496),((E1496*(1-F1496))*G1496))</f>
        <v>0</v>
      </c>
      <c r="J1496" s="98">
        <f>IF(H1496="warranty",0,(I1496*($J$1782)))</f>
        <v>0</v>
      </c>
      <c r="K1496" s="831">
        <f t="shared" ref="K1496:K1497" si="3684">I1496+J1496</f>
        <v>0</v>
      </c>
      <c r="L1496" s="831"/>
      <c r="M1496" s="832" t="str">
        <f>IF($H$1784=0,"",IF(G1496=0,"",IF(F1496="Qty=",CONCATENATE("$",ROUND(K1496*(1-$H$1784),2)," with ",($H$1784*100),"% discount"),CONCATENATE("$",ROUND(K1496*(1-$H$1784),2)," with ",(($H$1784*100+F1496*100)-($H$1784*100*F1496)),IF(F1496&gt;0,"% discounts",IF($H$1781&gt;0,"% discounts","% discount"))))))</f>
        <v/>
      </c>
      <c r="N1496" s="832"/>
      <c r="O1496" s="832"/>
      <c r="P1496" s="832"/>
      <c r="Q1496" s="832"/>
      <c r="R1496" s="832"/>
      <c r="S1496" s="303">
        <f t="shared" ref="S1496" si="3685">E1496*G1496</f>
        <v>0</v>
      </c>
      <c r="T1496" s="541">
        <f>VLOOKUP(A1496,'Discount Lookup'!D:E,2,FALSE)*G1496</f>
        <v>0</v>
      </c>
      <c r="U1496" s="83">
        <f>VLOOKUP(A1496,'Discount Lookup'!G:H,2,FALSE)*G1496</f>
        <v>0</v>
      </c>
      <c r="V1496" s="100">
        <f>E1496*($J$1782)*G1496</f>
        <v>0</v>
      </c>
      <c r="W1496" s="100">
        <f t="shared" ref="W1496" si="3686">I1496</f>
        <v>0</v>
      </c>
      <c r="X1496" s="100" t="b">
        <f>IF(G1496&gt;0,IF(AD1496="me","",G1496))</f>
        <v>0</v>
      </c>
      <c r="Y1496" s="201"/>
      <c r="Z1496" s="829" t="str">
        <f t="shared" ref="Z1496" si="3687">IF(G1496=0,"",IF(AD1496="me","",IF($AD$8="me","",IF(AD1496="free","warranty",IF($AD$8="yes","NVP planting:","to NVP install:")))))</f>
        <v/>
      </c>
      <c r="AA1496" s="829"/>
      <c r="AB1496" s="830" t="str">
        <f>IF(G1496=0,"",IF(AD1496="free","re-planting",IF(AD1496="me","not NVP, by",IF($AD$8="yes",(VLOOKUP(A1496,'Discount Lookup'!J:K,2)*G1496*(1-$AC$1786)*(1+$AC$1788)),IF(AD1496="NVP",(VLOOKUP(A1496,'Discount Lookup'!J:K,2)*G1496*(1-$AC$1786)*(1+$AC$1788)),IF(AD1496="free","re-planting",IF(G1496=0,"",IF($AD$8="",IF(AD1496="me","not NVP, by",IF(AD1496="",IF(G1496&gt;0,(VLOOKUP(A1496,'Discount Lookup'!J:K,2)*G1496*(1-$AC$1786)*(1+$AC$1788)),""),"")),"not NVP, by"))))))))</f>
        <v/>
      </c>
      <c r="AC1496" s="830"/>
      <c r="AD1496" s="375" t="str">
        <f t="shared" si="3560"/>
        <v/>
      </c>
      <c r="AE1496" s="833" t="str">
        <f t="shared" ref="AE1496" si="3688">IF(G1496&gt;0,(CONCATENATE((G1496)," quantity, ",(A1496)," ",B1496)),"")</f>
        <v/>
      </c>
      <c r="AF1496" s="833"/>
      <c r="AG1496" s="833"/>
      <c r="AH1496" s="91">
        <f>IF(AD1496="free",0,IF(AD1496="me",0,IF(G1496&gt;0,(VLOOKUP(A1496,'Discount Lookup'!J:K,2)*G1496),0)))</f>
        <v>0</v>
      </c>
      <c r="AI1496" s="92" t="str">
        <f t="shared" si="3628"/>
        <v/>
      </c>
      <c r="AJ1496" s="828" t="str">
        <f t="shared" ref="AJ1496" si="3689">IF(G1496=0,"",IF(AD1496="me","  delivery-only",IF($AD$8="me","  delivery-only",CONCATENATE(" $",ROUND(AI1496/G1496,2)," each"))))</f>
        <v/>
      </c>
      <c r="AK1496" s="828"/>
      <c r="AL1496" s="313" t="str">
        <f t="shared" si="3660"/>
        <v/>
      </c>
      <c r="AM1496" s="312"/>
      <c r="AN1496" s="101"/>
      <c r="AO1496" s="101"/>
      <c r="AP1496" s="101"/>
      <c r="AQ1496" s="101"/>
      <c r="AR1496" s="101"/>
      <c r="AS1496" s="101"/>
      <c r="AT1496" s="101"/>
    </row>
    <row r="1497" spans="1:46" ht="12.95" customHeight="1">
      <c r="A1497" s="419">
        <v>3</v>
      </c>
      <c r="B1497" s="87" t="s">
        <v>50</v>
      </c>
      <c r="C1497" s="399" t="s">
        <v>136</v>
      </c>
      <c r="D1497" s="129" t="s">
        <v>54</v>
      </c>
      <c r="E1497" s="98">
        <v>31.95</v>
      </c>
      <c r="F1497" s="705" t="s">
        <v>1306</v>
      </c>
      <c r="G1497" s="357">
        <v>0</v>
      </c>
      <c r="H1497" s="704" t="str">
        <f t="shared" ref="H1497" si="3690">IF(G1497=0,"",IF(F1497="Qty=",IF(G1497=1,"plant","plants"),IF(F1497&gt;0.0001,"warranty","Error")))</f>
        <v/>
      </c>
      <c r="I1497" s="98">
        <f t="shared" ref="I1497" si="3691">IF(F1497="Qty=",(E1497*G1497),((E1497*(1-F1497))*G1497))</f>
        <v>0</v>
      </c>
      <c r="J1497" s="98">
        <f>IF(H1497="warranty",0,(I1497*($J$1782)))</f>
        <v>0</v>
      </c>
      <c r="K1497" s="831">
        <f t="shared" si="3684"/>
        <v>0</v>
      </c>
      <c r="L1497" s="831"/>
      <c r="M1497" s="832" t="str">
        <f>IF($H$1784=0,"",IF(G1497=0,"",IF(F1497="Qty=",CONCATENATE("$",ROUND(K1497*(1-$H$1784),2)," with ",($H$1784*100),"% discount"),CONCATENATE("$",ROUND(K1497*(1-$H$1784),2)," with ",(($H$1784*100+F1497*100)-($H$1784*100*F1497)),IF(F1497&gt;0,"% discounts",IF($H$1781&gt;0,"% discounts","% discount"))))))</f>
        <v/>
      </c>
      <c r="N1497" s="832"/>
      <c r="O1497" s="832"/>
      <c r="P1497" s="832"/>
      <c r="Q1497" s="832"/>
      <c r="R1497" s="832"/>
      <c r="S1497" s="303">
        <f t="shared" ref="S1497" si="3692">E1497*G1497</f>
        <v>0</v>
      </c>
      <c r="T1497" s="541">
        <f>VLOOKUP(A1497,'Discount Lookup'!D:E,2,FALSE)*G1497</f>
        <v>0</v>
      </c>
      <c r="U1497" s="83">
        <f>VLOOKUP(A1497,'Discount Lookup'!G:H,2,FALSE)*G1497</f>
        <v>0</v>
      </c>
      <c r="V1497" s="100">
        <f>E1497*($J$1782)*G1497</f>
        <v>0</v>
      </c>
      <c r="W1497" s="100">
        <f t="shared" ref="W1497" si="3693">I1497</f>
        <v>0</v>
      </c>
      <c r="X1497" s="100" t="b">
        <f>IF(G1497&gt;0,IF(AD1497="me","",G1497))</f>
        <v>0</v>
      </c>
      <c r="Y1497" s="201"/>
      <c r="Z1497" s="829" t="str">
        <f t="shared" si="3644"/>
        <v/>
      </c>
      <c r="AA1497" s="829"/>
      <c r="AB1497" s="830" t="str">
        <f>IF(G1497=0,"",IF(AD1497="free","re-planting",IF(AD1497="me","not NVP, by",IF($AD$8="yes",(VLOOKUP(A1497,'Discount Lookup'!J:K,2)*G1497*(1-$AC$1786)*(1+$AC$1788)),IF(AD1497="NVP",(VLOOKUP(A1497,'Discount Lookup'!J:K,2)*G1497*(1-$AC$1786)*(1+$AC$1788)),IF(AD1497="free","re-planting",IF(G1497=0,"",IF($AD$8="",IF(AD1497="me","not NVP, by",IF(AD1497="",IF(G1497&gt;0,(VLOOKUP(A1497,'Discount Lookup'!J:K,2)*G1497*(1-$AC$1786)*(1+$AC$1788)),""),"")),"not NVP, by"))))))))</f>
        <v/>
      </c>
      <c r="AC1497" s="830"/>
      <c r="AD1497" s="375" t="str">
        <f t="shared" si="3560"/>
        <v/>
      </c>
      <c r="AE1497" s="833" t="str">
        <f t="shared" si="3645"/>
        <v/>
      </c>
      <c r="AF1497" s="833"/>
      <c r="AG1497" s="833"/>
      <c r="AH1497" s="91">
        <f>IF(AD1497="free",0,IF(AD1497="me",0,IF(G1497&gt;0,(VLOOKUP(A1497,'Discount Lookup'!J:K,2)*G1497),0)))</f>
        <v>0</v>
      </c>
      <c r="AI1497" s="92" t="str">
        <f t="shared" si="3628"/>
        <v/>
      </c>
      <c r="AJ1497" s="828" t="str">
        <f t="shared" si="3646"/>
        <v/>
      </c>
      <c r="AK1497" s="828"/>
      <c r="AL1497" s="313" t="str">
        <f t="shared" si="3660"/>
        <v/>
      </c>
      <c r="AM1497" s="312"/>
      <c r="AN1497" s="101"/>
      <c r="AO1497" s="101"/>
      <c r="AP1497" s="101"/>
      <c r="AQ1497" s="101"/>
      <c r="AR1497" s="101"/>
      <c r="AS1497" s="101"/>
      <c r="AT1497" s="101"/>
    </row>
    <row r="1498" spans="1:46" ht="12.95" customHeight="1">
      <c r="A1498" s="468"/>
      <c r="B1498" s="198" t="s">
        <v>796</v>
      </c>
      <c r="C1498" s="118"/>
      <c r="D1498" s="118"/>
      <c r="E1498" s="119"/>
      <c r="F1498" s="711"/>
      <c r="G1498" s="358"/>
      <c r="H1498" s="745"/>
      <c r="I1498" s="119"/>
      <c r="J1498" s="119"/>
      <c r="K1498" s="609"/>
      <c r="L1498" s="609"/>
      <c r="M1498" s="121"/>
      <c r="N1498" s="121"/>
      <c r="O1498" s="123"/>
      <c r="P1498" s="124"/>
      <c r="Q1498" s="124"/>
      <c r="R1498" s="83"/>
      <c r="S1498" s="82"/>
      <c r="T1498" s="540"/>
      <c r="U1498" s="83"/>
      <c r="V1498" s="100" t="b">
        <f>IF(G1498&gt;0,IF(AD1498="me","",G1498))</f>
        <v>0</v>
      </c>
      <c r="W1498" s="100"/>
      <c r="X1498" s="100"/>
      <c r="Y1498" s="201"/>
      <c r="Z1498" s="829" t="str">
        <f t="shared" si="3644"/>
        <v/>
      </c>
      <c r="AA1498" s="829"/>
      <c r="AB1498" s="830" t="str">
        <f>IF(G1498=0,"",IF(AD1498="free","re-planting",IF(AD1498="me","not NVP, by",IF($AD$8="yes",(VLOOKUP(A1498,'Discount Lookup'!J:K,2)*G1498*(1-$AC$1786)*(1+$AC$1788)),IF(AD1498="NVP",(VLOOKUP(A1498,'Discount Lookup'!J:K,2)*G1498*(1-$AC$1786)*(1+$AC$1788)),IF(AD1498="free","re-planting",IF(G1498=0,"",IF($AD$8="",IF(AD1498="me","not NVP, by",IF(AD1498="",IF(G1498&gt;0,(VLOOKUP(A1498,'Discount Lookup'!J:K,2)*G1498*(1-$AC$1786)*(1+$AC$1788)),""),"")),"not NVP, by"))))))))</f>
        <v/>
      </c>
      <c r="AC1498" s="830"/>
      <c r="AD1498" s="375" t="str">
        <f t="shared" si="3560"/>
        <v/>
      </c>
      <c r="AE1498" s="833" t="str">
        <f t="shared" si="3645"/>
        <v/>
      </c>
      <c r="AF1498" s="833"/>
      <c r="AG1498" s="833"/>
      <c r="AH1498" s="91">
        <f>IF(AD1498="free",0,IF(AD1498="me",0,IF(G1498&gt;0,(VLOOKUP(A1498,'Discount Lookup'!J:K,2)*G1498),0)))</f>
        <v>0</v>
      </c>
      <c r="AI1498" s="92" t="str">
        <f t="shared" si="3628"/>
        <v/>
      </c>
      <c r="AJ1498" s="828" t="str">
        <f t="shared" si="3646"/>
        <v/>
      </c>
      <c r="AK1498" s="828"/>
      <c r="AL1498" s="313" t="str">
        <f t="shared" si="3660"/>
        <v/>
      </c>
      <c r="AM1498" s="312"/>
      <c r="AN1498" s="101"/>
      <c r="AO1498" s="101"/>
      <c r="AP1498" s="101"/>
      <c r="AQ1498" s="101"/>
      <c r="AR1498" s="101"/>
      <c r="AS1498" s="101"/>
      <c r="AT1498" s="101"/>
    </row>
    <row r="1499" spans="1:46" ht="12.95" customHeight="1">
      <c r="A1499" s="920" t="s">
        <v>797</v>
      </c>
      <c r="B1499" s="921"/>
      <c r="C1499" s="921"/>
      <c r="D1499" s="921"/>
      <c r="E1499" s="921"/>
      <c r="F1499" s="921"/>
      <c r="G1499" s="921"/>
      <c r="H1499" s="776" t="s">
        <v>624</v>
      </c>
      <c r="I1499" s="88" t="s">
        <v>174</v>
      </c>
      <c r="J1499" s="86"/>
      <c r="K1499" s="603" t="s">
        <v>45</v>
      </c>
      <c r="L1499" s="601" t="s">
        <v>46</v>
      </c>
      <c r="M1499" s="86"/>
      <c r="N1499" s="87" t="s">
        <v>128</v>
      </c>
      <c r="O1499" s="87"/>
      <c r="P1499" s="87"/>
      <c r="Q1499" s="87"/>
      <c r="R1499" s="86"/>
      <c r="S1499" s="125"/>
      <c r="T1499" s="543"/>
      <c r="U1499" s="112"/>
      <c r="V1499" s="100" t="b">
        <f>IF(G1499&gt;0,IF(AD1499="me","",G1499))</f>
        <v>0</v>
      </c>
      <c r="W1499" s="100"/>
      <c r="X1499" s="100"/>
      <c r="Y1499" s="201"/>
      <c r="Z1499" s="829" t="str">
        <f t="shared" si="3644"/>
        <v/>
      </c>
      <c r="AA1499" s="829"/>
      <c r="AB1499" s="830" t="str">
        <f>IF(G1499=0,"",IF(AD1499="free","re-planting",IF(AD1499="me","not NVP, by",IF($AD$8="yes",(VLOOKUP(A1499,'Discount Lookup'!J:K,2)*G1499*(1-$AC$1786)*(1+$AC$1788)),IF(AD1499="NVP",(VLOOKUP(A1499,'Discount Lookup'!J:K,2)*G1499*(1-$AC$1786)*(1+$AC$1788)),IF(AD1499="free","re-planting",IF(G1499=0,"",IF($AD$8="",IF(AD1499="me","not NVP, by",IF(AD1499="",IF(G1499&gt;0,(VLOOKUP(A1499,'Discount Lookup'!J:K,2)*G1499*(1-$AC$1786)*(1+$AC$1788)),""),"")),"not NVP, by"))))))))</f>
        <v/>
      </c>
      <c r="AC1499" s="830"/>
      <c r="AD1499" s="375" t="str">
        <f t="shared" si="3560"/>
        <v/>
      </c>
      <c r="AE1499" s="833" t="str">
        <f t="shared" si="3645"/>
        <v/>
      </c>
      <c r="AF1499" s="833"/>
      <c r="AG1499" s="833"/>
      <c r="AH1499" s="91">
        <f>IF(AD1499="free",0,IF(AD1499="me",0,IF(G1499&gt;0,(VLOOKUP(A1499,'Discount Lookup'!J:K,2)*G1499),0)))</f>
        <v>0</v>
      </c>
      <c r="AI1499" s="92" t="str">
        <f t="shared" si="3628"/>
        <v/>
      </c>
      <c r="AJ1499" s="828" t="str">
        <f t="shared" si="3646"/>
        <v/>
      </c>
      <c r="AK1499" s="828"/>
      <c r="AL1499" s="313" t="str">
        <f t="shared" si="3660"/>
        <v/>
      </c>
      <c r="AM1499" s="312"/>
      <c r="AN1499" s="101"/>
      <c r="AO1499" s="101"/>
      <c r="AP1499" s="101"/>
      <c r="AQ1499" s="101"/>
      <c r="AR1499" s="101"/>
      <c r="AS1499" s="101"/>
      <c r="AT1499" s="101"/>
    </row>
    <row r="1500" spans="1:46" ht="12.95" customHeight="1">
      <c r="A1500" s="419">
        <v>1</v>
      </c>
      <c r="B1500" s="87" t="s">
        <v>50</v>
      </c>
      <c r="C1500" s="399" t="s">
        <v>136</v>
      </c>
      <c r="D1500" s="129" t="s">
        <v>87</v>
      </c>
      <c r="E1500" s="98">
        <v>13.95</v>
      </c>
      <c r="F1500" s="705" t="s">
        <v>1306</v>
      </c>
      <c r="G1500" s="357">
        <v>0</v>
      </c>
      <c r="H1500" s="704" t="str">
        <f t="shared" ref="H1500:H1501" si="3694">IF(G1500=0,"",IF(F1500="Qty=",IF(G1500=1,"plant","plants"),IF(F1500&gt;0.0001,"warranty","Error")))</f>
        <v/>
      </c>
      <c r="I1500" s="98">
        <f t="shared" ref="I1500:I1501" si="3695">IF(F1500="Qty=",(E1500*G1500),((E1500*(1-F1500))*G1500))</f>
        <v>0</v>
      </c>
      <c r="J1500" s="98">
        <f>IF(H1500="warranty",0,(I1500*($J$1782)))</f>
        <v>0</v>
      </c>
      <c r="K1500" s="831">
        <f t="shared" ref="K1500:K1501" si="3696">I1500+J1500</f>
        <v>0</v>
      </c>
      <c r="L1500" s="831"/>
      <c r="M1500" s="832" t="str">
        <f>IF($H$1784=0,"",IF(G1500=0,"",IF(F1500="Qty=",CONCATENATE("$",ROUND(K1500*(1-$H$1784),2)," with ",($H$1784*100),"% discount"),CONCATENATE("$",ROUND(K1500*(1-$H$1784),2)," with ",(($H$1784*100+F1500*100)-($H$1784*100*F1500)),IF(F1500&gt;0,"% discounts",IF($H$1781&gt;0,"% discounts","% discount"))))))</f>
        <v/>
      </c>
      <c r="N1500" s="832"/>
      <c r="O1500" s="832"/>
      <c r="P1500" s="832"/>
      <c r="Q1500" s="832"/>
      <c r="R1500" s="832"/>
      <c r="S1500" s="303">
        <f t="shared" ref="S1500:S1501" si="3697">E1500*G1500</f>
        <v>0</v>
      </c>
      <c r="T1500" s="541">
        <f>VLOOKUP(A1500,'Discount Lookup'!D:E,2,FALSE)*G1500</f>
        <v>0</v>
      </c>
      <c r="U1500" s="83">
        <f>VLOOKUP(A1500,'Discount Lookup'!G:H,2,FALSE)*G1500</f>
        <v>0</v>
      </c>
      <c r="V1500" s="100">
        <f>E1500*($J$1782)*G1500</f>
        <v>0</v>
      </c>
      <c r="W1500" s="100">
        <f t="shared" ref="W1500:W1501" si="3698">I1500</f>
        <v>0</v>
      </c>
      <c r="X1500" s="100" t="b">
        <f>IF(G1500&gt;0,IF(AD1500="me","",G1500))</f>
        <v>0</v>
      </c>
      <c r="Y1500" s="201"/>
      <c r="Z1500" s="829" t="str">
        <f t="shared" si="3644"/>
        <v/>
      </c>
      <c r="AA1500" s="829"/>
      <c r="AB1500" s="830" t="str">
        <f>IF(G1500=0,"",IF(AD1500="free","re-planting",IF(AD1500="me","not NVP, by",IF($AD$8="yes",(VLOOKUP(A1500,'Discount Lookup'!J:K,2)*G1500*(1-$AC$1786)*(1+$AC$1788)),IF(AD1500="NVP",(VLOOKUP(A1500,'Discount Lookup'!J:K,2)*G1500*(1-$AC$1786)*(1+$AC$1788)),IF(AD1500="free","re-planting",IF(G1500=0,"",IF($AD$8="",IF(AD1500="me","not NVP, by",IF(AD1500="",IF(G1500&gt;0,(VLOOKUP(A1500,'Discount Lookup'!J:K,2)*G1500*(1-$AC$1786)*(1+$AC$1788)),""),"")),"not NVP, by"))))))))</f>
        <v/>
      </c>
      <c r="AC1500" s="830"/>
      <c r="AD1500" s="375" t="str">
        <f t="shared" si="3560"/>
        <v/>
      </c>
      <c r="AE1500" s="833" t="str">
        <f t="shared" si="3645"/>
        <v/>
      </c>
      <c r="AF1500" s="833"/>
      <c r="AG1500" s="833"/>
      <c r="AH1500" s="91">
        <f>IF(AD1500="free",0,IF(AD1500="me",0,IF(G1500&gt;0,(VLOOKUP(A1500,'Discount Lookup'!J:K,2)*G1500),0)))</f>
        <v>0</v>
      </c>
      <c r="AI1500" s="92" t="str">
        <f t="shared" si="3628"/>
        <v/>
      </c>
      <c r="AJ1500" s="828" t="str">
        <f t="shared" si="3646"/>
        <v/>
      </c>
      <c r="AK1500" s="828"/>
      <c r="AL1500" s="313" t="str">
        <f t="shared" si="3660"/>
        <v/>
      </c>
      <c r="AM1500" s="312"/>
      <c r="AN1500" s="101"/>
      <c r="AO1500" s="101"/>
      <c r="AP1500" s="101"/>
      <c r="AQ1500" s="101"/>
      <c r="AR1500" s="101"/>
      <c r="AS1500" s="101"/>
      <c r="AT1500" s="101"/>
    </row>
    <row r="1501" spans="1:46" ht="12.95" customHeight="1">
      <c r="A1501" s="419">
        <v>3</v>
      </c>
      <c r="B1501" s="87" t="s">
        <v>50</v>
      </c>
      <c r="C1501" s="399" t="s">
        <v>136</v>
      </c>
      <c r="D1501" s="129" t="s">
        <v>90</v>
      </c>
      <c r="E1501" s="98">
        <v>33.950000000000003</v>
      </c>
      <c r="F1501" s="705" t="s">
        <v>1306</v>
      </c>
      <c r="G1501" s="357">
        <v>0</v>
      </c>
      <c r="H1501" s="704" t="str">
        <f t="shared" si="3694"/>
        <v/>
      </c>
      <c r="I1501" s="98">
        <f t="shared" si="3695"/>
        <v>0</v>
      </c>
      <c r="J1501" s="98">
        <f>IF(H1501="warranty",0,(I1501*($J$1782)))</f>
        <v>0</v>
      </c>
      <c r="K1501" s="831">
        <f t="shared" si="3696"/>
        <v>0</v>
      </c>
      <c r="L1501" s="831"/>
      <c r="M1501" s="832" t="str">
        <f>IF($H$1784=0,"",IF(G1501=0,"",IF(F1501="Qty=",CONCATENATE("$",ROUND(K1501*(1-$H$1784),2)," with ",($H$1784*100),"% discount"),CONCATENATE("$",ROUND(K1501*(1-$H$1784),2)," with ",(($H$1784*100+F1501*100)-($H$1784*100*F1501)),IF(F1501&gt;0,"% discounts",IF($H$1781&gt;0,"% discounts","% discount"))))))</f>
        <v/>
      </c>
      <c r="N1501" s="832"/>
      <c r="O1501" s="832"/>
      <c r="P1501" s="832"/>
      <c r="Q1501" s="832"/>
      <c r="R1501" s="832"/>
      <c r="S1501" s="303">
        <f t="shared" si="3697"/>
        <v>0</v>
      </c>
      <c r="T1501" s="541">
        <f>VLOOKUP(A1501,'Discount Lookup'!D:E,2,FALSE)*G1501</f>
        <v>0</v>
      </c>
      <c r="U1501" s="83">
        <f>VLOOKUP(A1501,'Discount Lookup'!G:H,2,FALSE)*G1501</f>
        <v>0</v>
      </c>
      <c r="V1501" s="100">
        <f>E1501*($J$1782)*G1501</f>
        <v>0</v>
      </c>
      <c r="W1501" s="100">
        <f t="shared" si="3698"/>
        <v>0</v>
      </c>
      <c r="X1501" s="100" t="b">
        <f>IF(G1501&gt;0,IF(AD1501="me","",G1501))</f>
        <v>0</v>
      </c>
      <c r="Y1501" s="201"/>
      <c r="Z1501" s="829" t="str">
        <f t="shared" si="3644"/>
        <v/>
      </c>
      <c r="AA1501" s="829"/>
      <c r="AB1501" s="830" t="str">
        <f>IF(G1501=0,"",IF(AD1501="free","re-planting",IF(AD1501="me","not NVP, by",IF($AD$8="yes",(VLOOKUP(A1501,'Discount Lookup'!J:K,2)*G1501*(1-$AC$1786)*(1+$AC$1788)),IF(AD1501="NVP",(VLOOKUP(A1501,'Discount Lookup'!J:K,2)*G1501*(1-$AC$1786)*(1+$AC$1788)),IF(AD1501="free","re-planting",IF(G1501=0,"",IF($AD$8="",IF(AD1501="me","not NVP, by",IF(AD1501="",IF(G1501&gt;0,(VLOOKUP(A1501,'Discount Lookup'!J:K,2)*G1501*(1-$AC$1786)*(1+$AC$1788)),""),"")),"not NVP, by"))))))))</f>
        <v/>
      </c>
      <c r="AC1501" s="830"/>
      <c r="AD1501" s="375" t="str">
        <f t="shared" si="3560"/>
        <v/>
      </c>
      <c r="AE1501" s="833" t="str">
        <f t="shared" si="3645"/>
        <v/>
      </c>
      <c r="AF1501" s="833"/>
      <c r="AG1501" s="833"/>
      <c r="AH1501" s="91">
        <f>IF(AD1501="free",0,IF(AD1501="me",0,IF(G1501&gt;0,(VLOOKUP(A1501,'Discount Lookup'!J:K,2)*G1501),0)))</f>
        <v>0</v>
      </c>
      <c r="AI1501" s="92" t="str">
        <f t="shared" si="3628"/>
        <v/>
      </c>
      <c r="AJ1501" s="828" t="str">
        <f t="shared" si="3646"/>
        <v/>
      </c>
      <c r="AK1501" s="828"/>
      <c r="AL1501" s="313" t="str">
        <f t="shared" si="3660"/>
        <v/>
      </c>
      <c r="AM1501" s="312"/>
      <c r="AN1501" s="101"/>
      <c r="AO1501" s="101"/>
      <c r="AP1501" s="101"/>
      <c r="AQ1501" s="101"/>
      <c r="AR1501" s="101"/>
      <c r="AS1501" s="101"/>
      <c r="AT1501" s="101"/>
    </row>
    <row r="1502" spans="1:46" ht="12.95" customHeight="1">
      <c r="A1502" s="468"/>
      <c r="B1502" s="198" t="s">
        <v>798</v>
      </c>
      <c r="C1502" s="118"/>
      <c r="D1502" s="118"/>
      <c r="E1502" s="119"/>
      <c r="F1502" s="711"/>
      <c r="G1502" s="358"/>
      <c r="H1502" s="745"/>
      <c r="I1502" s="119"/>
      <c r="J1502" s="119"/>
      <c r="K1502" s="609"/>
      <c r="L1502" s="609"/>
      <c r="M1502" s="121"/>
      <c r="N1502" s="121"/>
      <c r="O1502" s="123"/>
      <c r="P1502" s="124"/>
      <c r="Q1502" s="124"/>
      <c r="R1502" s="83"/>
      <c r="S1502" s="82"/>
      <c r="T1502" s="540"/>
      <c r="U1502" s="83"/>
      <c r="V1502" s="100" t="b">
        <f>IF(G1502&gt;0,IF(AD1502="me","",G1502))</f>
        <v>0</v>
      </c>
      <c r="W1502" s="100"/>
      <c r="X1502" s="100"/>
      <c r="Y1502" s="201"/>
      <c r="Z1502" s="829" t="str">
        <f t="shared" si="3644"/>
        <v/>
      </c>
      <c r="AA1502" s="829"/>
      <c r="AB1502" s="830" t="str">
        <f>IF(G1502=0,"",IF(AD1502="free","re-planting",IF(AD1502="me","not NVP, by",IF($AD$8="yes",(VLOOKUP(A1502,'Discount Lookup'!J:K,2)*G1502*(1-$AC$1786)*(1+$AC$1788)),IF(AD1502="NVP",(VLOOKUP(A1502,'Discount Lookup'!J:K,2)*G1502*(1-$AC$1786)*(1+$AC$1788)),IF(AD1502="free","re-planting",IF(G1502=0,"",IF($AD$8="",IF(AD1502="me","not NVP, by",IF(AD1502="",IF(G1502&gt;0,(VLOOKUP(A1502,'Discount Lookup'!J:K,2)*G1502*(1-$AC$1786)*(1+$AC$1788)),""),"")),"not NVP, by"))))))))</f>
        <v/>
      </c>
      <c r="AC1502" s="830"/>
      <c r="AD1502" s="375" t="str">
        <f t="shared" si="3560"/>
        <v/>
      </c>
      <c r="AE1502" s="833" t="str">
        <f t="shared" si="3645"/>
        <v/>
      </c>
      <c r="AF1502" s="833"/>
      <c r="AG1502" s="833"/>
      <c r="AH1502" s="91">
        <f>IF(AD1502="free",0,IF(AD1502="me",0,IF(G1502&gt;0,(VLOOKUP(A1502,'Discount Lookup'!J:K,2)*G1502),0)))</f>
        <v>0</v>
      </c>
      <c r="AI1502" s="92" t="str">
        <f t="shared" si="3628"/>
        <v/>
      </c>
      <c r="AJ1502" s="828" t="str">
        <f t="shared" si="3646"/>
        <v/>
      </c>
      <c r="AK1502" s="828"/>
      <c r="AL1502" s="313" t="str">
        <f t="shared" si="3660"/>
        <v/>
      </c>
      <c r="AM1502" s="312"/>
      <c r="AN1502" s="101"/>
      <c r="AO1502" s="101"/>
      <c r="AP1502" s="101"/>
      <c r="AQ1502" s="101"/>
      <c r="AR1502" s="101"/>
      <c r="AS1502" s="101"/>
      <c r="AT1502" s="101"/>
    </row>
    <row r="1503" spans="1:46" ht="12.95" customHeight="1">
      <c r="A1503" s="896" t="s">
        <v>1309</v>
      </c>
      <c r="B1503" s="897"/>
      <c r="C1503" s="897"/>
      <c r="D1503" s="897"/>
      <c r="E1503" s="897"/>
      <c r="F1503" s="897"/>
      <c r="G1503" s="897"/>
      <c r="H1503" s="776" t="s">
        <v>899</v>
      </c>
      <c r="I1503" s="88" t="s">
        <v>79</v>
      </c>
      <c r="J1503" s="93"/>
      <c r="K1503" s="603" t="s">
        <v>45</v>
      </c>
      <c r="L1503" s="601" t="s">
        <v>46</v>
      </c>
      <c r="M1503" s="86"/>
      <c r="N1503" s="567" t="s">
        <v>1371</v>
      </c>
      <c r="O1503" s="567"/>
      <c r="P1503" s="667"/>
      <c r="Q1503" s="667"/>
      <c r="R1503" s="668"/>
      <c r="S1503" s="669"/>
      <c r="T1503" s="670"/>
      <c r="U1503" s="671" t="s">
        <v>1370</v>
      </c>
      <c r="V1503" s="100" t="b">
        <f>IF(G1503&gt;0,IF(AD1503="me","",G1503))</f>
        <v>0</v>
      </c>
      <c r="W1503" s="100"/>
      <c r="X1503" s="100"/>
      <c r="Y1503" s="201"/>
      <c r="Z1503" s="829" t="str">
        <f t="shared" ref="Z1503" si="3699">IF(G1503=0,"",IF(AD1503="me","",IF($AD$8="me","",IF(AD1503="free","warranty",IF($AD$8="yes","NVP planting:","to NVP install:")))))</f>
        <v/>
      </c>
      <c r="AA1503" s="829"/>
      <c r="AB1503" s="830" t="str">
        <f>IF(G1503=0,"",IF(AD1503="free","re-planting",IF(AD1503="me","not NVP, by",IF($AD$8="yes",(VLOOKUP(A1503,'Discount Lookup'!J:K,2)*G1503*(1-$AC$1786)*(1+$AC$1788)),IF(AD1503="NVP",(VLOOKUP(A1503,'Discount Lookup'!J:K,2)*G1503*(1-$AC$1786)*(1+$AC$1788)),IF(AD1503="free","re-planting",IF(G1503=0,"",IF($AD$8="",IF(AD1503="me","not NVP, by",IF(AD1503="",IF(G1503&gt;0,(VLOOKUP(A1503,'Discount Lookup'!J:K,2)*G1503*(1-$AC$1786)*(1+$AC$1788)),""),"")),"not NVP, by"))))))))</f>
        <v/>
      </c>
      <c r="AC1503" s="830"/>
      <c r="AD1503" s="375" t="str">
        <f t="shared" ref="AD1503:AD1569" si="3700">IF(G1503=0,"",IF($AD$8="me","me",IF(H1503="warranty","free",IF($AD$8="yes","NVP",""))))</f>
        <v/>
      </c>
      <c r="AE1503" s="833" t="str">
        <f t="shared" ref="AE1503:AE1505" si="3701">IF(G1503&gt;0,(CONCATENATE((G1503)," quantity, ",(A1503)," ",B1503)),"")</f>
        <v/>
      </c>
      <c r="AF1503" s="833"/>
      <c r="AG1503" s="833"/>
      <c r="AH1503" s="91">
        <f>IF(AD1503="free",0,IF(AD1503="me",0,IF(G1503&gt;0,(VLOOKUP(A1503,'Discount Lookup'!J:K,2)*G1503),0)))</f>
        <v>0</v>
      </c>
      <c r="AI1503" s="92" t="str">
        <f t="shared" si="3628"/>
        <v/>
      </c>
      <c r="AJ1503" s="828" t="str">
        <f t="shared" si="3646"/>
        <v/>
      </c>
      <c r="AK1503" s="828"/>
      <c r="AL1503" s="313" t="str">
        <f t="shared" si="3660"/>
        <v/>
      </c>
      <c r="AM1503" s="312"/>
      <c r="AN1503" s="101"/>
      <c r="AO1503" s="101"/>
      <c r="AP1503" s="101"/>
      <c r="AQ1503" s="101"/>
      <c r="AR1503" s="101"/>
      <c r="AS1503" s="101"/>
      <c r="AT1503" s="101"/>
    </row>
    <row r="1504" spans="1:46" ht="12.95" customHeight="1">
      <c r="A1504" s="419">
        <v>1</v>
      </c>
      <c r="B1504" s="87" t="s">
        <v>50</v>
      </c>
      <c r="C1504" s="399" t="s">
        <v>136</v>
      </c>
      <c r="D1504" s="129" t="s">
        <v>87</v>
      </c>
      <c r="E1504" s="98">
        <v>12.95</v>
      </c>
      <c r="F1504" s="705" t="s">
        <v>1306</v>
      </c>
      <c r="G1504" s="357">
        <v>0</v>
      </c>
      <c r="H1504" s="704" t="str">
        <f t="shared" ref="H1504" si="3702">IF(G1504=0,"",IF(F1504="Qty=",IF(G1504=1,"plant","plants"),IF(F1504&gt;0.0001,"warranty","Error")))</f>
        <v/>
      </c>
      <c r="I1504" s="98">
        <f t="shared" ref="I1504" si="3703">IF(F1504="Qty=",(E1504*G1504),((E1504*(1-F1504))*G1504))</f>
        <v>0</v>
      </c>
      <c r="J1504" s="98">
        <f>IF(H1504="warranty",0,(I1504*($J$1782)))</f>
        <v>0</v>
      </c>
      <c r="K1504" s="831">
        <f t="shared" ref="K1504" si="3704">I1504+J1504</f>
        <v>0</v>
      </c>
      <c r="L1504" s="831"/>
      <c r="M1504" s="832" t="str">
        <f>IF($H$1784=0,"",IF(G1504=0,"",IF(F1504="Qty=",CONCATENATE("$",ROUND(K1504*(1-$H$1784),2)," with ",($H$1784*100),"% discount"),CONCATENATE("$",ROUND(K1504*(1-$H$1784),2)," with ",(($H$1784*100+F1504*100)-($H$1784*100*F1504)),IF(F1504&gt;0,"% discounts",IF($H$1781&gt;0,"% discounts","% discount"))))))</f>
        <v/>
      </c>
      <c r="N1504" s="832"/>
      <c r="O1504" s="832"/>
      <c r="P1504" s="832"/>
      <c r="Q1504" s="832"/>
      <c r="R1504" s="832"/>
      <c r="S1504" s="303">
        <f t="shared" ref="S1504" si="3705">E1504*G1504</f>
        <v>0</v>
      </c>
      <c r="T1504" s="541">
        <f>VLOOKUP(A1504,'Discount Lookup'!D:E,2,FALSE)*G1504</f>
        <v>0</v>
      </c>
      <c r="U1504" s="83">
        <f>VLOOKUP(A1504,'Discount Lookup'!G:H,2,FALSE)*G1504</f>
        <v>0</v>
      </c>
      <c r="V1504" s="100">
        <f>E1504*($J$1782)*G1504</f>
        <v>0</v>
      </c>
      <c r="W1504" s="100">
        <f t="shared" ref="W1504" si="3706">I1504</f>
        <v>0</v>
      </c>
      <c r="X1504" s="100" t="b">
        <f>IF(G1504&gt;0,IF(AD1504="me","",G1504))</f>
        <v>0</v>
      </c>
      <c r="Y1504" s="201"/>
      <c r="Z1504" s="829" t="str">
        <f t="shared" si="3644"/>
        <v/>
      </c>
      <c r="AA1504" s="829"/>
      <c r="AB1504" s="830" t="str">
        <f>IF(G1504=0,"",IF(AD1504="free","re-planting",IF(AD1504="me","not NVP, by",IF($AD$8="yes",(VLOOKUP(A1504,'Discount Lookup'!J:K,2)*G1504*(1-$AC$1786)*(1+$AC$1788)),IF(AD1504="NVP",(VLOOKUP(A1504,'Discount Lookup'!J:K,2)*G1504*(1-$AC$1786)*(1+$AC$1788)),IF(AD1504="free","re-planting",IF(G1504=0,"",IF($AD$8="",IF(AD1504="me","not NVP, by",IF(AD1504="",IF(G1504&gt;0,(VLOOKUP(A1504,'Discount Lookup'!J:K,2)*G1504*(1-$AC$1786)*(1+$AC$1788)),""),"")),"not NVP, by"))))))))</f>
        <v/>
      </c>
      <c r="AC1504" s="830"/>
      <c r="AD1504" s="375" t="str">
        <f t="shared" si="3700"/>
        <v/>
      </c>
      <c r="AE1504" s="833" t="str">
        <f t="shared" si="3701"/>
        <v/>
      </c>
      <c r="AF1504" s="833"/>
      <c r="AG1504" s="833"/>
      <c r="AH1504" s="91">
        <f>IF(AD1504="free",0,IF(AD1504="me",0,IF(G1504&gt;0,(VLOOKUP(A1504,'Discount Lookup'!J:K,2)*G1504),0)))</f>
        <v>0</v>
      </c>
      <c r="AI1504" s="92" t="str">
        <f t="shared" si="3628"/>
        <v/>
      </c>
      <c r="AJ1504" s="828" t="str">
        <f t="shared" si="3646"/>
        <v/>
      </c>
      <c r="AK1504" s="828"/>
      <c r="AL1504" s="313" t="str">
        <f t="shared" si="3660"/>
        <v/>
      </c>
      <c r="AM1504" s="312"/>
      <c r="AN1504" s="101"/>
      <c r="AO1504" s="101"/>
      <c r="AP1504" s="101"/>
      <c r="AQ1504" s="101"/>
      <c r="AR1504" s="101"/>
      <c r="AS1504" s="101"/>
      <c r="AT1504" s="101"/>
    </row>
    <row r="1505" spans="1:46" ht="12.95" customHeight="1">
      <c r="A1505" s="482"/>
      <c r="B1505" s="198" t="s">
        <v>1308</v>
      </c>
      <c r="C1505" s="147"/>
      <c r="D1505" s="147"/>
      <c r="E1505" s="169"/>
      <c r="F1505" s="717"/>
      <c r="G1505" s="363"/>
      <c r="H1505" s="749"/>
      <c r="I1505" s="169"/>
      <c r="J1505" s="169"/>
      <c r="K1505" s="586"/>
      <c r="L1505" s="586"/>
      <c r="M1505" s="212"/>
      <c r="N1505" s="122"/>
      <c r="O1505" s="123"/>
      <c r="P1505" s="124"/>
      <c r="Q1505" s="124"/>
      <c r="R1505" s="83"/>
      <c r="S1505" s="82">
        <f>E1505*G1505</f>
        <v>0</v>
      </c>
      <c r="T1505" s="540"/>
      <c r="U1505" s="83"/>
      <c r="V1505" s="100" t="b">
        <f>IF(G1505&gt;0,IF(AD1505="me","",G1505))</f>
        <v>0</v>
      </c>
      <c r="W1505" s="100"/>
      <c r="X1505" s="100"/>
      <c r="Y1505" s="201"/>
      <c r="Z1505" s="829" t="str">
        <f t="shared" si="3644"/>
        <v/>
      </c>
      <c r="AA1505" s="829"/>
      <c r="AB1505" s="830" t="str">
        <f>IF(G1505=0,"",IF(AD1505="free","re-planting",IF(AD1505="me","not NVP, by",IF($AD$8="yes",(VLOOKUP(A1505,'Discount Lookup'!J:K,2)*G1505*(1-$AC$1786)*(1+$AC$1788)),IF(AD1505="NVP",(VLOOKUP(A1505,'Discount Lookup'!J:K,2)*G1505*(1-$AC$1786)*(1+$AC$1788)),IF(AD1505="free","re-planting",IF(G1505=0,"",IF($AD$8="",IF(AD1505="me","not NVP, by",IF(AD1505="",IF(G1505&gt;0,(VLOOKUP(A1505,'Discount Lookup'!J:K,2)*G1505*(1-$AC$1786)*(1+$AC$1788)),""),"")),"not NVP, by"))))))))</f>
        <v/>
      </c>
      <c r="AC1505" s="830"/>
      <c r="AD1505" s="375" t="str">
        <f t="shared" si="3700"/>
        <v/>
      </c>
      <c r="AE1505" s="833" t="str">
        <f t="shared" si="3701"/>
        <v/>
      </c>
      <c r="AF1505" s="833"/>
      <c r="AG1505" s="833"/>
      <c r="AH1505" s="91">
        <f>IF(AD1505="free",0,IF(AD1505="me",0,IF(G1505&gt;0,(VLOOKUP(A1505,'Discount Lookup'!J:K,2)*G1505),0)))</f>
        <v>0</v>
      </c>
      <c r="AI1505" s="92" t="str">
        <f t="shared" si="3628"/>
        <v/>
      </c>
      <c r="AJ1505" s="828" t="str">
        <f t="shared" si="3646"/>
        <v/>
      </c>
      <c r="AK1505" s="828"/>
      <c r="AL1505" s="313" t="str">
        <f t="shared" si="3660"/>
        <v/>
      </c>
      <c r="AM1505" s="312"/>
      <c r="AN1505" s="101"/>
      <c r="AO1505" s="101"/>
      <c r="AP1505" s="101"/>
      <c r="AQ1505" s="101"/>
      <c r="AR1505" s="101"/>
      <c r="AS1505" s="101"/>
      <c r="AT1505" s="101"/>
    </row>
    <row r="1506" spans="1:46" ht="12.95" customHeight="1">
      <c r="A1506" s="863" t="s">
        <v>802</v>
      </c>
      <c r="B1506" s="864"/>
      <c r="C1506" s="864"/>
      <c r="D1506" s="864"/>
      <c r="E1506" s="864"/>
      <c r="F1506" s="864"/>
      <c r="G1506" s="864"/>
      <c r="H1506" s="776" t="s">
        <v>800</v>
      </c>
      <c r="I1506" s="439" t="s">
        <v>280</v>
      </c>
      <c r="J1506" s="93"/>
      <c r="K1506" s="603" t="s">
        <v>45</v>
      </c>
      <c r="L1506" s="601" t="s">
        <v>46</v>
      </c>
      <c r="M1506" s="86"/>
      <c r="N1506" s="87" t="s">
        <v>130</v>
      </c>
      <c r="O1506" s="87"/>
      <c r="P1506" s="87"/>
      <c r="Q1506" s="87"/>
      <c r="R1506" s="86"/>
      <c r="S1506" s="125"/>
      <c r="T1506" s="543"/>
      <c r="U1506" s="89" t="s">
        <v>48</v>
      </c>
      <c r="V1506" s="100" t="b">
        <f>IF(G1506&gt;0,IF(AD1506="me","",G1506))</f>
        <v>0</v>
      </c>
      <c r="W1506" s="100"/>
      <c r="X1506" s="100"/>
      <c r="Y1506" s="201"/>
      <c r="Z1506" s="829" t="str">
        <f t="shared" si="3644"/>
        <v/>
      </c>
      <c r="AA1506" s="829"/>
      <c r="AB1506" s="830" t="str">
        <f>IF(G1506=0,"",IF(AD1506="free","re-planting",IF(AD1506="me","not NVP, by",IF($AD$8="yes",(VLOOKUP(A1506,'Discount Lookup'!J:K,2)*G1506*(1-$AC$1786)*(1+$AC$1788)),IF(AD1506="NVP",(VLOOKUP(A1506,'Discount Lookup'!J:K,2)*G1506*(1-$AC$1786)*(1+$AC$1788)),IF(AD1506="free","re-planting",IF(G1506=0,"",IF($AD$8="",IF(AD1506="me","not NVP, by",IF(AD1506="",IF(G1506&gt;0,(VLOOKUP(A1506,'Discount Lookup'!J:K,2)*G1506*(1-$AC$1786)*(1+$AC$1788)),""),"")),"not NVP, by"))))))))</f>
        <v/>
      </c>
      <c r="AC1506" s="830"/>
      <c r="AD1506" s="375" t="str">
        <f t="shared" si="3700"/>
        <v/>
      </c>
      <c r="AE1506" s="833" t="str">
        <f t="shared" si="3645"/>
        <v/>
      </c>
      <c r="AF1506" s="833"/>
      <c r="AG1506" s="833"/>
      <c r="AH1506" s="91">
        <f>IF(AD1506="free",0,IF(AD1506="me",0,IF(G1506&gt;0,(VLOOKUP(A1506,'Discount Lookup'!J:K,2)*G1506),0)))</f>
        <v>0</v>
      </c>
      <c r="AI1506" s="92" t="str">
        <f t="shared" si="3628"/>
        <v/>
      </c>
      <c r="AJ1506" s="828" t="str">
        <f t="shared" si="3646"/>
        <v/>
      </c>
      <c r="AK1506" s="828"/>
      <c r="AL1506" s="313" t="str">
        <f t="shared" si="3660"/>
        <v/>
      </c>
      <c r="AM1506" s="312"/>
      <c r="AN1506" s="101"/>
      <c r="AO1506" s="101"/>
      <c r="AP1506" s="101"/>
      <c r="AQ1506" s="101"/>
      <c r="AR1506" s="101"/>
      <c r="AS1506" s="101"/>
      <c r="AT1506" s="101"/>
    </row>
    <row r="1507" spans="1:46" ht="12.95" customHeight="1">
      <c r="A1507" s="419">
        <v>3</v>
      </c>
      <c r="B1507" s="87" t="s">
        <v>50</v>
      </c>
      <c r="C1507" s="399" t="s">
        <v>136</v>
      </c>
      <c r="D1507" s="129" t="s">
        <v>87</v>
      </c>
      <c r="E1507" s="98">
        <v>26.95</v>
      </c>
      <c r="F1507" s="705" t="s">
        <v>1306</v>
      </c>
      <c r="G1507" s="357">
        <v>0</v>
      </c>
      <c r="H1507" s="704" t="str">
        <f t="shared" ref="H1507" si="3707">IF(G1507=0,"",IF(F1507="Qty=",IF(G1507=1,"plant","plants"),IF(F1507&gt;0.0001,"warranty","Error")))</f>
        <v/>
      </c>
      <c r="I1507" s="98">
        <f t="shared" ref="I1507" si="3708">IF(F1507="Qty=",(E1507*G1507),((E1507*(1-F1507))*G1507))</f>
        <v>0</v>
      </c>
      <c r="J1507" s="98">
        <f>IF(H1507="warranty",0,(I1507*($J$1782)))</f>
        <v>0</v>
      </c>
      <c r="K1507" s="831">
        <f t="shared" ref="K1507:K1508" si="3709">I1507+J1507</f>
        <v>0</v>
      </c>
      <c r="L1507" s="831"/>
      <c r="M1507" s="832" t="str">
        <f>IF($H$1784=0,"",IF(G1507=0,"",IF(F1507="Qty=",CONCATENATE("$",ROUND(K1507*(1-$H$1784),2)," with ",($H$1784*100),"% discount"),CONCATENATE("$",ROUND(K1507*(1-$H$1784),2)," with ",(($H$1784*100+F1507*100)-($H$1784*100*F1507)),IF(F1507&gt;0,"% discounts",IF($H$1781&gt;0,"% discounts","% discount"))))))</f>
        <v/>
      </c>
      <c r="N1507" s="832"/>
      <c r="O1507" s="832"/>
      <c r="P1507" s="832"/>
      <c r="Q1507" s="832"/>
      <c r="R1507" s="832"/>
      <c r="S1507" s="303">
        <f t="shared" ref="S1507" si="3710">E1507*G1507</f>
        <v>0</v>
      </c>
      <c r="T1507" s="541">
        <f>VLOOKUP(A1507,'Discount Lookup'!D:E,2,FALSE)*G1507</f>
        <v>0</v>
      </c>
      <c r="U1507" s="83">
        <f>VLOOKUP(A1507,'Discount Lookup'!G:H,2,FALSE)*G1507</f>
        <v>0</v>
      </c>
      <c r="V1507" s="100">
        <f>E1507*($J$1782)*G1507</f>
        <v>0</v>
      </c>
      <c r="W1507" s="100">
        <f t="shared" ref="W1507" si="3711">I1507</f>
        <v>0</v>
      </c>
      <c r="X1507" s="100" t="b">
        <f>IF(G1507&gt;0,IF(AD1507="me","",G1507))</f>
        <v>0</v>
      </c>
      <c r="Y1507" s="201"/>
      <c r="Z1507" s="829" t="str">
        <f t="shared" si="3644"/>
        <v/>
      </c>
      <c r="AA1507" s="829"/>
      <c r="AB1507" s="830" t="str">
        <f>IF(G1507=0,"",IF(AD1507="free","re-planting",IF(AD1507="me","not NVP, by",IF($AD$8="yes",(VLOOKUP(A1507,'Discount Lookup'!J:K,2)*G1507*(1-$AC$1786)*(1+$AC$1788)),IF(AD1507="NVP",(VLOOKUP(A1507,'Discount Lookup'!J:K,2)*G1507*(1-$AC$1786)*(1+$AC$1788)),IF(AD1507="free","re-planting",IF(G1507=0,"",IF($AD$8="",IF(AD1507="me","not NVP, by",IF(AD1507="",IF(G1507&gt;0,(VLOOKUP(A1507,'Discount Lookup'!J:K,2)*G1507*(1-$AC$1786)*(1+$AC$1788)),""),"")),"not NVP, by"))))))))</f>
        <v/>
      </c>
      <c r="AC1507" s="830"/>
      <c r="AD1507" s="375" t="str">
        <f t="shared" si="3700"/>
        <v/>
      </c>
      <c r="AE1507" s="833" t="str">
        <f t="shared" si="3645"/>
        <v/>
      </c>
      <c r="AF1507" s="833"/>
      <c r="AG1507" s="833"/>
      <c r="AH1507" s="91">
        <f>IF(AD1507="free",0,IF(AD1507="me",0,IF(G1507&gt;0,(VLOOKUP(A1507,'Discount Lookup'!J:K,2)*G1507),0)))</f>
        <v>0</v>
      </c>
      <c r="AI1507" s="92" t="str">
        <f t="shared" si="3628"/>
        <v/>
      </c>
      <c r="AJ1507" s="828" t="str">
        <f t="shared" si="3646"/>
        <v/>
      </c>
      <c r="AK1507" s="828"/>
      <c r="AL1507" s="313" t="str">
        <f t="shared" si="3660"/>
        <v/>
      </c>
      <c r="AM1507" s="312"/>
      <c r="AN1507" s="101"/>
      <c r="AO1507" s="101"/>
      <c r="AP1507" s="101"/>
      <c r="AQ1507" s="101"/>
      <c r="AR1507" s="101"/>
      <c r="AS1507" s="101"/>
      <c r="AT1507" s="101"/>
    </row>
    <row r="1508" spans="1:46" ht="12.95" customHeight="1">
      <c r="A1508" s="419">
        <v>3</v>
      </c>
      <c r="B1508" s="87" t="s">
        <v>50</v>
      </c>
      <c r="C1508" s="128" t="s">
        <v>483</v>
      </c>
      <c r="D1508" s="129" t="s">
        <v>63</v>
      </c>
      <c r="E1508" s="98">
        <v>28.95</v>
      </c>
      <c r="F1508" s="705" t="s">
        <v>1306</v>
      </c>
      <c r="G1508" s="357">
        <v>0</v>
      </c>
      <c r="H1508" s="704" t="str">
        <f t="shared" ref="H1508" si="3712">IF(G1508=0,"",IF(F1508="Qty=",IF(G1508=1,"plant","plants"),IF(F1508&gt;0.0001,"warranty","Error")))</f>
        <v/>
      </c>
      <c r="I1508" s="98">
        <f t="shared" ref="I1508" si="3713">IF(F1508="Qty=",(E1508*G1508),((E1508*(1-F1508))*G1508))</f>
        <v>0</v>
      </c>
      <c r="J1508" s="98">
        <f>IF(H1508="warranty",0,(I1508*($J$1782)))</f>
        <v>0</v>
      </c>
      <c r="K1508" s="831">
        <f t="shared" si="3709"/>
        <v>0</v>
      </c>
      <c r="L1508" s="831"/>
      <c r="M1508" s="832" t="str">
        <f>IF($H$1784=0,"",IF(G1508=0,"",IF(F1508="Qty=",CONCATENATE("$",ROUND(K1508*(1-$H$1784),2)," with ",($H$1784*100),"% discount"),CONCATENATE("$",ROUND(K1508*(1-$H$1784),2)," with ",(($H$1784*100+F1508*100)-($H$1784*100*F1508)),IF(F1508&gt;0,"% discounts",IF($H$1781&gt;0,"% discounts","% discount"))))))</f>
        <v/>
      </c>
      <c r="N1508" s="832"/>
      <c r="O1508" s="832"/>
      <c r="P1508" s="832"/>
      <c r="Q1508" s="832"/>
      <c r="R1508" s="832"/>
      <c r="S1508" s="303">
        <f t="shared" ref="S1508" si="3714">E1508*G1508</f>
        <v>0</v>
      </c>
      <c r="T1508" s="541">
        <f>VLOOKUP(A1508,'Discount Lookup'!D:E,2,FALSE)*G1508</f>
        <v>0</v>
      </c>
      <c r="U1508" s="83">
        <f>VLOOKUP(A1508,'Discount Lookup'!G:H,2,FALSE)*G1508</f>
        <v>0</v>
      </c>
      <c r="V1508" s="100">
        <f>E1508*($J$1782)*G1508</f>
        <v>0</v>
      </c>
      <c r="W1508" s="100">
        <f t="shared" ref="W1508" si="3715">I1508</f>
        <v>0</v>
      </c>
      <c r="X1508" s="100" t="b">
        <f>IF(G1508&gt;0,IF(AD1508="me","",G1508))</f>
        <v>0</v>
      </c>
      <c r="Y1508" s="201"/>
      <c r="Z1508" s="829" t="str">
        <f t="shared" si="3644"/>
        <v/>
      </c>
      <c r="AA1508" s="829"/>
      <c r="AB1508" s="830" t="str">
        <f>IF(G1508=0,"",IF(AD1508="free","re-planting",IF(AD1508="me","not NVP, by",IF($AD$8="yes",(VLOOKUP(A1508,'Discount Lookup'!J:K,2)*G1508*(1-$AC$1786)*(1+$AC$1788)),IF(AD1508="NVP",(VLOOKUP(A1508,'Discount Lookup'!J:K,2)*G1508*(1-$AC$1786)*(1+$AC$1788)),IF(AD1508="free","re-planting",IF(G1508=0,"",IF($AD$8="",IF(AD1508="me","not NVP, by",IF(AD1508="",IF(G1508&gt;0,(VLOOKUP(A1508,'Discount Lookup'!J:K,2)*G1508*(1-$AC$1786)*(1+$AC$1788)),""),"")),"not NVP, by"))))))))</f>
        <v/>
      </c>
      <c r="AC1508" s="830"/>
      <c r="AD1508" s="375" t="str">
        <f t="shared" si="3700"/>
        <v/>
      </c>
      <c r="AE1508" s="833" t="str">
        <f t="shared" ref="AE1508" si="3716">IF(G1508&gt;0,(CONCATENATE((G1508)," quantity, ",(A1508)," ",B1508)),"")</f>
        <v/>
      </c>
      <c r="AF1508" s="833"/>
      <c r="AG1508" s="833"/>
      <c r="AH1508" s="91">
        <f>IF(AD1508="free",0,IF(AD1508="me",0,IF(G1508&gt;0,(VLOOKUP(A1508,'Discount Lookup'!J:K,2)*G1508),0)))</f>
        <v>0</v>
      </c>
      <c r="AI1508" s="92" t="str">
        <f t="shared" si="3628"/>
        <v/>
      </c>
      <c r="AJ1508" s="828" t="str">
        <f t="shared" si="3646"/>
        <v/>
      </c>
      <c r="AK1508" s="828"/>
      <c r="AL1508" s="313" t="str">
        <f t="shared" si="3660"/>
        <v/>
      </c>
      <c r="AM1508" s="312"/>
      <c r="AN1508" s="101"/>
      <c r="AO1508" s="101"/>
      <c r="AP1508" s="101"/>
      <c r="AQ1508" s="101"/>
      <c r="AR1508" s="101"/>
      <c r="AS1508" s="101"/>
      <c r="AT1508" s="101"/>
    </row>
    <row r="1509" spans="1:46" ht="12.95" customHeight="1">
      <c r="A1509" s="465"/>
      <c r="B1509" s="198" t="s">
        <v>803</v>
      </c>
      <c r="C1509" s="130"/>
      <c r="D1509" s="104"/>
      <c r="E1509" s="131"/>
      <c r="F1509" s="710"/>
      <c r="G1509" s="356"/>
      <c r="H1509" s="744"/>
      <c r="I1509" s="131"/>
      <c r="J1509" s="131"/>
      <c r="K1509" s="608"/>
      <c r="L1509" s="608"/>
      <c r="M1509" s="840"/>
      <c r="N1509" s="840"/>
      <c r="O1509" s="123"/>
      <c r="P1509" s="124"/>
      <c r="Q1509" s="841" t="s">
        <v>125</v>
      </c>
      <c r="R1509" s="841"/>
      <c r="S1509" s="841"/>
      <c r="T1509" s="841"/>
      <c r="U1509" s="841"/>
      <c r="V1509" s="841"/>
      <c r="W1509" s="286"/>
      <c r="X1509" s="286"/>
      <c r="Y1509" s="794"/>
      <c r="Z1509" s="829" t="str">
        <f t="shared" si="3644"/>
        <v/>
      </c>
      <c r="AA1509" s="829"/>
      <c r="AB1509" s="830" t="str">
        <f>IF(G1509=0,"",IF(AD1509="free","re-planting",IF(AD1509="me","not NVP, by",IF($AD$8="yes",(VLOOKUP(A1509,'Discount Lookup'!J:K,2)*G1509*(1-$AC$1786)*(1+$AC$1788)),IF(AD1509="NVP",(VLOOKUP(A1509,'Discount Lookup'!J:K,2)*G1509*(1-$AC$1786)*(1+$AC$1788)),IF(AD1509="free","re-planting",IF(G1509=0,"",IF($AD$8="",IF(AD1509="me","not NVP, by",IF(AD1509="",IF(G1509&gt;0,(VLOOKUP(A1509,'Discount Lookup'!J:K,2)*G1509*(1-$AC$1786)*(1+$AC$1788)),""),"")),"not NVP, by"))))))))</f>
        <v/>
      </c>
      <c r="AC1509" s="830"/>
      <c r="AD1509" s="375" t="str">
        <f t="shared" si="3700"/>
        <v/>
      </c>
      <c r="AE1509" s="833" t="str">
        <f t="shared" si="3645"/>
        <v/>
      </c>
      <c r="AF1509" s="833"/>
      <c r="AG1509" s="833"/>
      <c r="AH1509" s="91">
        <f>IF(AD1509="free",0,IF(AD1509="me",0,IF(G1509&gt;0,(VLOOKUP(A1509,'Discount Lookup'!J:K,2)*G1509),0)))</f>
        <v>0</v>
      </c>
      <c r="AI1509" s="92" t="str">
        <f t="shared" si="3628"/>
        <v/>
      </c>
      <c r="AJ1509" s="828" t="str">
        <f t="shared" si="3646"/>
        <v/>
      </c>
      <c r="AK1509" s="828"/>
      <c r="AL1509" s="313" t="str">
        <f t="shared" si="3660"/>
        <v/>
      </c>
      <c r="AM1509" s="312"/>
      <c r="AN1509" s="101"/>
      <c r="AO1509" s="101"/>
      <c r="AP1509" s="101"/>
      <c r="AQ1509" s="101"/>
      <c r="AR1509" s="101"/>
      <c r="AS1509" s="101"/>
      <c r="AT1509" s="101"/>
    </row>
    <row r="1510" spans="1:46" ht="12.95" customHeight="1">
      <c r="A1510" s="863" t="s">
        <v>799</v>
      </c>
      <c r="B1510" s="864"/>
      <c r="C1510" s="864"/>
      <c r="D1510" s="864"/>
      <c r="E1510" s="864"/>
      <c r="F1510" s="864"/>
      <c r="G1510" s="864"/>
      <c r="H1510" s="776" t="s">
        <v>1186</v>
      </c>
      <c r="I1510" s="88" t="s">
        <v>79</v>
      </c>
      <c r="J1510" s="86"/>
      <c r="K1510" s="603" t="s">
        <v>45</v>
      </c>
      <c r="L1510" s="601" t="s">
        <v>46</v>
      </c>
      <c r="M1510" s="86"/>
      <c r="N1510" s="87" t="s">
        <v>130</v>
      </c>
      <c r="O1510" s="87"/>
      <c r="P1510" s="87"/>
      <c r="Q1510" s="87"/>
      <c r="R1510" s="86"/>
      <c r="S1510" s="125"/>
      <c r="T1510" s="543"/>
      <c r="U1510" s="89" t="s">
        <v>48</v>
      </c>
      <c r="V1510" s="100" t="b">
        <f>IF(G1510&gt;0,IF(AD1510="me","",G1510))</f>
        <v>0</v>
      </c>
      <c r="W1510" s="100"/>
      <c r="X1510" s="100"/>
      <c r="Y1510" s="201"/>
      <c r="Z1510" s="829" t="str">
        <f t="shared" si="3644"/>
        <v/>
      </c>
      <c r="AA1510" s="829"/>
      <c r="AB1510" s="830" t="str">
        <f>IF(G1510=0,"",IF(AD1510="free","re-planting",IF(AD1510="me","not NVP, by",IF($AD$8="yes",(VLOOKUP(A1510,'Discount Lookup'!J:K,2)*G1510*(1-$AC$1786)*(1+$AC$1788)),IF(AD1510="NVP",(VLOOKUP(A1510,'Discount Lookup'!J:K,2)*G1510*(1-$AC$1786)*(1+$AC$1788)),IF(AD1510="free","re-planting",IF(G1510=0,"",IF($AD$8="",IF(AD1510="me","not NVP, by",IF(AD1510="",IF(G1510&gt;0,(VLOOKUP(A1510,'Discount Lookup'!J:K,2)*G1510*(1-$AC$1786)*(1+$AC$1788)),""),"")),"not NVP, by"))))))))</f>
        <v/>
      </c>
      <c r="AC1510" s="830"/>
      <c r="AD1510" s="375" t="str">
        <f t="shared" si="3700"/>
        <v/>
      </c>
      <c r="AE1510" s="833" t="str">
        <f t="shared" si="3645"/>
        <v/>
      </c>
      <c r="AF1510" s="833"/>
      <c r="AG1510" s="833"/>
      <c r="AH1510" s="91">
        <f>IF(AD1510="free",0,IF(AD1510="me",0,IF(G1510&gt;0,(VLOOKUP(A1510,'Discount Lookup'!J:K,2)*G1510),0)))</f>
        <v>0</v>
      </c>
      <c r="AI1510" s="92" t="str">
        <f t="shared" si="3628"/>
        <v/>
      </c>
      <c r="AJ1510" s="828" t="str">
        <f t="shared" si="3646"/>
        <v/>
      </c>
      <c r="AK1510" s="828"/>
      <c r="AL1510" s="313" t="str">
        <f t="shared" si="3660"/>
        <v/>
      </c>
      <c r="AM1510" s="312"/>
      <c r="AN1510" s="101"/>
      <c r="AO1510" s="101"/>
      <c r="AP1510" s="101"/>
      <c r="AQ1510" s="101"/>
      <c r="AR1510" s="101"/>
      <c r="AS1510" s="101"/>
      <c r="AT1510" s="101"/>
    </row>
    <row r="1511" spans="1:46" ht="12.95" customHeight="1">
      <c r="A1511" s="419">
        <v>3</v>
      </c>
      <c r="B1511" s="87" t="s">
        <v>50</v>
      </c>
      <c r="C1511" s="128" t="s">
        <v>590</v>
      </c>
      <c r="D1511" s="129" t="s">
        <v>87</v>
      </c>
      <c r="E1511" s="98">
        <v>25.95</v>
      </c>
      <c r="F1511" s="705" t="s">
        <v>1306</v>
      </c>
      <c r="G1511" s="357">
        <v>0</v>
      </c>
      <c r="H1511" s="704" t="str">
        <f t="shared" ref="H1511:H1512" si="3717">IF(G1511=0,"",IF(F1511="Qty=",IF(G1511=1,"plant","plants"),IF(F1511&gt;0.0001,"warranty","Error")))</f>
        <v/>
      </c>
      <c r="I1511" s="98">
        <f t="shared" ref="I1511:I1512" si="3718">IF(F1511="Qty=",(E1511*G1511),((E1511*(1-F1511))*G1511))</f>
        <v>0</v>
      </c>
      <c r="J1511" s="98">
        <f>IF(H1511="warranty",0,(I1511*($J$1782)))</f>
        <v>0</v>
      </c>
      <c r="K1511" s="831">
        <f t="shared" ref="K1511:K1512" si="3719">I1511+J1511</f>
        <v>0</v>
      </c>
      <c r="L1511" s="831"/>
      <c r="M1511" s="832" t="str">
        <f>IF($H$1784=0,"",IF(G1511=0,"",IF(F1511="Qty=",CONCATENATE("$",ROUND(K1511*(1-$H$1784),2)," with ",($H$1784*100),"% discount"),CONCATENATE("$",ROUND(K1511*(1-$H$1784),2)," with ",(($H$1784*100+F1511*100)-($H$1784*100*F1511)),IF(F1511&gt;0,"% discounts",IF($H$1781&gt;0,"% discounts","% discount"))))))</f>
        <v/>
      </c>
      <c r="N1511" s="832"/>
      <c r="O1511" s="832"/>
      <c r="P1511" s="832"/>
      <c r="Q1511" s="832"/>
      <c r="R1511" s="832"/>
      <c r="S1511" s="303">
        <f t="shared" ref="S1511" si="3720">E1511*G1511</f>
        <v>0</v>
      </c>
      <c r="T1511" s="541">
        <f>VLOOKUP(A1511,'Discount Lookup'!D:E,2,FALSE)*G1511</f>
        <v>0</v>
      </c>
      <c r="U1511" s="83">
        <f>VLOOKUP(A1511,'Discount Lookup'!G:H,2,FALSE)*G1511</f>
        <v>0</v>
      </c>
      <c r="V1511" s="100">
        <f>E1511*($J$1782)*G1511</f>
        <v>0</v>
      </c>
      <c r="W1511" s="100">
        <f t="shared" ref="W1511" si="3721">I1511</f>
        <v>0</v>
      </c>
      <c r="X1511" s="100" t="b">
        <f>IF(G1511&gt;0,IF(AD1511="me","",G1511))</f>
        <v>0</v>
      </c>
      <c r="Y1511" s="201"/>
      <c r="Z1511" s="829" t="str">
        <f t="shared" si="3644"/>
        <v/>
      </c>
      <c r="AA1511" s="829"/>
      <c r="AB1511" s="830" t="str">
        <f>IF(G1511=0,"",IF(AD1511="free","re-planting",IF(AD1511="me","not NVP, by",IF($AD$8="yes",(VLOOKUP(A1511,'Discount Lookup'!J:K,2)*G1511*(1-$AC$1786)*(1+$AC$1788)),IF(AD1511="NVP",(VLOOKUP(A1511,'Discount Lookup'!J:K,2)*G1511*(1-$AC$1786)*(1+$AC$1788)),IF(AD1511="free","re-planting",IF(G1511=0,"",IF($AD$8="",IF(AD1511="me","not NVP, by",IF(AD1511="",IF(G1511&gt;0,(VLOOKUP(A1511,'Discount Lookup'!J:K,2)*G1511*(1-$AC$1786)*(1+$AC$1788)),""),"")),"not NVP, by"))))))))</f>
        <v/>
      </c>
      <c r="AC1511" s="830"/>
      <c r="AD1511" s="375" t="str">
        <f t="shared" si="3700"/>
        <v/>
      </c>
      <c r="AE1511" s="833" t="str">
        <f t="shared" si="3645"/>
        <v/>
      </c>
      <c r="AF1511" s="833"/>
      <c r="AG1511" s="833"/>
      <c r="AH1511" s="91">
        <f>IF(AD1511="free",0,IF(AD1511="me",0,IF(G1511&gt;0,(VLOOKUP(A1511,'Discount Lookup'!J:K,2)*G1511),0)))</f>
        <v>0</v>
      </c>
      <c r="AI1511" s="92" t="str">
        <f t="shared" si="3628"/>
        <v/>
      </c>
      <c r="AJ1511" s="828" t="str">
        <f t="shared" si="3646"/>
        <v/>
      </c>
      <c r="AK1511" s="828"/>
      <c r="AL1511" s="313" t="str">
        <f t="shared" si="3660"/>
        <v/>
      </c>
      <c r="AM1511" s="312"/>
      <c r="AN1511" s="101"/>
      <c r="AO1511" s="101"/>
      <c r="AP1511" s="101"/>
      <c r="AQ1511" s="101"/>
      <c r="AR1511" s="101"/>
      <c r="AS1511" s="101"/>
      <c r="AT1511" s="101"/>
    </row>
    <row r="1512" spans="1:46" ht="12.95" customHeight="1">
      <c r="A1512" s="419">
        <v>3</v>
      </c>
      <c r="B1512" s="87" t="s">
        <v>50</v>
      </c>
      <c r="C1512" s="128" t="s">
        <v>1431</v>
      </c>
      <c r="D1512" s="129" t="s">
        <v>90</v>
      </c>
      <c r="E1512" s="98">
        <v>26.95</v>
      </c>
      <c r="F1512" s="705" t="s">
        <v>1306</v>
      </c>
      <c r="G1512" s="357">
        <v>0</v>
      </c>
      <c r="H1512" s="704" t="str">
        <f t="shared" si="3717"/>
        <v/>
      </c>
      <c r="I1512" s="98">
        <f t="shared" si="3718"/>
        <v>0</v>
      </c>
      <c r="J1512" s="98">
        <f>IF(H1512="warranty",0,(I1512*($J$1782)))</f>
        <v>0</v>
      </c>
      <c r="K1512" s="831">
        <f t="shared" si="3719"/>
        <v>0</v>
      </c>
      <c r="L1512" s="831"/>
      <c r="M1512" s="832" t="str">
        <f>IF($H$1784=0,"",IF(G1512=0,"",IF(F1512="Qty=",CONCATENATE("$",ROUND(K1512*(1-$H$1784),2)," with ",($H$1784*100),"% discount"),CONCATENATE("$",ROUND(K1512*(1-$H$1784),2)," with ",(($H$1784*100+F1512*100)-($H$1784*100*F1512)),IF(F1512&gt;0,"% discounts",IF($H$1781&gt;0,"% discounts","% discount"))))))</f>
        <v/>
      </c>
      <c r="N1512" s="832"/>
      <c r="O1512" s="832"/>
      <c r="P1512" s="832"/>
      <c r="Q1512" s="832"/>
      <c r="R1512" s="832"/>
      <c r="S1512" s="303">
        <f t="shared" ref="S1512:S1513" si="3722">E1512*G1512</f>
        <v>0</v>
      </c>
      <c r="T1512" s="541">
        <f>VLOOKUP(A1512,'Discount Lookup'!D:E,2,FALSE)*G1512</f>
        <v>0</v>
      </c>
      <c r="U1512" s="83">
        <f>VLOOKUP(A1512,'Discount Lookup'!G:H,2,FALSE)*G1512</f>
        <v>0</v>
      </c>
      <c r="V1512" s="100">
        <f>E1512*($J$1782)*G1512</f>
        <v>0</v>
      </c>
      <c r="W1512" s="100">
        <f t="shared" ref="W1512:W1513" si="3723">I1512</f>
        <v>0</v>
      </c>
      <c r="X1512" s="100" t="b">
        <f>IF(G1512&gt;0,IF(AD1512="me","",G1512))</f>
        <v>0</v>
      </c>
      <c r="Y1512" s="201"/>
      <c r="Z1512" s="829" t="str">
        <f t="shared" si="3644"/>
        <v/>
      </c>
      <c r="AA1512" s="829"/>
      <c r="AB1512" s="830" t="str">
        <f>IF(G1512=0,"",IF(AD1512="free","re-planting",IF(AD1512="me","not NVP, by",IF($AD$8="yes",(VLOOKUP(A1512,'Discount Lookup'!J:K,2)*G1512*(1-$AC$1786)*(1+$AC$1788)),IF(AD1512="NVP",(VLOOKUP(A1512,'Discount Lookup'!J:K,2)*G1512*(1-$AC$1786)*(1+$AC$1788)),IF(AD1512="free","re-planting",IF(G1512=0,"",IF($AD$8="",IF(AD1512="me","not NVP, by",IF(AD1512="",IF(G1512&gt;0,(VLOOKUP(A1512,'Discount Lookup'!J:K,2)*G1512*(1-$AC$1786)*(1+$AC$1788)),""),"")),"not NVP, by"))))))))</f>
        <v/>
      </c>
      <c r="AC1512" s="830"/>
      <c r="AD1512" s="375" t="str">
        <f t="shared" si="3700"/>
        <v/>
      </c>
      <c r="AE1512" s="833" t="str">
        <f t="shared" si="3645"/>
        <v/>
      </c>
      <c r="AF1512" s="833"/>
      <c r="AG1512" s="833"/>
      <c r="AH1512" s="91">
        <f>IF(AD1512="free",0,IF(AD1512="me",0,IF(G1512&gt;0,(VLOOKUP(A1512,'Discount Lookup'!J:K,2)*G1512),0)))</f>
        <v>0</v>
      </c>
      <c r="AI1512" s="92" t="str">
        <f t="shared" si="3628"/>
        <v/>
      </c>
      <c r="AJ1512" s="828" t="str">
        <f t="shared" si="3646"/>
        <v/>
      </c>
      <c r="AK1512" s="828"/>
      <c r="AL1512" s="313" t="str">
        <f t="shared" si="3660"/>
        <v/>
      </c>
      <c r="AM1512" s="312"/>
      <c r="AN1512" s="101"/>
      <c r="AO1512" s="101"/>
      <c r="AP1512" s="101"/>
      <c r="AQ1512" s="101"/>
      <c r="AR1512" s="101"/>
      <c r="AS1512" s="101"/>
      <c r="AT1512" s="101"/>
    </row>
    <row r="1513" spans="1:46" ht="12.95" customHeight="1">
      <c r="A1513" s="419">
        <v>3</v>
      </c>
      <c r="B1513" s="87" t="s">
        <v>50</v>
      </c>
      <c r="C1513" s="128" t="s">
        <v>483</v>
      </c>
      <c r="D1513" s="129" t="s">
        <v>94</v>
      </c>
      <c r="E1513" s="98">
        <v>23.95</v>
      </c>
      <c r="F1513" s="705" t="s">
        <v>1306</v>
      </c>
      <c r="G1513" s="357">
        <v>0</v>
      </c>
      <c r="H1513" s="704" t="str">
        <f t="shared" ref="H1513" si="3724">IF(G1513=0,"",IF(F1513="Qty=",IF(G1513=1,"plant","plants"),IF(F1513&gt;0.0001,"warranty","Error")))</f>
        <v/>
      </c>
      <c r="I1513" s="98">
        <f t="shared" ref="I1513" si="3725">IF(F1513="Qty=",(E1513*G1513),((E1513*(1-F1513))*G1513))</f>
        <v>0</v>
      </c>
      <c r="J1513" s="98">
        <f>IF(H1513="warranty",0,(I1513*($J$1782)))</f>
        <v>0</v>
      </c>
      <c r="K1513" s="831">
        <f t="shared" ref="K1513" si="3726">I1513+J1513</f>
        <v>0</v>
      </c>
      <c r="L1513" s="831"/>
      <c r="M1513" s="832" t="str">
        <f>IF($H$1784=0,"",IF(G1513=0,"",IF(F1513="Qty=",CONCATENATE("$",ROUND(K1513*(1-$H$1784),2)," with ",($H$1784*100),"% discount"),CONCATENATE("$",ROUND(K1513*(1-$H$1784),2)," with ",(($H$1784*100+F1513*100)-($H$1784*100*F1513)),IF(F1513&gt;0,"% discounts",IF($H$1781&gt;0,"% discounts","% discount"))))))</f>
        <v/>
      </c>
      <c r="N1513" s="832"/>
      <c r="O1513" s="832"/>
      <c r="P1513" s="832"/>
      <c r="Q1513" s="832"/>
      <c r="R1513" s="832"/>
      <c r="S1513" s="303">
        <f t="shared" si="3722"/>
        <v>0</v>
      </c>
      <c r="T1513" s="541">
        <f>VLOOKUP(A1513,'Discount Lookup'!D:E,2,FALSE)*G1513</f>
        <v>0</v>
      </c>
      <c r="U1513" s="83">
        <f>VLOOKUP(A1513,'Discount Lookup'!G:H,2,FALSE)*G1513</f>
        <v>0</v>
      </c>
      <c r="V1513" s="100">
        <f>E1513*($J$1782)*G1513</f>
        <v>0</v>
      </c>
      <c r="W1513" s="100">
        <f t="shared" si="3723"/>
        <v>0</v>
      </c>
      <c r="X1513" s="100" t="b">
        <f>IF(G1513&gt;0,IF(AD1513="me","",G1513))</f>
        <v>0</v>
      </c>
      <c r="Y1513" s="201"/>
      <c r="Z1513" s="829" t="str">
        <f t="shared" ref="Z1513" si="3727">IF(G1513=0,"",IF(AD1513="me","",IF($AD$8="me","",IF(AD1513="free","warranty",IF($AD$8="yes","NVP planting:","to NVP install:")))))</f>
        <v/>
      </c>
      <c r="AA1513" s="829"/>
      <c r="AB1513" s="830" t="str">
        <f>IF(G1513=0,"",IF(AD1513="free","re-planting",IF(AD1513="me","not NVP, by",IF($AD$8="yes",(VLOOKUP(A1513,'Discount Lookup'!J:K,2)*G1513*(1-$AC$1786)*(1+$AC$1788)),IF(AD1513="NVP",(VLOOKUP(A1513,'Discount Lookup'!J:K,2)*G1513*(1-$AC$1786)*(1+$AC$1788)),IF(AD1513="free","re-planting",IF(G1513=0,"",IF($AD$8="",IF(AD1513="me","not NVP, by",IF(AD1513="",IF(G1513&gt;0,(VLOOKUP(A1513,'Discount Lookup'!J:K,2)*G1513*(1-$AC$1786)*(1+$AC$1788)),""),"")),"not NVP, by"))))))))</f>
        <v/>
      </c>
      <c r="AC1513" s="830"/>
      <c r="AD1513" s="375" t="str">
        <f t="shared" ref="AD1513" si="3728">IF(G1513=0,"",IF($AD$8="me","me",IF(H1513="warranty","free",IF($AD$8="yes","NVP",""))))</f>
        <v/>
      </c>
      <c r="AE1513" s="833" t="str">
        <f t="shared" ref="AE1513" si="3729">IF(G1513&gt;0,(CONCATENATE((G1513)," quantity, ",(A1513)," ",B1513)),"")</f>
        <v/>
      </c>
      <c r="AF1513" s="833"/>
      <c r="AG1513" s="833"/>
      <c r="AH1513" s="91">
        <f>IF(AD1513="free",0,IF(AD1513="me",0,IF(G1513&gt;0,(VLOOKUP(A1513,'Discount Lookup'!J:K,2)*G1513),0)))</f>
        <v>0</v>
      </c>
      <c r="AI1513" s="92" t="str">
        <f t="shared" si="3628"/>
        <v/>
      </c>
      <c r="AJ1513" s="828" t="str">
        <f t="shared" ref="AJ1513" si="3730">IF(G1513=0,"",IF(AD1513="me","  delivery-only",IF($AD$8="me","  delivery-only",CONCATENATE(" $",ROUND(AI1513/G1513,2)," each"))))</f>
        <v/>
      </c>
      <c r="AK1513" s="828"/>
      <c r="AL1513" s="313" t="str">
        <f t="shared" si="3660"/>
        <v/>
      </c>
      <c r="AM1513" s="312"/>
      <c r="AN1513" s="101"/>
      <c r="AO1513" s="101"/>
      <c r="AP1513" s="101"/>
      <c r="AQ1513" s="101"/>
      <c r="AR1513" s="101"/>
      <c r="AS1513" s="101"/>
      <c r="AT1513" s="101"/>
    </row>
    <row r="1514" spans="1:46" ht="12.95" customHeight="1">
      <c r="A1514" s="482"/>
      <c r="B1514" s="198" t="s">
        <v>801</v>
      </c>
      <c r="C1514" s="147"/>
      <c r="D1514" s="147"/>
      <c r="E1514" s="169"/>
      <c r="F1514" s="717"/>
      <c r="G1514" s="363"/>
      <c r="H1514" s="749"/>
      <c r="I1514" s="169"/>
      <c r="J1514" s="169"/>
      <c r="K1514" s="586"/>
      <c r="L1514" s="586"/>
      <c r="M1514" s="212"/>
      <c r="N1514" s="122" t="s">
        <v>82</v>
      </c>
      <c r="O1514" s="123"/>
      <c r="P1514" s="124"/>
      <c r="Q1514" s="124"/>
      <c r="R1514" s="83"/>
      <c r="S1514" s="82">
        <f>E1514*G1514</f>
        <v>0</v>
      </c>
      <c r="T1514" s="540"/>
      <c r="U1514" s="83"/>
      <c r="V1514" s="100" t="b">
        <f>IF(G1514&gt;0,IF(AD1514="me","",G1514))</f>
        <v>0</v>
      </c>
      <c r="W1514" s="100"/>
      <c r="X1514" s="100"/>
      <c r="Y1514" s="201"/>
      <c r="Z1514" s="829" t="str">
        <f t="shared" si="3644"/>
        <v/>
      </c>
      <c r="AA1514" s="829"/>
      <c r="AB1514" s="830" t="str">
        <f>IF(G1514=0,"",IF(AD1514="free","re-planting",IF(AD1514="me","not NVP, by",IF($AD$8="yes",(VLOOKUP(A1514,'Discount Lookup'!J:K,2)*G1514*(1-$AC$1786)*(1+$AC$1788)),IF(AD1514="NVP",(VLOOKUP(A1514,'Discount Lookup'!J:K,2)*G1514*(1-$AC$1786)*(1+$AC$1788)),IF(AD1514="free","re-planting",IF(G1514=0,"",IF($AD$8="",IF(AD1514="me","not NVP, by",IF(AD1514="",IF(G1514&gt;0,(VLOOKUP(A1514,'Discount Lookup'!J:K,2)*G1514*(1-$AC$1786)*(1+$AC$1788)),""),"")),"not NVP, by"))))))))</f>
        <v/>
      </c>
      <c r="AC1514" s="830"/>
      <c r="AD1514" s="375" t="str">
        <f t="shared" si="3700"/>
        <v/>
      </c>
      <c r="AE1514" s="833" t="str">
        <f t="shared" si="3645"/>
        <v/>
      </c>
      <c r="AF1514" s="833"/>
      <c r="AG1514" s="833"/>
      <c r="AH1514" s="91">
        <f>IF(AD1514="free",0,IF(AD1514="me",0,IF(G1514&gt;0,(VLOOKUP(A1514,'Discount Lookup'!J:K,2)*G1514),0)))</f>
        <v>0</v>
      </c>
      <c r="AI1514" s="92" t="str">
        <f t="shared" si="3628"/>
        <v/>
      </c>
      <c r="AJ1514" s="828" t="str">
        <f t="shared" si="3646"/>
        <v/>
      </c>
      <c r="AK1514" s="828"/>
      <c r="AL1514" s="313" t="str">
        <f t="shared" si="3660"/>
        <v/>
      </c>
      <c r="AM1514" s="312"/>
      <c r="AN1514" s="101"/>
      <c r="AO1514" s="101"/>
      <c r="AP1514" s="101"/>
      <c r="AQ1514" s="101"/>
      <c r="AR1514" s="101"/>
      <c r="AS1514" s="101"/>
      <c r="AT1514" s="101"/>
    </row>
    <row r="1515" spans="1:46" ht="12.95" customHeight="1">
      <c r="A1515" s="863" t="s">
        <v>1184</v>
      </c>
      <c r="B1515" s="864"/>
      <c r="C1515" s="864"/>
      <c r="D1515" s="864"/>
      <c r="E1515" s="864"/>
      <c r="F1515" s="864"/>
      <c r="G1515" s="864"/>
      <c r="H1515" s="776" t="s">
        <v>1186</v>
      </c>
      <c r="I1515" s="88" t="s">
        <v>79</v>
      </c>
      <c r="J1515" s="86"/>
      <c r="K1515" s="603" t="s">
        <v>45</v>
      </c>
      <c r="L1515" s="601" t="s">
        <v>46</v>
      </c>
      <c r="M1515" s="86"/>
      <c r="N1515" s="87" t="s">
        <v>130</v>
      </c>
      <c r="O1515" s="87"/>
      <c r="P1515" s="87"/>
      <c r="Q1515" s="87"/>
      <c r="R1515" s="86"/>
      <c r="S1515" s="125"/>
      <c r="T1515" s="543"/>
      <c r="U1515" s="89" t="s">
        <v>48</v>
      </c>
      <c r="V1515" s="100" t="b">
        <f>IF(G1515&gt;0,IF(AD1515="me","",G1515))</f>
        <v>0</v>
      </c>
      <c r="W1515" s="100"/>
      <c r="X1515" s="100"/>
      <c r="Y1515" s="201"/>
      <c r="Z1515" s="829" t="str">
        <f>IF(G1515=0,"",IF(AD1515="me","",IF($AD$8="me","",IF(AD1515="free","warranty",IF($AD$8="yes","NVP planting:","to NVP install:")))))</f>
        <v/>
      </c>
      <c r="AA1515" s="829"/>
      <c r="AB1515" s="830" t="str">
        <f>IF(G1515=0,"",IF(AD1515="free","re-planting",IF(AD1515="me","not NVP, by",IF($AD$8="yes",(VLOOKUP(A1515,'Discount Lookup'!J:K,2)*G1515*(1-$AC$1786)*(1+$AC$1788)),IF(AD1515="NVP",(VLOOKUP(A1515,'Discount Lookup'!J:K,2)*G1515*(1-$AC$1786)*(1+$AC$1788)),IF(AD1515="free","re-planting",IF(G1515=0,"",IF($AD$8="",IF(AD1515="me","not NVP, by",IF(AD1515="",IF(G1515&gt;0,(VLOOKUP(A1515,'Discount Lookup'!J:K,2)*G1515*(1-$AC$1786)*(1+$AC$1788)),""),"")),"not NVP, by"))))))))</f>
        <v/>
      </c>
      <c r="AC1515" s="830"/>
      <c r="AD1515" s="375" t="str">
        <f>IF(G1515=0,"",IF($AD$8="me","me",IF(H1515="warranty","free",IF($AD$8="yes","NVP",""))))</f>
        <v/>
      </c>
      <c r="AE1515" s="833" t="str">
        <f>IF(G1515&gt;0,(CONCATENATE((G1515)," quantity, ",(A1515)," ",B1515)),"")</f>
        <v/>
      </c>
      <c r="AF1515" s="833"/>
      <c r="AG1515" s="833"/>
      <c r="AH1515" s="91" t="str">
        <f>IF(AD1515="free",0,IF(AD1515="me","",IF(G1515&gt;0,(VLOOKUP(A1515,'Discount Lookup'!J:K,2)*G1515),"")))</f>
        <v/>
      </c>
      <c r="AI1515" s="92" t="str">
        <f t="shared" si="3628"/>
        <v/>
      </c>
      <c r="AJ1515" s="828" t="str">
        <f>IF(G1515=0,"",IF(AD1515="me","  delivery-only",IF($AD$8="me","  delivery-only",CONCATENATE(" $",ROUND(AI1515/G1515,2)," each"))))</f>
        <v/>
      </c>
      <c r="AK1515" s="828"/>
      <c r="AL1515" s="313" t="str">
        <f t="shared" si="3660"/>
        <v/>
      </c>
      <c r="AM1515" s="312"/>
      <c r="AN1515" s="101"/>
      <c r="AO1515" s="101"/>
      <c r="AP1515" s="101"/>
      <c r="AQ1515" s="101"/>
      <c r="AR1515" s="101"/>
      <c r="AS1515" s="101"/>
      <c r="AT1515" s="101"/>
    </row>
    <row r="1516" spans="1:46" ht="12.95" customHeight="1">
      <c r="A1516" s="419">
        <v>3</v>
      </c>
      <c r="B1516" s="87" t="s">
        <v>50</v>
      </c>
      <c r="C1516" s="128" t="s">
        <v>556</v>
      </c>
      <c r="D1516" s="129" t="s">
        <v>87</v>
      </c>
      <c r="E1516" s="98">
        <v>24.95</v>
      </c>
      <c r="F1516" s="705" t="s">
        <v>1306</v>
      </c>
      <c r="G1516" s="357">
        <v>0</v>
      </c>
      <c r="H1516" s="704" t="str">
        <f t="shared" ref="H1516" si="3731">IF(G1516=0,"",IF(F1516="Qty=",IF(G1516=1,"plant","plants"),IF(F1516&gt;0.0001,"warranty","Error")))</f>
        <v/>
      </c>
      <c r="I1516" s="98">
        <f t="shared" ref="I1516" si="3732">IF(F1516="Qty=",(E1516*G1516),((E1516*(1-F1516))*G1516))</f>
        <v>0</v>
      </c>
      <c r="J1516" s="98">
        <f>IF(H1516="warranty",0,(I1516*($J$1782)))</f>
        <v>0</v>
      </c>
      <c r="K1516" s="831">
        <f t="shared" ref="K1516" si="3733">I1516+J1516</f>
        <v>0</v>
      </c>
      <c r="L1516" s="831"/>
      <c r="M1516" s="832" t="str">
        <f>IF($H$1784=0,"",IF(G1516=0,"",IF(F1516="Qty=",CONCATENATE("$",ROUND(K1516*(1-$H$1784),2)," with ",($H$1784*100),"% discount"),CONCATENATE("$",ROUND(K1516*(1-$H$1784),2)," with ",(($H$1784*100+F1516*100)-($H$1784*100*F1516)),IF(F1516&gt;0,"% discounts",IF($H$1781&gt;0,"% discounts","% discount"))))))</f>
        <v/>
      </c>
      <c r="N1516" s="832"/>
      <c r="O1516" s="832"/>
      <c r="P1516" s="832"/>
      <c r="Q1516" s="832"/>
      <c r="R1516" s="832"/>
      <c r="S1516" s="303">
        <f t="shared" ref="S1516" si="3734">E1516*G1516</f>
        <v>0</v>
      </c>
      <c r="T1516" s="541">
        <f>VLOOKUP(A1516,'Discount Lookup'!D:E,2,FALSE)*G1516</f>
        <v>0</v>
      </c>
      <c r="U1516" s="83">
        <f>VLOOKUP(A1516,'Discount Lookup'!G:H,2,FALSE)*G1516</f>
        <v>0</v>
      </c>
      <c r="V1516" s="100">
        <f>E1516*($J$1782)*G1516</f>
        <v>0</v>
      </c>
      <c r="W1516" s="100">
        <f t="shared" ref="W1516" si="3735">I1516</f>
        <v>0</v>
      </c>
      <c r="X1516" s="100" t="b">
        <f>IF(G1516&gt;0,IF(AD1516="me","",G1516))</f>
        <v>0</v>
      </c>
      <c r="Y1516" s="201"/>
      <c r="Z1516" s="829" t="str">
        <f>IF(G1516=0,"",IF(AD1516="me","",IF($AD$8="me","",IF(AD1516="free","warranty",IF($AD$8="yes","NVP planting:","to NVP install:")))))</f>
        <v/>
      </c>
      <c r="AA1516" s="829"/>
      <c r="AB1516" s="830" t="str">
        <f>IF(G1516=0,"",IF(AD1516="free","re-planting",IF(AD1516="me","not NVP, by",IF($AD$8="yes",(VLOOKUP(A1516,'Discount Lookup'!J:K,2)*G1516*(1-$AC$1786)*(1+$AC$1788)),IF(AD1516="NVP",(VLOOKUP(A1516,'Discount Lookup'!J:K,2)*G1516*(1-$AC$1786)*(1+$AC$1788)),IF(AD1516="free","re-planting",IF(G1516=0,"",IF($AD$8="",IF(AD1516="me","not NVP, by",IF(AD1516="",IF(G1516&gt;0,(VLOOKUP(A1516,'Discount Lookup'!J:K,2)*G1516*(1-$AC$1786)*(1+$AC$1788)),""),"")),"not NVP, by"))))))))</f>
        <v/>
      </c>
      <c r="AC1516" s="830"/>
      <c r="AD1516" s="375" t="str">
        <f>IF(G1516=0,"",IF($AD$8="me","me",IF(H1516="warranty","free",IF($AD$8="yes","NVP",""))))</f>
        <v/>
      </c>
      <c r="AE1516" s="833" t="str">
        <f>IF(G1516&gt;0,(CONCATENATE((G1516)," quantity, ",(A1516)," ",B1516)),"")</f>
        <v/>
      </c>
      <c r="AF1516" s="833"/>
      <c r="AG1516" s="833"/>
      <c r="AH1516" s="91" t="str">
        <f>IF(AD1516="free",0,IF(AD1516="me","",IF(G1516&gt;0,(VLOOKUP(A1516,'Discount Lookup'!J:K,2)*G1516),"")))</f>
        <v/>
      </c>
      <c r="AI1516" s="92" t="str">
        <f t="shared" si="3628"/>
        <v/>
      </c>
      <c r="AJ1516" s="828" t="str">
        <f>IF(G1516=0,"",IF(AD1516="me","  delivery-only",IF($AD$8="me","  delivery-only",CONCATENATE(" $",ROUND(AI1516/G1516,2)," each"))))</f>
        <v/>
      </c>
      <c r="AK1516" s="828"/>
      <c r="AL1516" s="313" t="str">
        <f t="shared" si="3660"/>
        <v/>
      </c>
      <c r="AM1516" s="312"/>
      <c r="AN1516" s="101"/>
      <c r="AO1516" s="101"/>
      <c r="AP1516" s="101"/>
      <c r="AQ1516" s="101"/>
      <c r="AR1516" s="101"/>
      <c r="AS1516" s="101"/>
      <c r="AT1516" s="101"/>
    </row>
    <row r="1517" spans="1:46" ht="12.95" customHeight="1">
      <c r="A1517" s="482"/>
      <c r="B1517" s="198" t="s">
        <v>1185</v>
      </c>
      <c r="C1517" s="147"/>
      <c r="D1517" s="147"/>
      <c r="E1517" s="169"/>
      <c r="F1517" s="717"/>
      <c r="G1517" s="363"/>
      <c r="H1517" s="749"/>
      <c r="I1517" s="169"/>
      <c r="J1517" s="169"/>
      <c r="K1517" s="586"/>
      <c r="L1517" s="586"/>
      <c r="M1517" s="212"/>
      <c r="N1517" s="122" t="s">
        <v>82</v>
      </c>
      <c r="O1517" s="123"/>
      <c r="P1517" s="124"/>
      <c r="Q1517" s="124"/>
      <c r="R1517" s="83"/>
      <c r="S1517" s="82">
        <f>E1517*G1517</f>
        <v>0</v>
      </c>
      <c r="T1517" s="540"/>
      <c r="U1517" s="83"/>
      <c r="V1517" s="100" t="b">
        <f>IF(G1517&gt;0,IF(AD1517="me","",G1517))</f>
        <v>0</v>
      </c>
      <c r="W1517" s="100"/>
      <c r="X1517" s="100"/>
      <c r="Y1517" s="201"/>
      <c r="Z1517" s="829" t="str">
        <f>IF(G1517=0,"",IF(AD1517="me","",IF($AD$8="me","",IF(AD1517="free","warranty",IF($AD$8="yes","NVP planting:","to NVP install:")))))</f>
        <v/>
      </c>
      <c r="AA1517" s="829"/>
      <c r="AB1517" s="830" t="str">
        <f>IF(G1517=0,"",IF(AD1517="free","re-planting",IF(AD1517="me","not NVP, by",IF($AD$8="yes",(VLOOKUP(A1517,'Discount Lookup'!J:K,2)*G1517*(1-$AC$1786)*(1+$AC$1788)),IF(AD1517="NVP",(VLOOKUP(A1517,'Discount Lookup'!J:K,2)*G1517*(1-$AC$1786)*(1+$AC$1788)),IF(AD1517="free","re-planting",IF(G1517=0,"",IF($AD$8="",IF(AD1517="me","not NVP, by",IF(AD1517="",IF(G1517&gt;0,(VLOOKUP(A1517,'Discount Lookup'!J:K,2)*G1517*(1-$AC$1786)*(1+$AC$1788)),""),"")),"not NVP, by"))))))))</f>
        <v/>
      </c>
      <c r="AC1517" s="830"/>
      <c r="AD1517" s="375" t="str">
        <f>IF(G1517=0,"",IF($AD$8="me","me",IF(H1517="warranty","free",IF($AD$8="yes","NVP",""))))</f>
        <v/>
      </c>
      <c r="AE1517" s="833" t="str">
        <f>IF(G1517&gt;0,(CONCATENATE((G1517)," quantity, ",(A1517)," ",B1517)),"")</f>
        <v/>
      </c>
      <c r="AF1517" s="833"/>
      <c r="AG1517" s="833"/>
      <c r="AH1517" s="91" t="str">
        <f>IF(AD1517="free",0,IF(AD1517="me","",IF(G1517&gt;0,(VLOOKUP(A1517,'Discount Lookup'!J:K,2)*G1517),"")))</f>
        <v/>
      </c>
      <c r="AI1517" s="92" t="str">
        <f t="shared" si="3628"/>
        <v/>
      </c>
      <c r="AJ1517" s="828" t="str">
        <f>IF(G1517=0,"",IF(AD1517="me","  delivery-only",IF($AD$8="me","  delivery-only",CONCATENATE(" $",ROUND(AI1517/G1517,2)," each"))))</f>
        <v/>
      </c>
      <c r="AK1517" s="828"/>
      <c r="AL1517" s="313" t="str">
        <f t="shared" si="3660"/>
        <v/>
      </c>
      <c r="AM1517" s="312"/>
      <c r="AN1517" s="101"/>
      <c r="AO1517" s="101"/>
      <c r="AP1517" s="101"/>
      <c r="AQ1517" s="101"/>
      <c r="AR1517" s="101"/>
      <c r="AS1517" s="101"/>
      <c r="AT1517" s="101"/>
    </row>
    <row r="1518" spans="1:46" ht="12.95" customHeight="1">
      <c r="A1518" s="920" t="s">
        <v>1242</v>
      </c>
      <c r="B1518" s="921"/>
      <c r="C1518" s="921"/>
      <c r="D1518" s="921"/>
      <c r="E1518" s="921"/>
      <c r="F1518" s="921"/>
      <c r="G1518" s="921"/>
      <c r="H1518" s="776" t="s">
        <v>805</v>
      </c>
      <c r="I1518" s="88" t="s">
        <v>79</v>
      </c>
      <c r="J1518" s="86"/>
      <c r="K1518" s="603" t="s">
        <v>45</v>
      </c>
      <c r="L1518" s="601" t="s">
        <v>46</v>
      </c>
      <c r="M1518" s="86"/>
      <c r="N1518" s="87" t="s">
        <v>69</v>
      </c>
      <c r="O1518" s="87"/>
      <c r="P1518" s="87"/>
      <c r="Q1518" s="87"/>
      <c r="R1518" s="835" t="s">
        <v>49</v>
      </c>
      <c r="S1518" s="835"/>
      <c r="T1518" s="835"/>
      <c r="U1518" s="835"/>
      <c r="V1518" s="100" t="b">
        <f>IF(G1518&gt;0,IF(AD1518="me","",G1518))</f>
        <v>0</v>
      </c>
      <c r="W1518" s="100"/>
      <c r="X1518" s="100"/>
      <c r="Y1518" s="201"/>
      <c r="Z1518" s="829" t="str">
        <f t="shared" si="3644"/>
        <v/>
      </c>
      <c r="AA1518" s="829"/>
      <c r="AB1518" s="830" t="str">
        <f>IF(G1518=0,"",IF(AD1518="free","re-planting",IF(AD1518="me","not NVP, by",IF($AD$8="yes",(VLOOKUP(A1518,'Discount Lookup'!J:K,2)*G1518*(1-$AC$1786)*(1+$AC$1788)),IF(AD1518="NVP",(VLOOKUP(A1518,'Discount Lookup'!J:K,2)*G1518*(1-$AC$1786)*(1+$AC$1788)),IF(AD1518="free","re-planting",IF(G1518=0,"",IF($AD$8="",IF(AD1518="me","not NVP, by",IF(AD1518="",IF(G1518&gt;0,(VLOOKUP(A1518,'Discount Lookup'!J:K,2)*G1518*(1-$AC$1786)*(1+$AC$1788)),""),"")),"not NVP, by"))))))))</f>
        <v/>
      </c>
      <c r="AC1518" s="830"/>
      <c r="AD1518" s="375" t="str">
        <f t="shared" si="3700"/>
        <v/>
      </c>
      <c r="AE1518" s="833" t="str">
        <f t="shared" ref="AE1518:AE1520" si="3736">IF(G1518&gt;0,(CONCATENATE((G1518)," quantity, ",(A1518)," ",B1518)),"")</f>
        <v/>
      </c>
      <c r="AF1518" s="833"/>
      <c r="AG1518" s="833"/>
      <c r="AH1518" s="91">
        <f>IF(AD1518="free",0,IF(AD1518="me",0,IF(G1518&gt;0,(VLOOKUP(A1518,'Discount Lookup'!J:K,2)*G1518),0)))</f>
        <v>0</v>
      </c>
      <c r="AI1518" s="92" t="str">
        <f t="shared" si="3628"/>
        <v/>
      </c>
      <c r="AJ1518" s="828" t="str">
        <f t="shared" si="3646"/>
        <v/>
      </c>
      <c r="AK1518" s="828"/>
      <c r="AL1518" s="313" t="str">
        <f t="shared" si="3660"/>
        <v/>
      </c>
      <c r="AM1518" s="312"/>
      <c r="AN1518" s="101"/>
      <c r="AO1518" s="101"/>
      <c r="AP1518" s="101"/>
      <c r="AQ1518" s="101"/>
      <c r="AR1518" s="101"/>
      <c r="AS1518" s="101"/>
      <c r="AT1518" s="101"/>
    </row>
    <row r="1519" spans="1:46" ht="12.95" customHeight="1">
      <c r="A1519" s="419">
        <v>1</v>
      </c>
      <c r="B1519" s="87" t="s">
        <v>50</v>
      </c>
      <c r="C1519" s="399" t="s">
        <v>136</v>
      </c>
      <c r="D1519" s="129" t="s">
        <v>90</v>
      </c>
      <c r="E1519" s="98">
        <v>31.95</v>
      </c>
      <c r="F1519" s="705" t="s">
        <v>1306</v>
      </c>
      <c r="G1519" s="357">
        <v>0</v>
      </c>
      <c r="H1519" s="704" t="str">
        <f t="shared" ref="H1519" si="3737">IF(G1519=0,"",IF(F1519="Qty=",IF(G1519=1,"plant","plants"),IF(F1519&gt;0.0001,"warranty","Error")))</f>
        <v/>
      </c>
      <c r="I1519" s="98">
        <f t="shared" ref="I1519" si="3738">IF(F1519="Qty=",(E1519*G1519),((E1519*(1-F1519))*G1519))</f>
        <v>0</v>
      </c>
      <c r="J1519" s="98">
        <f>IF(H1519="warranty",0,(I1519*($J$1782)))</f>
        <v>0</v>
      </c>
      <c r="K1519" s="831">
        <f t="shared" ref="K1519" si="3739">I1519+J1519</f>
        <v>0</v>
      </c>
      <c r="L1519" s="831"/>
      <c r="M1519" s="832" t="str">
        <f>IF($H$1784=0,"",IF(G1519=0,"",IF(F1519="Qty=",CONCATENATE("$",ROUND(K1519*(1-$H$1784),2)," with ",($H$1784*100),"% discount"),CONCATENATE("$",ROUND(K1519*(1-$H$1784),2)," with ",(($H$1784*100+F1519*100)-($H$1784*100*F1519)),IF(F1519&gt;0,"% discounts",IF($H$1781&gt;0,"% discounts","% discount"))))))</f>
        <v/>
      </c>
      <c r="N1519" s="832"/>
      <c r="O1519" s="832"/>
      <c r="P1519" s="832"/>
      <c r="Q1519" s="832"/>
      <c r="R1519" s="832"/>
      <c r="S1519" s="303">
        <f t="shared" ref="S1519" si="3740">E1519*G1519</f>
        <v>0</v>
      </c>
      <c r="T1519" s="541">
        <f>VLOOKUP(A1519,'Discount Lookup'!D:E,2,FALSE)*G1519</f>
        <v>0</v>
      </c>
      <c r="U1519" s="83">
        <f>VLOOKUP(A1519,'Discount Lookup'!G:H,2,FALSE)*G1519</f>
        <v>0</v>
      </c>
      <c r="V1519" s="100">
        <f>E1519*($J$1782)*G1519</f>
        <v>0</v>
      </c>
      <c r="W1519" s="100">
        <f t="shared" ref="W1519" si="3741">I1519</f>
        <v>0</v>
      </c>
      <c r="X1519" s="100" t="b">
        <f>IF(G1519&gt;0,IF(AD1519="me","",G1519))</f>
        <v>0</v>
      </c>
      <c r="Y1519" s="201"/>
      <c r="Z1519" s="829" t="str">
        <f t="shared" si="3644"/>
        <v/>
      </c>
      <c r="AA1519" s="829"/>
      <c r="AB1519" s="830" t="str">
        <f>IF(G1519=0,"",IF(AD1519="free","re-planting",IF(AD1519="me","not NVP, by",IF($AD$8="yes",(VLOOKUP(A1519,'Discount Lookup'!J:K,2)*G1519*(1-$AC$1786)*(1+$AC$1788)),IF(AD1519="NVP",(VLOOKUP(A1519,'Discount Lookup'!J:K,2)*G1519*(1-$AC$1786)*(1+$AC$1788)),IF(AD1519="free","re-planting",IF(G1519=0,"",IF($AD$8="",IF(AD1519="me","not NVP, by",IF(AD1519="",IF(G1519&gt;0,(VLOOKUP(A1519,'Discount Lookup'!J:K,2)*G1519*(1-$AC$1786)*(1+$AC$1788)),""),"")),"not NVP, by"))))))))</f>
        <v/>
      </c>
      <c r="AC1519" s="830"/>
      <c r="AD1519" s="375" t="str">
        <f t="shared" si="3700"/>
        <v/>
      </c>
      <c r="AE1519" s="833" t="str">
        <f t="shared" si="3736"/>
        <v/>
      </c>
      <c r="AF1519" s="833"/>
      <c r="AG1519" s="833"/>
      <c r="AH1519" s="91">
        <f>IF(AD1519="free",0,IF(AD1519="me",0,IF(G1519&gt;0,(VLOOKUP(A1519,'Discount Lookup'!J:K,2)*G1519),0)))</f>
        <v>0</v>
      </c>
      <c r="AI1519" s="92" t="str">
        <f t="shared" si="3628"/>
        <v/>
      </c>
      <c r="AJ1519" s="828" t="str">
        <f t="shared" si="3646"/>
        <v/>
      </c>
      <c r="AK1519" s="828"/>
      <c r="AL1519" s="313" t="str">
        <f t="shared" si="3660"/>
        <v/>
      </c>
      <c r="AM1519" s="312"/>
      <c r="AN1519" s="101"/>
      <c r="AO1519" s="101"/>
      <c r="AP1519" s="101"/>
      <c r="AQ1519" s="101"/>
      <c r="AR1519" s="101"/>
      <c r="AS1519" s="101"/>
      <c r="AT1519" s="101"/>
    </row>
    <row r="1520" spans="1:46" ht="12.95" customHeight="1">
      <c r="A1520" s="465"/>
      <c r="B1520" s="198" t="s">
        <v>1243</v>
      </c>
      <c r="C1520" s="130"/>
      <c r="D1520" s="104"/>
      <c r="E1520" s="131"/>
      <c r="F1520" s="710"/>
      <c r="G1520" s="356"/>
      <c r="H1520" s="744"/>
      <c r="I1520" s="131"/>
      <c r="J1520" s="131"/>
      <c r="K1520" s="608"/>
      <c r="L1520" s="608"/>
      <c r="M1520" s="121"/>
      <c r="N1520" s="122" t="s">
        <v>331</v>
      </c>
      <c r="O1520" s="123"/>
      <c r="P1520" s="124"/>
      <c r="Q1520" s="124"/>
      <c r="R1520" s="83"/>
      <c r="S1520" s="82"/>
      <c r="T1520" s="540"/>
      <c r="U1520" s="83"/>
      <c r="V1520" s="100"/>
      <c r="W1520" s="100"/>
      <c r="X1520" s="100"/>
      <c r="Y1520" s="201"/>
      <c r="Z1520" s="829" t="str">
        <f t="shared" si="3644"/>
        <v/>
      </c>
      <c r="AA1520" s="829"/>
      <c r="AB1520" s="830" t="str">
        <f>IF(G1520=0,"",IF(AD1520="free","re-planting",IF(AD1520="me","not NVP, by",IF($AD$8="yes",(VLOOKUP(A1520,'Discount Lookup'!J:K,2)*G1520*(1-$AC$1786)*(1+$AC$1788)),IF(AD1520="NVP",(VLOOKUP(A1520,'Discount Lookup'!J:K,2)*G1520*(1-$AC$1786)*(1+$AC$1788)),IF(AD1520="free","re-planting",IF(G1520=0,"",IF($AD$8="",IF(AD1520="me","not NVP, by",IF(AD1520="",IF(G1520&gt;0,(VLOOKUP(A1520,'Discount Lookup'!J:K,2)*G1520*(1-$AC$1786)*(1+$AC$1788)),""),"")),"not NVP, by"))))))))</f>
        <v/>
      </c>
      <c r="AC1520" s="830"/>
      <c r="AD1520" s="375" t="str">
        <f t="shared" si="3700"/>
        <v/>
      </c>
      <c r="AE1520" s="833" t="str">
        <f t="shared" si="3736"/>
        <v/>
      </c>
      <c r="AF1520" s="833"/>
      <c r="AG1520" s="833"/>
      <c r="AH1520" s="91">
        <f>IF(AD1520="free",0,IF(AD1520="me",0,IF(G1520&gt;0,(VLOOKUP(A1520,'Discount Lookup'!J:K,2)*G1520),0)))</f>
        <v>0</v>
      </c>
      <c r="AI1520" s="92" t="str">
        <f t="shared" si="3628"/>
        <v/>
      </c>
      <c r="AJ1520" s="828" t="str">
        <f t="shared" si="3646"/>
        <v/>
      </c>
      <c r="AK1520" s="828"/>
      <c r="AL1520" s="313" t="str">
        <f t="shared" si="3660"/>
        <v/>
      </c>
      <c r="AM1520" s="312"/>
      <c r="AN1520" s="101"/>
      <c r="AO1520" s="101"/>
      <c r="AP1520" s="101"/>
      <c r="AQ1520" s="101"/>
      <c r="AR1520" s="101"/>
      <c r="AS1520" s="101"/>
      <c r="AT1520" s="101"/>
    </row>
    <row r="1521" spans="1:46" ht="12.95" customHeight="1">
      <c r="A1521" s="920" t="s">
        <v>804</v>
      </c>
      <c r="B1521" s="921"/>
      <c r="C1521" s="921"/>
      <c r="D1521" s="921"/>
      <c r="E1521" s="921"/>
      <c r="F1521" s="921"/>
      <c r="G1521" s="921"/>
      <c r="H1521" s="776" t="s">
        <v>805</v>
      </c>
      <c r="I1521" s="88" t="s">
        <v>79</v>
      </c>
      <c r="J1521" s="86"/>
      <c r="K1521" s="603" t="s">
        <v>45</v>
      </c>
      <c r="L1521" s="601" t="s">
        <v>46</v>
      </c>
      <c r="M1521" s="86"/>
      <c r="N1521" s="87" t="s">
        <v>69</v>
      </c>
      <c r="O1521" s="87"/>
      <c r="P1521" s="87"/>
      <c r="Q1521" s="87"/>
      <c r="R1521" s="835" t="s">
        <v>49</v>
      </c>
      <c r="S1521" s="835"/>
      <c r="T1521" s="835"/>
      <c r="U1521" s="835"/>
      <c r="V1521" s="100" t="b">
        <f>IF(G1521&gt;0,IF(AD1521="me","",G1521))</f>
        <v>0</v>
      </c>
      <c r="W1521" s="100"/>
      <c r="X1521" s="100"/>
      <c r="Y1521" s="201"/>
      <c r="Z1521" s="829" t="str">
        <f t="shared" si="3644"/>
        <v/>
      </c>
      <c r="AA1521" s="829"/>
      <c r="AB1521" s="830" t="str">
        <f>IF(G1521=0,"",IF(AD1521="free","re-planting",IF(AD1521="me","not NVP, by",IF($AD$8="yes",(VLOOKUP(A1521,'Discount Lookup'!J:K,2)*G1521*(1-$AC$1786)*(1+$AC$1788)),IF(AD1521="NVP",(VLOOKUP(A1521,'Discount Lookup'!J:K,2)*G1521*(1-$AC$1786)*(1+$AC$1788)),IF(AD1521="free","re-planting",IF(G1521=0,"",IF($AD$8="",IF(AD1521="me","not NVP, by",IF(AD1521="",IF(G1521&gt;0,(VLOOKUP(A1521,'Discount Lookup'!J:K,2)*G1521*(1-$AC$1786)*(1+$AC$1788)),""),"")),"not NVP, by"))))))))</f>
        <v/>
      </c>
      <c r="AC1521" s="830"/>
      <c r="AD1521" s="375" t="str">
        <f t="shared" si="3700"/>
        <v/>
      </c>
      <c r="AE1521" s="833" t="str">
        <f t="shared" si="3645"/>
        <v/>
      </c>
      <c r="AF1521" s="833"/>
      <c r="AG1521" s="833"/>
      <c r="AH1521" s="91">
        <f>IF(AD1521="free",0,IF(AD1521="me",0,IF(G1521&gt;0,(VLOOKUP(A1521,'Discount Lookup'!J:K,2)*G1521),0)))</f>
        <v>0</v>
      </c>
      <c r="AI1521" s="92" t="str">
        <f t="shared" si="3628"/>
        <v/>
      </c>
      <c r="AJ1521" s="828" t="str">
        <f t="shared" si="3646"/>
        <v/>
      </c>
      <c r="AK1521" s="828"/>
      <c r="AL1521" s="313" t="str">
        <f t="shared" si="3660"/>
        <v/>
      </c>
      <c r="AM1521" s="312"/>
      <c r="AN1521" s="101"/>
      <c r="AO1521" s="101"/>
      <c r="AP1521" s="101"/>
      <c r="AQ1521" s="101"/>
      <c r="AR1521" s="101"/>
      <c r="AS1521" s="101"/>
      <c r="AT1521" s="101"/>
    </row>
    <row r="1522" spans="1:46" ht="12.95" customHeight="1">
      <c r="A1522" s="419">
        <v>1</v>
      </c>
      <c r="B1522" s="87" t="s">
        <v>50</v>
      </c>
      <c r="C1522" s="399" t="s">
        <v>136</v>
      </c>
      <c r="D1522" s="129" t="s">
        <v>94</v>
      </c>
      <c r="E1522" s="98">
        <v>10.95</v>
      </c>
      <c r="F1522" s="705" t="s">
        <v>1306</v>
      </c>
      <c r="G1522" s="357">
        <v>0</v>
      </c>
      <c r="H1522" s="704" t="str">
        <f t="shared" ref="H1522:H1523" si="3742">IF(G1522=0,"",IF(F1522="Qty=",IF(G1522=1,"plant","plants"),IF(F1522&gt;0.0001,"warranty","Error")))</f>
        <v/>
      </c>
      <c r="I1522" s="98">
        <f t="shared" ref="I1522:I1523" si="3743">IF(F1522="Qty=",(E1522*G1522),((E1522*(1-F1522))*G1522))</f>
        <v>0</v>
      </c>
      <c r="J1522" s="98">
        <f>IF(H1522="warranty",0,(I1522*($J$1782)))</f>
        <v>0</v>
      </c>
      <c r="K1522" s="831">
        <f t="shared" ref="K1522:K1523" si="3744">I1522+J1522</f>
        <v>0</v>
      </c>
      <c r="L1522" s="831"/>
      <c r="M1522" s="832" t="str">
        <f>IF($H$1784=0,"",IF(G1522=0,"",IF(F1522="Qty=",CONCATENATE("$",ROUND(K1522*(1-$H$1784),2)," with ",($H$1784*100),"% discount"),CONCATENATE("$",ROUND(K1522*(1-$H$1784),2)," with ",(($H$1784*100+F1522*100)-($H$1784*100*F1522)),IF(F1522&gt;0,"% discounts",IF($H$1781&gt;0,"% discounts","% discount"))))))</f>
        <v/>
      </c>
      <c r="N1522" s="832"/>
      <c r="O1522" s="832"/>
      <c r="P1522" s="832"/>
      <c r="Q1522" s="832"/>
      <c r="R1522" s="832"/>
      <c r="S1522" s="303">
        <f t="shared" ref="S1522:S1523" si="3745">E1522*G1522</f>
        <v>0</v>
      </c>
      <c r="T1522" s="541">
        <f>VLOOKUP(A1522,'Discount Lookup'!D:E,2,FALSE)*G1522</f>
        <v>0</v>
      </c>
      <c r="U1522" s="83">
        <f>VLOOKUP(A1522,'Discount Lookup'!G:H,2,FALSE)*G1522</f>
        <v>0</v>
      </c>
      <c r="V1522" s="100">
        <f>E1522*($J$1782)*G1522</f>
        <v>0</v>
      </c>
      <c r="W1522" s="100">
        <f t="shared" ref="W1522:W1523" si="3746">I1522</f>
        <v>0</v>
      </c>
      <c r="X1522" s="100" t="b">
        <f>IF(G1522&gt;0,IF(AD1522="me","",G1522))</f>
        <v>0</v>
      </c>
      <c r="Y1522" s="201"/>
      <c r="Z1522" s="829" t="str">
        <f t="shared" si="3644"/>
        <v/>
      </c>
      <c r="AA1522" s="829"/>
      <c r="AB1522" s="830" t="str">
        <f>IF(G1522=0,"",IF(AD1522="free","re-planting",IF(AD1522="me","not NVP, by",IF($AD$8="yes",(VLOOKUP(A1522,'Discount Lookup'!J:K,2)*G1522*(1-$AC$1786)*(1+$AC$1788)),IF(AD1522="NVP",(VLOOKUP(A1522,'Discount Lookup'!J:K,2)*G1522*(1-$AC$1786)*(1+$AC$1788)),IF(AD1522="free","re-planting",IF(G1522=0,"",IF($AD$8="",IF(AD1522="me","not NVP, by",IF(AD1522="",IF(G1522&gt;0,(VLOOKUP(A1522,'Discount Lookup'!J:K,2)*G1522*(1-$AC$1786)*(1+$AC$1788)),""),"")),"not NVP, by"))))))))</f>
        <v/>
      </c>
      <c r="AC1522" s="830"/>
      <c r="AD1522" s="375" t="str">
        <f t="shared" si="3700"/>
        <v/>
      </c>
      <c r="AE1522" s="833" t="str">
        <f t="shared" si="3645"/>
        <v/>
      </c>
      <c r="AF1522" s="833"/>
      <c r="AG1522" s="833"/>
      <c r="AH1522" s="91">
        <f>IF(AD1522="free",0,IF(AD1522="me",0,IF(G1522&gt;0,(VLOOKUP(A1522,'Discount Lookup'!J:K,2)*G1522),0)))</f>
        <v>0</v>
      </c>
      <c r="AI1522" s="92" t="str">
        <f t="shared" si="3628"/>
        <v/>
      </c>
      <c r="AJ1522" s="828" t="str">
        <f t="shared" si="3646"/>
        <v/>
      </c>
      <c r="AK1522" s="828"/>
      <c r="AL1522" s="313" t="str">
        <f t="shared" si="3660"/>
        <v/>
      </c>
      <c r="AM1522" s="312"/>
      <c r="AN1522" s="101"/>
      <c r="AO1522" s="101"/>
      <c r="AP1522" s="101"/>
      <c r="AQ1522" s="101"/>
      <c r="AR1522" s="101"/>
      <c r="AS1522" s="101"/>
      <c r="AT1522" s="101"/>
    </row>
    <row r="1523" spans="1:46" ht="12.95" customHeight="1">
      <c r="A1523" s="419">
        <v>2</v>
      </c>
      <c r="B1523" s="87" t="s">
        <v>50</v>
      </c>
      <c r="C1523" s="399" t="s">
        <v>236</v>
      </c>
      <c r="D1523" s="129" t="s">
        <v>90</v>
      </c>
      <c r="E1523" s="98">
        <v>31.95</v>
      </c>
      <c r="F1523" s="705" t="s">
        <v>1306</v>
      </c>
      <c r="G1523" s="357">
        <v>0</v>
      </c>
      <c r="H1523" s="704" t="str">
        <f t="shared" si="3742"/>
        <v/>
      </c>
      <c r="I1523" s="98">
        <f t="shared" si="3743"/>
        <v>0</v>
      </c>
      <c r="J1523" s="98">
        <f>IF(H1523="warranty",0,(I1523*($J$1782)))</f>
        <v>0</v>
      </c>
      <c r="K1523" s="831">
        <f t="shared" si="3744"/>
        <v>0</v>
      </c>
      <c r="L1523" s="831"/>
      <c r="M1523" s="832" t="str">
        <f>IF($H$1784=0,"",IF(G1523=0,"",IF(F1523="Qty=",CONCATENATE("$",ROUND(K1523*(1-$H$1784),2)," with ",($H$1784*100),"% discount"),CONCATENATE("$",ROUND(K1523*(1-$H$1784),2)," with ",(($H$1784*100+F1523*100)-($H$1784*100*F1523)),IF(F1523&gt;0,"% discounts",IF($H$1781&gt;0,"% discounts","% discount"))))))</f>
        <v/>
      </c>
      <c r="N1523" s="832"/>
      <c r="O1523" s="832"/>
      <c r="P1523" s="832"/>
      <c r="Q1523" s="832"/>
      <c r="R1523" s="832"/>
      <c r="S1523" s="303">
        <f t="shared" si="3745"/>
        <v>0</v>
      </c>
      <c r="T1523" s="541">
        <f>VLOOKUP(A1523,'Discount Lookup'!D:E,2,FALSE)*G1523</f>
        <v>0</v>
      </c>
      <c r="U1523" s="83">
        <f>VLOOKUP(A1523,'Discount Lookup'!G:H,2,FALSE)*G1523</f>
        <v>0</v>
      </c>
      <c r="V1523" s="100">
        <f>E1523*($J$1782)*G1523</f>
        <v>0</v>
      </c>
      <c r="W1523" s="100">
        <f t="shared" si="3746"/>
        <v>0</v>
      </c>
      <c r="X1523" s="100" t="b">
        <f>IF(G1523&gt;0,IF(AD1523="me","",G1523))</f>
        <v>0</v>
      </c>
      <c r="Y1523" s="201"/>
      <c r="Z1523" s="829" t="str">
        <f t="shared" si="3644"/>
        <v/>
      </c>
      <c r="AA1523" s="829"/>
      <c r="AB1523" s="830" t="str">
        <f>IF(G1523=0,"",IF(AD1523="free","re-planting",IF(AD1523="me","not NVP, by",IF($AD$8="yes",(VLOOKUP(A1523,'Discount Lookup'!J:K,2)*G1523*(1-$AC$1786)*(1+$AC$1788)),IF(AD1523="NVP",(VLOOKUP(A1523,'Discount Lookup'!J:K,2)*G1523*(1-$AC$1786)*(1+$AC$1788)),IF(AD1523="free","re-planting",IF(G1523=0,"",IF($AD$8="",IF(AD1523="me","not NVP, by",IF(AD1523="",IF(G1523&gt;0,(VLOOKUP(A1523,'Discount Lookup'!J:K,2)*G1523*(1-$AC$1786)*(1+$AC$1788)),""),"")),"not NVP, by"))))))))</f>
        <v/>
      </c>
      <c r="AC1523" s="830"/>
      <c r="AD1523" s="375" t="str">
        <f t="shared" si="3700"/>
        <v/>
      </c>
      <c r="AE1523" s="833" t="str">
        <f t="shared" si="3645"/>
        <v/>
      </c>
      <c r="AF1523" s="833"/>
      <c r="AG1523" s="833"/>
      <c r="AH1523" s="91">
        <f>IF(AD1523="free",0,IF(AD1523="me",0,IF(G1523&gt;0,(VLOOKUP(A1523,'Discount Lookup'!J:K,2)*G1523),0)))</f>
        <v>0</v>
      </c>
      <c r="AI1523" s="92" t="str">
        <f t="shared" si="3628"/>
        <v/>
      </c>
      <c r="AJ1523" s="828" t="str">
        <f t="shared" si="3646"/>
        <v/>
      </c>
      <c r="AK1523" s="828"/>
      <c r="AL1523" s="313" t="str">
        <f t="shared" si="3660"/>
        <v/>
      </c>
      <c r="AM1523" s="312"/>
      <c r="AN1523" s="101"/>
      <c r="AO1523" s="101"/>
      <c r="AP1523" s="101"/>
      <c r="AQ1523" s="101"/>
      <c r="AR1523" s="101"/>
      <c r="AS1523" s="101"/>
      <c r="AT1523" s="101"/>
    </row>
    <row r="1524" spans="1:46" ht="12.95" customHeight="1">
      <c r="A1524" s="465"/>
      <c r="B1524" s="198" t="s">
        <v>1244</v>
      </c>
      <c r="C1524" s="130"/>
      <c r="D1524" s="104"/>
      <c r="E1524" s="131"/>
      <c r="F1524" s="710"/>
      <c r="G1524" s="356"/>
      <c r="H1524" s="744"/>
      <c r="I1524" s="131"/>
      <c r="J1524" s="131"/>
      <c r="K1524" s="608"/>
      <c r="L1524" s="608"/>
      <c r="M1524" s="121"/>
      <c r="N1524" s="122" t="s">
        <v>331</v>
      </c>
      <c r="O1524" s="123"/>
      <c r="P1524" s="124"/>
      <c r="Q1524" s="124"/>
      <c r="R1524" s="83"/>
      <c r="S1524" s="82"/>
      <c r="T1524" s="540"/>
      <c r="U1524" s="83"/>
      <c r="V1524" s="100"/>
      <c r="W1524" s="100"/>
      <c r="X1524" s="100"/>
      <c r="Y1524" s="201"/>
      <c r="Z1524" s="829" t="str">
        <f t="shared" si="3644"/>
        <v/>
      </c>
      <c r="AA1524" s="829"/>
      <c r="AB1524" s="830" t="str">
        <f>IF(G1524=0,"",IF(AD1524="free","re-planting",IF(AD1524="me","not NVP, by",IF($AD$8="yes",(VLOOKUP(A1524,'Discount Lookup'!J:K,2)*G1524*(1-$AC$1786)*(1+$AC$1788)),IF(AD1524="NVP",(VLOOKUP(A1524,'Discount Lookup'!J:K,2)*G1524*(1-$AC$1786)*(1+$AC$1788)),IF(AD1524="free","re-planting",IF(G1524=0,"",IF($AD$8="",IF(AD1524="me","not NVP, by",IF(AD1524="",IF(G1524&gt;0,(VLOOKUP(A1524,'Discount Lookup'!J:K,2)*G1524*(1-$AC$1786)*(1+$AC$1788)),""),"")),"not NVP, by"))))))))</f>
        <v/>
      </c>
      <c r="AC1524" s="830"/>
      <c r="AD1524" s="375" t="str">
        <f t="shared" si="3700"/>
        <v/>
      </c>
      <c r="AE1524" s="833" t="str">
        <f t="shared" si="3645"/>
        <v/>
      </c>
      <c r="AF1524" s="833"/>
      <c r="AG1524" s="833"/>
      <c r="AH1524" s="91">
        <f>IF(AD1524="free",0,IF(AD1524="me",0,IF(G1524&gt;0,(VLOOKUP(A1524,'Discount Lookup'!J:K,2)*G1524),0)))</f>
        <v>0</v>
      </c>
      <c r="AI1524" s="92" t="str">
        <f t="shared" si="3628"/>
        <v/>
      </c>
      <c r="AJ1524" s="828" t="str">
        <f t="shared" si="3646"/>
        <v/>
      </c>
      <c r="AK1524" s="828"/>
      <c r="AL1524" s="313" t="str">
        <f t="shared" si="3660"/>
        <v/>
      </c>
      <c r="AM1524" s="312"/>
      <c r="AN1524" s="101"/>
      <c r="AO1524" s="101"/>
      <c r="AP1524" s="101"/>
      <c r="AQ1524" s="101"/>
      <c r="AR1524" s="101"/>
      <c r="AS1524" s="101"/>
      <c r="AT1524" s="101"/>
    </row>
    <row r="1525" spans="1:46" ht="12.95" customHeight="1">
      <c r="A1525" s="920" t="s">
        <v>806</v>
      </c>
      <c r="B1525" s="921"/>
      <c r="C1525" s="921"/>
      <c r="D1525" s="921"/>
      <c r="E1525" s="921"/>
      <c r="F1525" s="921"/>
      <c r="G1525" s="921"/>
      <c r="H1525" s="776" t="s">
        <v>807</v>
      </c>
      <c r="I1525" s="88" t="s">
        <v>79</v>
      </c>
      <c r="J1525" s="86"/>
      <c r="K1525" s="603" t="s">
        <v>45</v>
      </c>
      <c r="L1525" s="601" t="s">
        <v>46</v>
      </c>
      <c r="M1525" s="86"/>
      <c r="N1525" s="87" t="s">
        <v>69</v>
      </c>
      <c r="O1525" s="87"/>
      <c r="P1525" s="87"/>
      <c r="Q1525" s="87"/>
      <c r="R1525" s="86"/>
      <c r="S1525" s="125"/>
      <c r="T1525" s="543"/>
      <c r="U1525" s="112"/>
      <c r="V1525" s="100" t="b">
        <f>IF(G1525&gt;0,IF(AD1525="me","",G1525))</f>
        <v>0</v>
      </c>
      <c r="W1525" s="100"/>
      <c r="X1525" s="100"/>
      <c r="Y1525" s="201"/>
      <c r="Z1525" s="829" t="str">
        <f t="shared" si="3644"/>
        <v/>
      </c>
      <c r="AA1525" s="829"/>
      <c r="AB1525" s="830" t="str">
        <f>IF(G1525=0,"",IF(AD1525="free","re-planting",IF(AD1525="me","not NVP, by",IF($AD$8="yes",(VLOOKUP(A1525,'Discount Lookup'!J:K,2)*G1525*(1-$AC$1786)*(1+$AC$1788)),IF(AD1525="NVP",(VLOOKUP(A1525,'Discount Lookup'!J:K,2)*G1525*(1-$AC$1786)*(1+$AC$1788)),IF(AD1525="free","re-planting",IF(G1525=0,"",IF($AD$8="",IF(AD1525="me","not NVP, by",IF(AD1525="",IF(G1525&gt;0,(VLOOKUP(A1525,'Discount Lookup'!J:K,2)*G1525*(1-$AC$1786)*(1+$AC$1788)),""),"")),"not NVP, by"))))))))</f>
        <v/>
      </c>
      <c r="AC1525" s="830"/>
      <c r="AD1525" s="375" t="str">
        <f t="shared" si="3700"/>
        <v/>
      </c>
      <c r="AE1525" s="833" t="str">
        <f t="shared" si="3645"/>
        <v/>
      </c>
      <c r="AF1525" s="833"/>
      <c r="AG1525" s="833"/>
      <c r="AH1525" s="91">
        <f>IF(AD1525="free",0,IF(AD1525="me",0,IF(G1525&gt;0,(VLOOKUP(A1525,'Discount Lookup'!J:K,2)*G1525),0)))</f>
        <v>0</v>
      </c>
      <c r="AI1525" s="92" t="str">
        <f t="shared" si="3628"/>
        <v/>
      </c>
      <c r="AJ1525" s="828" t="str">
        <f t="shared" si="3646"/>
        <v/>
      </c>
      <c r="AK1525" s="828"/>
      <c r="AL1525" s="313" t="str">
        <f t="shared" si="3660"/>
        <v/>
      </c>
      <c r="AM1525" s="312"/>
      <c r="AN1525" s="101"/>
      <c r="AO1525" s="101"/>
      <c r="AP1525" s="101"/>
      <c r="AQ1525" s="101"/>
      <c r="AR1525" s="101"/>
      <c r="AS1525" s="101"/>
      <c r="AT1525" s="101"/>
    </row>
    <row r="1526" spans="1:46" ht="12.95" customHeight="1">
      <c r="A1526" s="419" t="s">
        <v>808</v>
      </c>
      <c r="B1526" s="87" t="s">
        <v>809</v>
      </c>
      <c r="C1526" s="399" t="s">
        <v>1437</v>
      </c>
      <c r="D1526" s="129" t="s">
        <v>87</v>
      </c>
      <c r="E1526" s="98">
        <v>61.95</v>
      </c>
      <c r="F1526" s="705" t="s">
        <v>1306</v>
      </c>
      <c r="G1526" s="357">
        <v>0</v>
      </c>
      <c r="H1526" s="704" t="str">
        <f t="shared" ref="H1526:H1528" si="3747">IF(G1526=0,"",IF(F1526="Qty=",IF(G1526=1,"plant","plants"),IF(F1526&gt;0.0001,"warranty","Error")))</f>
        <v/>
      </c>
      <c r="I1526" s="98">
        <f t="shared" ref="I1526:I1528" si="3748">IF(F1526="Qty=",(E1526*G1526),((E1526*(1-F1526))*G1526))</f>
        <v>0</v>
      </c>
      <c r="J1526" s="98">
        <f>IF(H1526="warranty",0,(I1526*($J$1782)))</f>
        <v>0</v>
      </c>
      <c r="K1526" s="831">
        <f t="shared" ref="K1526:K1529" si="3749">I1526+J1526</f>
        <v>0</v>
      </c>
      <c r="L1526" s="831"/>
      <c r="M1526" s="832" t="str">
        <f>IF($H$1784=0,"",IF(G1526=0,"",IF(F1526="Qty=",CONCATENATE("$",ROUND(K1526*(1-$H$1784),2)," with ",($H$1784*100),"% discount"),CONCATENATE("$",ROUND(K1526*(1-$H$1784),2)," with ",(($H$1784*100+F1526*100)-($H$1784*100*F1526)),IF(F1526&gt;0,"% discounts",IF($H$1781&gt;0,"% discounts","% discount"))))))</f>
        <v/>
      </c>
      <c r="N1526" s="832"/>
      <c r="O1526" s="832"/>
      <c r="P1526" s="832"/>
      <c r="Q1526" s="832"/>
      <c r="R1526" s="832"/>
      <c r="S1526" s="303">
        <f t="shared" ref="S1526:S1529" si="3750">E1526*G1526</f>
        <v>0</v>
      </c>
      <c r="T1526" s="541">
        <f>VLOOKUP(A1526,'Discount Lookup'!D:E,2,FALSE)*G1526</f>
        <v>0</v>
      </c>
      <c r="U1526" s="83">
        <f>VLOOKUP(A1526,'Discount Lookup'!G:H,2,FALSE)*G1526</f>
        <v>0</v>
      </c>
      <c r="V1526" s="100">
        <f>E1526*($J$1782)*G1526</f>
        <v>0</v>
      </c>
      <c r="W1526" s="100">
        <f t="shared" ref="W1526:W1529" si="3751">I1526</f>
        <v>0</v>
      </c>
      <c r="X1526" s="100" t="b">
        <f>IF(G1526&gt;0,IF(AD1526="me","",G1526))</f>
        <v>0</v>
      </c>
      <c r="Y1526" s="201"/>
      <c r="Z1526" s="829" t="str">
        <f t="shared" si="3644"/>
        <v/>
      </c>
      <c r="AA1526" s="829"/>
      <c r="AB1526" s="830" t="str">
        <f>IF(G1526=0,"",IF(AD1526="free","re-planting",IF(AD1526="me","not NVP, by",IF($AD$8="yes",(VLOOKUP(A1526,'Discount Lookup'!J:K,2)*G1526*(1-$AC$1786)*(1+$AC$1788)),IF(AD1526="NVP",(VLOOKUP(A1526,'Discount Lookup'!J:K,2)*G1526*(1-$AC$1786)*(1+$AC$1788)),IF(AD1526="free","re-planting",IF(G1526=0,"",IF($AD$8="",IF(AD1526="me","not NVP, by",IF(AD1526="",IF(G1526&gt;0,(VLOOKUP(A1526,'Discount Lookup'!J:K,2)*G1526*(1-$AC$1786)*(1+$AC$1788)),""),"")),"not NVP, by"))))))))</f>
        <v/>
      </c>
      <c r="AC1526" s="830"/>
      <c r="AD1526" s="375" t="str">
        <f t="shared" si="3700"/>
        <v/>
      </c>
      <c r="AE1526" s="833" t="str">
        <f t="shared" si="3645"/>
        <v/>
      </c>
      <c r="AF1526" s="833"/>
      <c r="AG1526" s="833"/>
      <c r="AH1526" s="91">
        <f>IF(AD1526="free",0,IF(AD1526="me",0,IF(G1526&gt;0,(VLOOKUP(A1526,'Discount Lookup'!J:K,2)*G1526),0)))</f>
        <v>0</v>
      </c>
      <c r="AI1526" s="92" t="str">
        <f t="shared" si="3628"/>
        <v/>
      </c>
      <c r="AJ1526" s="828" t="str">
        <f t="shared" si="3646"/>
        <v/>
      </c>
      <c r="AK1526" s="828"/>
      <c r="AL1526" s="313" t="str">
        <f t="shared" si="3660"/>
        <v/>
      </c>
      <c r="AM1526" s="312"/>
      <c r="AN1526" s="101"/>
      <c r="AO1526" s="101"/>
      <c r="AP1526" s="101"/>
      <c r="AQ1526" s="101"/>
      <c r="AR1526" s="101"/>
      <c r="AS1526" s="101"/>
      <c r="AT1526" s="101"/>
    </row>
    <row r="1527" spans="1:46" ht="12.95" customHeight="1">
      <c r="A1527" s="419">
        <v>1</v>
      </c>
      <c r="B1527" s="87" t="s">
        <v>50</v>
      </c>
      <c r="C1527" s="399" t="s">
        <v>519</v>
      </c>
      <c r="D1527" s="129" t="s">
        <v>87</v>
      </c>
      <c r="E1527" s="98">
        <v>9.9499999999999993</v>
      </c>
      <c r="F1527" s="705" t="s">
        <v>1306</v>
      </c>
      <c r="G1527" s="357">
        <v>0</v>
      </c>
      <c r="H1527" s="704" t="str">
        <f t="shared" si="3747"/>
        <v/>
      </c>
      <c r="I1527" s="98">
        <f t="shared" si="3748"/>
        <v>0</v>
      </c>
      <c r="J1527" s="98">
        <f>IF(H1527="warranty",0,(I1527*($J$1782)))</f>
        <v>0</v>
      </c>
      <c r="K1527" s="831">
        <f t="shared" si="3749"/>
        <v>0</v>
      </c>
      <c r="L1527" s="831"/>
      <c r="M1527" s="832" t="str">
        <f>IF($H$1784=0,"",IF(G1527=0,"",IF(F1527="Qty=",CONCATENATE("$",ROUND(K1527*(1-$H$1784),2)," with ",($H$1784*100),"% discount"),CONCATENATE("$",ROUND(K1527*(1-$H$1784),2)," with ",(($H$1784*100+F1527*100)-($H$1784*100*F1527)),IF(F1527&gt;0,"% discounts",IF($H$1781&gt;0,"% discounts","% discount"))))))</f>
        <v/>
      </c>
      <c r="N1527" s="832"/>
      <c r="O1527" s="832"/>
      <c r="P1527" s="832"/>
      <c r="Q1527" s="832"/>
      <c r="R1527" s="832"/>
      <c r="S1527" s="303">
        <f t="shared" ref="S1527" si="3752">E1527*G1527</f>
        <v>0</v>
      </c>
      <c r="T1527" s="541">
        <f>VLOOKUP(A1527,'Discount Lookup'!D:E,2,FALSE)*G1527</f>
        <v>0</v>
      </c>
      <c r="U1527" s="83">
        <f>VLOOKUP(A1527,'Discount Lookup'!G:H,2,FALSE)*G1527</f>
        <v>0</v>
      </c>
      <c r="V1527" s="100">
        <f>E1527*($J$1782)*G1527</f>
        <v>0</v>
      </c>
      <c r="W1527" s="100">
        <f t="shared" ref="W1527" si="3753">I1527</f>
        <v>0</v>
      </c>
      <c r="X1527" s="100" t="b">
        <f>IF(G1527&gt;0,IF(AD1527="me","",G1527))</f>
        <v>0</v>
      </c>
      <c r="Y1527" s="201"/>
      <c r="Z1527" s="829" t="str">
        <f t="shared" si="3644"/>
        <v/>
      </c>
      <c r="AA1527" s="829"/>
      <c r="AB1527" s="830" t="str">
        <f>IF(G1527=0,"",IF(AD1527="free","re-planting",IF(AD1527="me","not NVP, by",IF($AD$8="yes",(VLOOKUP(A1527,'Discount Lookup'!J:K,2)*G1527*(1-$AC$1786)*(1+$AC$1788)),IF(AD1527="NVP",(VLOOKUP(A1527,'Discount Lookup'!J:K,2)*G1527*(1-$AC$1786)*(1+$AC$1788)),IF(AD1527="free","re-planting",IF(G1527=0,"",IF($AD$8="",IF(AD1527="me","not NVP, by",IF(AD1527="",IF(G1527&gt;0,(VLOOKUP(A1527,'Discount Lookup'!J:K,2)*G1527*(1-$AC$1786)*(1+$AC$1788)),""),"")),"not NVP, by"))))))))</f>
        <v/>
      </c>
      <c r="AC1527" s="830"/>
      <c r="AD1527" s="375" t="str">
        <f t="shared" si="3700"/>
        <v/>
      </c>
      <c r="AE1527" s="833" t="str">
        <f t="shared" si="3645"/>
        <v/>
      </c>
      <c r="AF1527" s="833"/>
      <c r="AG1527" s="833"/>
      <c r="AH1527" s="91">
        <f>IF(AD1527="free",0,IF(AD1527="me",0,IF(G1527&gt;0,(VLOOKUP(A1527,'Discount Lookup'!J:K,2)*G1527),0)))</f>
        <v>0</v>
      </c>
      <c r="AI1527" s="92" t="str">
        <f t="shared" si="3628"/>
        <v/>
      </c>
      <c r="AJ1527" s="828" t="str">
        <f t="shared" si="3646"/>
        <v/>
      </c>
      <c r="AK1527" s="828"/>
      <c r="AL1527" s="313" t="str">
        <f t="shared" si="3660"/>
        <v/>
      </c>
      <c r="AM1527" s="312"/>
      <c r="AN1527" s="101"/>
      <c r="AO1527" s="101"/>
      <c r="AP1527" s="101"/>
      <c r="AQ1527" s="101"/>
      <c r="AR1527" s="101"/>
      <c r="AS1527" s="101"/>
      <c r="AT1527" s="101"/>
    </row>
    <row r="1528" spans="1:46" ht="12.95" customHeight="1">
      <c r="A1528" s="419">
        <v>1</v>
      </c>
      <c r="B1528" s="87" t="s">
        <v>50</v>
      </c>
      <c r="C1528" s="399" t="s">
        <v>136</v>
      </c>
      <c r="D1528" s="129" t="s">
        <v>90</v>
      </c>
      <c r="E1528" s="98">
        <v>8.9499999999999993</v>
      </c>
      <c r="F1528" s="705" t="s">
        <v>1306</v>
      </c>
      <c r="G1528" s="357">
        <v>0</v>
      </c>
      <c r="H1528" s="704" t="str">
        <f t="shared" si="3747"/>
        <v/>
      </c>
      <c r="I1528" s="98">
        <f t="shared" si="3748"/>
        <v>0</v>
      </c>
      <c r="J1528" s="98">
        <f>IF(H1528="warranty",0,(I1528*($J$1782)))</f>
        <v>0</v>
      </c>
      <c r="K1528" s="831">
        <f t="shared" si="3749"/>
        <v>0</v>
      </c>
      <c r="L1528" s="831"/>
      <c r="M1528" s="832" t="str">
        <f>IF($H$1784=0,"",IF(G1528=0,"",IF(F1528="Qty=",CONCATENATE("$",ROUND(K1528*(1-$H$1784),2)," with ",($H$1784*100),"% discount"),CONCATENATE("$",ROUND(K1528*(1-$H$1784),2)," with ",(($H$1784*100+F1528*100)-($H$1784*100*F1528)),IF(F1528&gt;0,"% discounts",IF($H$1781&gt;0,"% discounts","% discount"))))))</f>
        <v/>
      </c>
      <c r="N1528" s="832"/>
      <c r="O1528" s="832"/>
      <c r="P1528" s="832"/>
      <c r="Q1528" s="832"/>
      <c r="R1528" s="832"/>
      <c r="S1528" s="303">
        <f t="shared" si="3750"/>
        <v>0</v>
      </c>
      <c r="T1528" s="541">
        <f>VLOOKUP(A1528,'Discount Lookup'!D:E,2,FALSE)*G1528</f>
        <v>0</v>
      </c>
      <c r="U1528" s="83">
        <f>VLOOKUP(A1528,'Discount Lookup'!G:H,2,FALSE)*G1528</f>
        <v>0</v>
      </c>
      <c r="V1528" s="100">
        <f>E1528*($J$1782)*G1528</f>
        <v>0</v>
      </c>
      <c r="W1528" s="100">
        <f t="shared" si="3751"/>
        <v>0</v>
      </c>
      <c r="X1528" s="100" t="b">
        <f>IF(G1528&gt;0,IF(AD1528="me","",G1528))</f>
        <v>0</v>
      </c>
      <c r="Y1528" s="201"/>
      <c r="Z1528" s="829" t="str">
        <f t="shared" si="3644"/>
        <v/>
      </c>
      <c r="AA1528" s="829"/>
      <c r="AB1528" s="830" t="str">
        <f>IF(G1528=0,"",IF(AD1528="free","re-planting",IF(AD1528="me","not NVP, by",IF($AD$8="yes",(VLOOKUP(A1528,'Discount Lookup'!J:K,2)*G1528*(1-$AC$1786)*(1+$AC$1788)),IF(AD1528="NVP",(VLOOKUP(A1528,'Discount Lookup'!J:K,2)*G1528*(1-$AC$1786)*(1+$AC$1788)),IF(AD1528="free","re-planting",IF(G1528=0,"",IF($AD$8="",IF(AD1528="me","not NVP, by",IF(AD1528="",IF(G1528&gt;0,(VLOOKUP(A1528,'Discount Lookup'!J:K,2)*G1528*(1-$AC$1786)*(1+$AC$1788)),""),"")),"not NVP, by"))))))))</f>
        <v/>
      </c>
      <c r="AC1528" s="830"/>
      <c r="AD1528" s="375" t="str">
        <f t="shared" si="3700"/>
        <v/>
      </c>
      <c r="AE1528" s="833" t="str">
        <f t="shared" si="3645"/>
        <v/>
      </c>
      <c r="AF1528" s="833"/>
      <c r="AG1528" s="833"/>
      <c r="AH1528" s="91">
        <f>IF(AD1528="free",0,IF(AD1528="me",0,IF(G1528&gt;0,(VLOOKUP(A1528,'Discount Lookup'!J:K,2)*G1528),0)))</f>
        <v>0</v>
      </c>
      <c r="AI1528" s="92" t="str">
        <f t="shared" si="3628"/>
        <v/>
      </c>
      <c r="AJ1528" s="828" t="str">
        <f t="shared" si="3646"/>
        <v/>
      </c>
      <c r="AK1528" s="828"/>
      <c r="AL1528" s="313" t="str">
        <f t="shared" si="3660"/>
        <v/>
      </c>
      <c r="AM1528" s="312"/>
      <c r="AN1528" s="101"/>
      <c r="AO1528" s="101"/>
      <c r="AP1528" s="101"/>
      <c r="AQ1528" s="101"/>
      <c r="AR1528" s="101"/>
      <c r="AS1528" s="101"/>
      <c r="AT1528" s="101"/>
    </row>
    <row r="1529" spans="1:46" ht="12.95" customHeight="1">
      <c r="A1529" s="419">
        <v>1</v>
      </c>
      <c r="B1529" s="87" t="s">
        <v>50</v>
      </c>
      <c r="C1529" s="399" t="s">
        <v>136</v>
      </c>
      <c r="D1529" s="129" t="s">
        <v>94</v>
      </c>
      <c r="E1529" s="98">
        <v>6.95</v>
      </c>
      <c r="F1529" s="705" t="s">
        <v>1306</v>
      </c>
      <c r="G1529" s="357">
        <v>0</v>
      </c>
      <c r="H1529" s="704" t="str">
        <f t="shared" ref="H1529" si="3754">IF(G1529=0,"",IF(F1529="Qty=",IF(G1529=1,"plant","plants"),IF(F1529&gt;0.0001,"warranty","Error")))</f>
        <v/>
      </c>
      <c r="I1529" s="98">
        <f t="shared" ref="I1529" si="3755">IF(F1529="Qty=",(E1529*G1529),((E1529*(1-F1529))*G1529))</f>
        <v>0</v>
      </c>
      <c r="J1529" s="98">
        <f>IF(H1529="warranty",0,(I1529*($J$1782)))</f>
        <v>0</v>
      </c>
      <c r="K1529" s="831">
        <f t="shared" si="3749"/>
        <v>0</v>
      </c>
      <c r="L1529" s="831"/>
      <c r="M1529" s="832" t="str">
        <f>IF($H$1784=0,"",IF(G1529=0,"",IF(F1529="Qty=",CONCATENATE("$",ROUND(K1529*(1-$H$1784),2)," with ",($H$1784*100),"% discount"),CONCATENATE("$",ROUND(K1529*(1-$H$1784),2)," with ",(($H$1784*100+F1529*100)-($H$1784*100*F1529)),IF(F1529&gt;0,"% discounts",IF($H$1781&gt;0,"% discounts","% discount"))))))</f>
        <v/>
      </c>
      <c r="N1529" s="832"/>
      <c r="O1529" s="832"/>
      <c r="P1529" s="832"/>
      <c r="Q1529" s="832"/>
      <c r="R1529" s="832"/>
      <c r="S1529" s="303">
        <f t="shared" si="3750"/>
        <v>0</v>
      </c>
      <c r="T1529" s="541">
        <f>VLOOKUP(A1529,'Discount Lookup'!D:E,2,FALSE)*G1529</f>
        <v>0</v>
      </c>
      <c r="U1529" s="83">
        <f>VLOOKUP(A1529,'Discount Lookup'!G:H,2,FALSE)*G1529</f>
        <v>0</v>
      </c>
      <c r="V1529" s="100">
        <f>E1529*($J$1782)*G1529</f>
        <v>0</v>
      </c>
      <c r="W1529" s="100">
        <f t="shared" si="3751"/>
        <v>0</v>
      </c>
      <c r="X1529" s="100" t="b">
        <f>IF(G1529&gt;0,IF(AD1529="me","",G1529))</f>
        <v>0</v>
      </c>
      <c r="Y1529" s="201"/>
      <c r="Z1529" s="829" t="str">
        <f t="shared" ref="Z1529" si="3756">IF(G1529=0,"",IF(AD1529="me","",IF($AD$8="me","",IF(AD1529="free","warranty",IF($AD$8="yes","NVP planting:","to NVP install:")))))</f>
        <v/>
      </c>
      <c r="AA1529" s="829"/>
      <c r="AB1529" s="830" t="str">
        <f>IF(G1529=0,"",IF(AD1529="free","re-planting",IF(AD1529="me","not NVP, by",IF($AD$8="yes",(VLOOKUP(A1529,'Discount Lookup'!J:K,2)*G1529*(1-$AC$1786)*(1+$AC$1788)),IF(AD1529="NVP",(VLOOKUP(A1529,'Discount Lookup'!J:K,2)*G1529*(1-$AC$1786)*(1+$AC$1788)),IF(AD1529="free","re-planting",IF(G1529=0,"",IF($AD$8="",IF(AD1529="me","not NVP, by",IF(AD1529="",IF(G1529&gt;0,(VLOOKUP(A1529,'Discount Lookup'!J:K,2)*G1529*(1-$AC$1786)*(1+$AC$1788)),""),"")),"not NVP, by"))))))))</f>
        <v/>
      </c>
      <c r="AC1529" s="830"/>
      <c r="AD1529" s="375" t="str">
        <f t="shared" si="3700"/>
        <v/>
      </c>
      <c r="AE1529" s="833" t="str">
        <f t="shared" ref="AE1529" si="3757">IF(G1529&gt;0,(CONCATENATE((G1529)," quantity, ",(A1529)," ",B1529)),"")</f>
        <v/>
      </c>
      <c r="AF1529" s="833"/>
      <c r="AG1529" s="833"/>
      <c r="AH1529" s="91">
        <f>IF(AD1529="free",0,IF(AD1529="me",0,IF(G1529&gt;0,(VLOOKUP(A1529,'Discount Lookup'!J:K,2)*G1529),0)))</f>
        <v>0</v>
      </c>
      <c r="AI1529" s="92" t="str">
        <f t="shared" si="3628"/>
        <v/>
      </c>
      <c r="AJ1529" s="828" t="str">
        <f t="shared" ref="AJ1529" si="3758">IF(G1529=0,"",IF(AD1529="me","  delivery-only",IF($AD$8="me","  delivery-only",CONCATENATE(" $",ROUND(AI1529/G1529,2)," each"))))</f>
        <v/>
      </c>
      <c r="AK1529" s="828"/>
      <c r="AL1529" s="313" t="str">
        <f t="shared" si="3660"/>
        <v/>
      </c>
      <c r="AM1529" s="312"/>
      <c r="AN1529" s="101"/>
      <c r="AO1529" s="101"/>
      <c r="AP1529" s="101"/>
      <c r="AQ1529" s="101"/>
      <c r="AR1529" s="101"/>
      <c r="AS1529" s="101"/>
      <c r="AT1529" s="101"/>
    </row>
    <row r="1530" spans="1:46" ht="12.95" customHeight="1">
      <c r="A1530" s="465"/>
      <c r="B1530" s="198" t="s">
        <v>810</v>
      </c>
      <c r="C1530" s="130"/>
      <c r="D1530" s="104"/>
      <c r="E1530" s="131"/>
      <c r="F1530" s="710"/>
      <c r="G1530" s="356"/>
      <c r="H1530" s="744"/>
      <c r="I1530" s="131"/>
      <c r="J1530" s="131"/>
      <c r="K1530" s="608"/>
      <c r="L1530" s="608"/>
      <c r="M1530" s="121"/>
      <c r="N1530" s="121"/>
      <c r="O1530" s="123"/>
      <c r="P1530" s="124"/>
      <c r="Q1530" s="124"/>
      <c r="R1530" s="83"/>
      <c r="S1530" s="82">
        <f>E1530*G1530</f>
        <v>0</v>
      </c>
      <c r="T1530" s="540"/>
      <c r="U1530" s="83"/>
      <c r="V1530" s="100" t="b">
        <f>IF(G1530&gt;0,IF(AD1530="me","",G1530))</f>
        <v>0</v>
      </c>
      <c r="W1530" s="100"/>
      <c r="X1530" s="100"/>
      <c r="Y1530" s="201"/>
      <c r="Z1530" s="829" t="str">
        <f t="shared" ref="Z1530:Z1586" si="3759">IF(G1530=0,"",IF(AD1530="me","",IF($AD$8="me","",IF(AD1530="free","warranty",IF($AD$8="yes","NVP planting:","to NVP install:")))))</f>
        <v/>
      </c>
      <c r="AA1530" s="829"/>
      <c r="AB1530" s="830" t="str">
        <f>IF(G1530=0,"",IF(AD1530="free","re-planting",IF(AD1530="me","not NVP, by",IF($AD$8="yes",(VLOOKUP(A1530,'Discount Lookup'!J:K,2)*G1530*(1-$AC$1786)*(1+$AC$1788)),IF(AD1530="NVP",(VLOOKUP(A1530,'Discount Lookup'!J:K,2)*G1530*(1-$AC$1786)*(1+$AC$1788)),IF(AD1530="free","re-planting",IF(G1530=0,"",IF($AD$8="",IF(AD1530="me","not NVP, by",IF(AD1530="",IF(G1530&gt;0,(VLOOKUP(A1530,'Discount Lookup'!J:K,2)*G1530*(1-$AC$1786)*(1+$AC$1788)),""),"")),"not NVP, by"))))))))</f>
        <v/>
      </c>
      <c r="AC1530" s="830"/>
      <c r="AD1530" s="375" t="str">
        <f t="shared" si="3700"/>
        <v/>
      </c>
      <c r="AE1530" s="833" t="str">
        <f t="shared" si="3645"/>
        <v/>
      </c>
      <c r="AF1530" s="833"/>
      <c r="AG1530" s="833"/>
      <c r="AH1530" s="91">
        <f>IF(AD1530="free",0,IF(AD1530="me",0,IF(G1530&gt;0,(VLOOKUP(A1530,'Discount Lookup'!J:K,2)*G1530),0)))</f>
        <v>0</v>
      </c>
      <c r="AI1530" s="92" t="str">
        <f t="shared" si="3628"/>
        <v/>
      </c>
      <c r="AJ1530" s="828" t="str">
        <f t="shared" ref="AJ1530:AJ1586" si="3760">IF(G1530=0,"",IF(AD1530="me","  delivery-only",IF($AD$8="me","  delivery-only",CONCATENATE(" $",ROUND(AI1530/G1530,2)," each"))))</f>
        <v/>
      </c>
      <c r="AK1530" s="828"/>
      <c r="AL1530" s="313" t="str">
        <f t="shared" si="3660"/>
        <v/>
      </c>
      <c r="AM1530" s="312"/>
      <c r="AN1530" s="101"/>
      <c r="AO1530" s="101"/>
      <c r="AP1530" s="101"/>
      <c r="AQ1530" s="101"/>
      <c r="AR1530" s="101"/>
      <c r="AS1530" s="101"/>
      <c r="AT1530" s="101"/>
    </row>
    <row r="1531" spans="1:46" ht="12.95" customHeight="1">
      <c r="A1531" s="920" t="s">
        <v>811</v>
      </c>
      <c r="B1531" s="921"/>
      <c r="C1531" s="921"/>
      <c r="D1531" s="921"/>
      <c r="E1531" s="921"/>
      <c r="F1531" s="921"/>
      <c r="G1531" s="921"/>
      <c r="H1531" s="776" t="s">
        <v>807</v>
      </c>
      <c r="I1531" s="88" t="s">
        <v>79</v>
      </c>
      <c r="J1531" s="86"/>
      <c r="K1531" s="603" t="s">
        <v>45</v>
      </c>
      <c r="L1531" s="601" t="s">
        <v>46</v>
      </c>
      <c r="M1531" s="86"/>
      <c r="N1531" s="87" t="s">
        <v>69</v>
      </c>
      <c r="O1531" s="87"/>
      <c r="P1531" s="88"/>
      <c r="Q1531" s="88"/>
      <c r="R1531" s="86"/>
      <c r="S1531" s="125"/>
      <c r="T1531" s="543"/>
      <c r="U1531" s="347" t="s">
        <v>221</v>
      </c>
      <c r="V1531" s="100" t="b">
        <f>IF(G1531&gt;0,IF(AD1531="me","",G1531))</f>
        <v>0</v>
      </c>
      <c r="W1531" s="100"/>
      <c r="X1531" s="100"/>
      <c r="Y1531" s="201"/>
      <c r="Z1531" s="829" t="str">
        <f t="shared" si="3759"/>
        <v/>
      </c>
      <c r="AA1531" s="829"/>
      <c r="AB1531" s="830" t="str">
        <f>IF(G1531=0,"",IF(AD1531="free","re-planting",IF(AD1531="me","not NVP, by",IF($AD$8="yes",(VLOOKUP(A1531,'Discount Lookup'!J:K,2)*G1531*(1-$AC$1786)*(1+$AC$1788)),IF(AD1531="NVP",(VLOOKUP(A1531,'Discount Lookup'!J:K,2)*G1531*(1-$AC$1786)*(1+$AC$1788)),IF(AD1531="free","re-planting",IF(G1531=0,"",IF($AD$8="",IF(AD1531="me","not NVP, by",IF(AD1531="",IF(G1531&gt;0,(VLOOKUP(A1531,'Discount Lookup'!J:K,2)*G1531*(1-$AC$1786)*(1+$AC$1788)),""),"")),"not NVP, by"))))))))</f>
        <v/>
      </c>
      <c r="AC1531" s="830"/>
      <c r="AD1531" s="375" t="str">
        <f t="shared" si="3700"/>
        <v/>
      </c>
      <c r="AE1531" s="833" t="str">
        <f t="shared" si="3645"/>
        <v/>
      </c>
      <c r="AF1531" s="833"/>
      <c r="AG1531" s="833"/>
      <c r="AH1531" s="91">
        <f>IF(AD1531="free",0,IF(AD1531="me",0,IF(G1531&gt;0,(VLOOKUP(A1531,'Discount Lookup'!J:K,2)*G1531),0)))</f>
        <v>0</v>
      </c>
      <c r="AI1531" s="92" t="str">
        <f t="shared" si="3628"/>
        <v/>
      </c>
      <c r="AJ1531" s="828" t="str">
        <f t="shared" si="3760"/>
        <v/>
      </c>
      <c r="AK1531" s="828"/>
      <c r="AL1531" s="313" t="str">
        <f t="shared" si="3660"/>
        <v/>
      </c>
      <c r="AM1531" s="312"/>
      <c r="AN1531" s="101"/>
      <c r="AO1531" s="101"/>
      <c r="AP1531" s="101"/>
      <c r="AQ1531" s="101"/>
      <c r="AR1531" s="101"/>
      <c r="AS1531" s="101"/>
      <c r="AT1531" s="101"/>
    </row>
    <row r="1532" spans="1:46" ht="12.95" customHeight="1">
      <c r="A1532" s="419" t="s">
        <v>808</v>
      </c>
      <c r="B1532" s="87" t="s">
        <v>809</v>
      </c>
      <c r="C1532" s="399" t="s">
        <v>1437</v>
      </c>
      <c r="D1532" s="129" t="s">
        <v>87</v>
      </c>
      <c r="E1532" s="98">
        <v>61.95</v>
      </c>
      <c r="F1532" s="705" t="s">
        <v>1306</v>
      </c>
      <c r="G1532" s="357">
        <v>0</v>
      </c>
      <c r="H1532" s="704" t="str">
        <f t="shared" ref="H1532" si="3761">IF(G1532=0,"",IF(F1532="Qty=",IF(G1532=1,"plant","plants"),IF(F1532&gt;0.0001,"warranty","Error")))</f>
        <v/>
      </c>
      <c r="I1532" s="98">
        <f t="shared" ref="I1532" si="3762">IF(F1532="Qty=",(E1532*G1532),((E1532*(1-F1532))*G1532))</f>
        <v>0</v>
      </c>
      <c r="J1532" s="98">
        <f>IF(H1532="warranty",0,(I1532*($J$1782)))</f>
        <v>0</v>
      </c>
      <c r="K1532" s="831">
        <f t="shared" ref="K1532" si="3763">I1532+J1532</f>
        <v>0</v>
      </c>
      <c r="L1532" s="831"/>
      <c r="M1532" s="832" t="str">
        <f>IF($H$1784=0,"",IF(G1532=0,"",IF(F1532="Qty=",CONCATENATE("$",ROUND(K1532*(1-$H$1784),2)," with ",($H$1784*100),"% discount"),CONCATENATE("$",ROUND(K1532*(1-$H$1784),2)," with ",(($H$1784*100+F1532*100)-($H$1784*100*F1532)),IF(F1532&gt;0,"% discounts",IF($H$1781&gt;0,"% discounts","% discount"))))))</f>
        <v/>
      </c>
      <c r="N1532" s="832"/>
      <c r="O1532" s="832"/>
      <c r="P1532" s="832"/>
      <c r="Q1532" s="832"/>
      <c r="R1532" s="832"/>
      <c r="S1532" s="303">
        <f t="shared" ref="S1532" si="3764">E1532*G1532</f>
        <v>0</v>
      </c>
      <c r="T1532" s="541">
        <f>VLOOKUP(A1532,'Discount Lookup'!D:E,2,FALSE)*G1532</f>
        <v>0</v>
      </c>
      <c r="U1532" s="83">
        <f>VLOOKUP(A1532,'Discount Lookup'!G:H,2,FALSE)*G1532</f>
        <v>0</v>
      </c>
      <c r="V1532" s="100">
        <f>E1532*($J$1782)*G1532</f>
        <v>0</v>
      </c>
      <c r="W1532" s="100">
        <f t="shared" ref="W1532" si="3765">I1532</f>
        <v>0</v>
      </c>
      <c r="X1532" s="100" t="b">
        <f>IF(G1532&gt;0,IF(AD1532="me","",G1532))</f>
        <v>0</v>
      </c>
      <c r="Y1532" s="201"/>
      <c r="Z1532" s="829" t="str">
        <f t="shared" si="3759"/>
        <v/>
      </c>
      <c r="AA1532" s="829"/>
      <c r="AB1532" s="830" t="str">
        <f>IF(G1532=0,"",IF(AD1532="free","re-planting",IF(AD1532="me","not NVP, by",IF($AD$8="yes",(VLOOKUP(A1532,'Discount Lookup'!J:K,2)*G1532*(1-$AC$1786)*(1+$AC$1788)),IF(AD1532="NVP",(VLOOKUP(A1532,'Discount Lookup'!J:K,2)*G1532*(1-$AC$1786)*(1+$AC$1788)),IF(AD1532="free","re-planting",IF(G1532=0,"",IF($AD$8="",IF(AD1532="me","not NVP, by",IF(AD1532="",IF(G1532&gt;0,(VLOOKUP(A1532,'Discount Lookup'!J:K,2)*G1532*(1-$AC$1786)*(1+$AC$1788)),""),"")),"not NVP, by"))))))))</f>
        <v/>
      </c>
      <c r="AC1532" s="830"/>
      <c r="AD1532" s="375" t="str">
        <f t="shared" si="3700"/>
        <v/>
      </c>
      <c r="AE1532" s="833" t="str">
        <f t="shared" si="3645"/>
        <v/>
      </c>
      <c r="AF1532" s="833"/>
      <c r="AG1532" s="833"/>
      <c r="AH1532" s="91">
        <f>IF(AD1532="free",0,IF(AD1532="me",0,IF(G1532&gt;0,(VLOOKUP(A1532,'Discount Lookup'!J:K,2)*G1532),0)))</f>
        <v>0</v>
      </c>
      <c r="AI1532" s="92" t="str">
        <f t="shared" si="3628"/>
        <v/>
      </c>
      <c r="AJ1532" s="828" t="str">
        <f t="shared" si="3760"/>
        <v/>
      </c>
      <c r="AK1532" s="828"/>
      <c r="AL1532" s="313" t="str">
        <f t="shared" si="3660"/>
        <v/>
      </c>
      <c r="AM1532" s="312"/>
      <c r="AN1532" s="101"/>
      <c r="AO1532" s="101"/>
      <c r="AP1532" s="101"/>
      <c r="AQ1532" s="101"/>
      <c r="AR1532" s="101"/>
      <c r="AS1532" s="101"/>
      <c r="AT1532" s="101"/>
    </row>
    <row r="1533" spans="1:46" ht="12.95" customHeight="1">
      <c r="A1533" s="465"/>
      <c r="B1533" s="198" t="s">
        <v>812</v>
      </c>
      <c r="C1533" s="130"/>
      <c r="D1533" s="104"/>
      <c r="E1533" s="131"/>
      <c r="F1533" s="710"/>
      <c r="G1533" s="356"/>
      <c r="H1533" s="744"/>
      <c r="I1533" s="131"/>
      <c r="J1533" s="131"/>
      <c r="K1533" s="608"/>
      <c r="L1533" s="608"/>
      <c r="M1533" s="121"/>
      <c r="N1533" s="121"/>
      <c r="O1533" s="123"/>
      <c r="P1533" s="124"/>
      <c r="Q1533" s="124"/>
      <c r="R1533" s="83"/>
      <c r="S1533" s="82">
        <f>E1533*G1533</f>
        <v>0</v>
      </c>
      <c r="T1533" s="540"/>
      <c r="U1533" s="83"/>
      <c r="V1533" s="100" t="b">
        <f>IF(G1533&gt;0,IF(AD1533="me","",G1533))</f>
        <v>0</v>
      </c>
      <c r="W1533" s="100"/>
      <c r="X1533" s="100"/>
      <c r="Y1533" s="201"/>
      <c r="Z1533" s="829" t="str">
        <f t="shared" si="3759"/>
        <v/>
      </c>
      <c r="AA1533" s="829"/>
      <c r="AB1533" s="830" t="str">
        <f>IF(G1533=0,"",IF(AD1533="free","re-planting",IF(AD1533="me","not NVP, by",IF($AD$8="yes",(VLOOKUP(A1533,'Discount Lookup'!J:K,2)*G1533*(1-$AC$1786)*(1+$AC$1788)),IF(AD1533="NVP",(VLOOKUP(A1533,'Discount Lookup'!J:K,2)*G1533*(1-$AC$1786)*(1+$AC$1788)),IF(AD1533="free","re-planting",IF(G1533=0,"",IF($AD$8="",IF(AD1533="me","not NVP, by",IF(AD1533="",IF(G1533&gt;0,(VLOOKUP(A1533,'Discount Lookup'!J:K,2)*G1533*(1-$AC$1786)*(1+$AC$1788)),""),"")),"not NVP, by"))))))))</f>
        <v/>
      </c>
      <c r="AC1533" s="830"/>
      <c r="AD1533" s="375" t="str">
        <f t="shared" si="3700"/>
        <v/>
      </c>
      <c r="AE1533" s="833" t="str">
        <f t="shared" si="3645"/>
        <v/>
      </c>
      <c r="AF1533" s="833"/>
      <c r="AG1533" s="833"/>
      <c r="AH1533" s="91">
        <f>IF(AD1533="free",0,IF(AD1533="me",0,IF(G1533&gt;0,(VLOOKUP(A1533,'Discount Lookup'!J:K,2)*G1533),0)))</f>
        <v>0</v>
      </c>
      <c r="AI1533" s="92" t="str">
        <f t="shared" si="3628"/>
        <v/>
      </c>
      <c r="AJ1533" s="828" t="str">
        <f t="shared" si="3760"/>
        <v/>
      </c>
      <c r="AK1533" s="828"/>
      <c r="AL1533" s="313" t="str">
        <f t="shared" si="3660"/>
        <v/>
      </c>
      <c r="AM1533" s="312"/>
      <c r="AN1533" s="101"/>
      <c r="AO1533" s="101"/>
      <c r="AP1533" s="101"/>
      <c r="AQ1533" s="101"/>
      <c r="AR1533" s="101"/>
      <c r="AS1533" s="101"/>
      <c r="AT1533" s="101"/>
    </row>
    <row r="1534" spans="1:46" ht="12.95" customHeight="1">
      <c r="A1534" s="920" t="s">
        <v>813</v>
      </c>
      <c r="B1534" s="921"/>
      <c r="C1534" s="921"/>
      <c r="D1534" s="921"/>
      <c r="E1534" s="921"/>
      <c r="F1534" s="921"/>
      <c r="G1534" s="921"/>
      <c r="H1534" s="776" t="s">
        <v>807</v>
      </c>
      <c r="I1534" s="88" t="s">
        <v>79</v>
      </c>
      <c r="J1534" s="86"/>
      <c r="K1534" s="603" t="s">
        <v>45</v>
      </c>
      <c r="L1534" s="601" t="s">
        <v>46</v>
      </c>
      <c r="M1534" s="86"/>
      <c r="N1534" s="87" t="s">
        <v>69</v>
      </c>
      <c r="O1534" s="87"/>
      <c r="P1534" s="87"/>
      <c r="Q1534" s="87"/>
      <c r="R1534" s="86"/>
      <c r="S1534" s="125"/>
      <c r="T1534" s="543"/>
      <c r="U1534" s="112"/>
      <c r="V1534" s="100" t="b">
        <f>IF(G1534&gt;0,IF(AD1534="me","",G1534))</f>
        <v>0</v>
      </c>
      <c r="W1534" s="100"/>
      <c r="X1534" s="100"/>
      <c r="Y1534" s="201"/>
      <c r="Z1534" s="829" t="str">
        <f t="shared" si="3759"/>
        <v/>
      </c>
      <c r="AA1534" s="829"/>
      <c r="AB1534" s="830" t="str">
        <f>IF(G1534=0,"",IF(AD1534="free","re-planting",IF(AD1534="me","not NVP, by",IF($AD$8="yes",(VLOOKUP(A1534,'Discount Lookup'!J:K,2)*G1534*(1-$AC$1786)*(1+$AC$1788)),IF(AD1534="NVP",(VLOOKUP(A1534,'Discount Lookup'!J:K,2)*G1534*(1-$AC$1786)*(1+$AC$1788)),IF(AD1534="free","re-planting",IF(G1534=0,"",IF($AD$8="",IF(AD1534="me","not NVP, by",IF(AD1534="",IF(G1534&gt;0,(VLOOKUP(A1534,'Discount Lookup'!J:K,2)*G1534*(1-$AC$1786)*(1+$AC$1788)),""),"")),"not NVP, by"))))))))</f>
        <v/>
      </c>
      <c r="AC1534" s="830"/>
      <c r="AD1534" s="375" t="str">
        <f t="shared" si="3700"/>
        <v/>
      </c>
      <c r="AE1534" s="833" t="str">
        <f t="shared" si="3645"/>
        <v/>
      </c>
      <c r="AF1534" s="833"/>
      <c r="AG1534" s="833"/>
      <c r="AH1534" s="91">
        <f>IF(AD1534="free",0,IF(AD1534="me",0,IF(G1534&gt;0,(VLOOKUP(A1534,'Discount Lookup'!J:K,2)*G1534),0)))</f>
        <v>0</v>
      </c>
      <c r="AI1534" s="92" t="str">
        <f t="shared" si="3628"/>
        <v/>
      </c>
      <c r="AJ1534" s="828" t="str">
        <f t="shared" si="3760"/>
        <v/>
      </c>
      <c r="AK1534" s="828"/>
      <c r="AL1534" s="313" t="str">
        <f t="shared" si="3660"/>
        <v/>
      </c>
      <c r="AM1534" s="312"/>
      <c r="AN1534" s="101"/>
      <c r="AO1534" s="101"/>
      <c r="AP1534" s="101"/>
      <c r="AQ1534" s="101"/>
      <c r="AR1534" s="101"/>
      <c r="AS1534" s="101"/>
      <c r="AT1534" s="101"/>
    </row>
    <row r="1535" spans="1:46" ht="12.95" customHeight="1">
      <c r="A1535" s="419" t="s">
        <v>808</v>
      </c>
      <c r="B1535" s="87" t="s">
        <v>809</v>
      </c>
      <c r="C1535" s="399" t="s">
        <v>1437</v>
      </c>
      <c r="D1535" s="129" t="s">
        <v>87</v>
      </c>
      <c r="E1535" s="98">
        <v>61.95</v>
      </c>
      <c r="F1535" s="705" t="s">
        <v>1306</v>
      </c>
      <c r="G1535" s="357">
        <v>0</v>
      </c>
      <c r="H1535" s="778" t="str">
        <f t="shared" ref="H1535:H1537" si="3766">IF(G1535=0,"",IF(F1535="Qty=",IF(G1535=1,"plant","plants"),IF(F1535&gt;0.0001,"warranty","Error")))</f>
        <v/>
      </c>
      <c r="I1535" s="98">
        <f t="shared" ref="I1535:I1537" si="3767">IF(F1535="Qty=",(E1535*G1535),((E1535*(1-F1535))*G1535))</f>
        <v>0</v>
      </c>
      <c r="J1535" s="98">
        <f>IF(H1535="warranty",0,(I1535*($J$1782)))</f>
        <v>0</v>
      </c>
      <c r="K1535" s="831">
        <f t="shared" ref="K1535:K1537" si="3768">I1535+J1535</f>
        <v>0</v>
      </c>
      <c r="L1535" s="831"/>
      <c r="M1535" s="832" t="str">
        <f>IF($H$1784=0,"",IF(G1535=0,"",IF(F1535="Qty=",CONCATENATE("$",ROUND(K1535*(1-$H$1784),2)," with ",($H$1784*100),"% discount"),CONCATENATE("$",ROUND(K1535*(1-$H$1784),2)," with ",(($H$1784*100+F1535*100)-($H$1784*100*F1535)),IF(F1535&gt;0,"% discounts",IF($H$1781&gt;0,"% discounts","% discount"))))))</f>
        <v/>
      </c>
      <c r="N1535" s="832"/>
      <c r="O1535" s="832"/>
      <c r="P1535" s="832"/>
      <c r="Q1535" s="832"/>
      <c r="R1535" s="832"/>
      <c r="S1535" s="303">
        <f t="shared" ref="S1535:S1537" si="3769">E1535*G1535</f>
        <v>0</v>
      </c>
      <c r="T1535" s="541">
        <f>VLOOKUP(A1535,'Discount Lookup'!D:E,2,FALSE)*G1535</f>
        <v>0</v>
      </c>
      <c r="U1535" s="83">
        <f>VLOOKUP(A1535,'Discount Lookup'!G:H,2,FALSE)*G1535</f>
        <v>0</v>
      </c>
      <c r="V1535" s="100">
        <f>E1535*($J$1782)*G1535</f>
        <v>0</v>
      </c>
      <c r="W1535" s="100">
        <f t="shared" ref="W1535:W1537" si="3770">I1535</f>
        <v>0</v>
      </c>
      <c r="X1535" s="100" t="b">
        <f>IF(G1535&gt;0,IF(AD1535="me","",G1535))</f>
        <v>0</v>
      </c>
      <c r="Y1535" s="201"/>
      <c r="Z1535" s="829" t="str">
        <f t="shared" si="3759"/>
        <v/>
      </c>
      <c r="AA1535" s="829"/>
      <c r="AB1535" s="830" t="str">
        <f>IF(G1535=0,"",IF(AD1535="free","re-planting",IF(AD1535="me","not NVP, by",IF($AD$8="yes",(VLOOKUP(A1535,'Discount Lookup'!J:K,2)*G1535*(1-$AC$1786)*(1+$AC$1788)),IF(AD1535="NVP",(VLOOKUP(A1535,'Discount Lookup'!J:K,2)*G1535*(1-$AC$1786)*(1+$AC$1788)),IF(AD1535="free","re-planting",IF(G1535=0,"",IF($AD$8="",IF(AD1535="me","not NVP, by",IF(AD1535="",IF(G1535&gt;0,(VLOOKUP(A1535,'Discount Lookup'!J:K,2)*G1535*(1-$AC$1786)*(1+$AC$1788)),""),"")),"not NVP, by"))))))))</f>
        <v/>
      </c>
      <c r="AC1535" s="830"/>
      <c r="AD1535" s="375" t="str">
        <f t="shared" si="3700"/>
        <v/>
      </c>
      <c r="AE1535" s="833" t="str">
        <f t="shared" si="3645"/>
        <v/>
      </c>
      <c r="AF1535" s="833"/>
      <c r="AG1535" s="833"/>
      <c r="AH1535" s="91">
        <f>IF(AD1535="free",0,IF(AD1535="me",0,IF(G1535&gt;0,(VLOOKUP(A1535,'Discount Lookup'!J:K,2)*G1535),0)))</f>
        <v>0</v>
      </c>
      <c r="AI1535" s="92" t="str">
        <f t="shared" ref="AI1535:AI1598" si="3771">IF(G1535=0,"",IF(AD1535="free",(K1535*(1-$H$1784)),IF($AD$8="me",(K1535*(1-$H$1784)),IF(AD1535="me",(K1535*(1-$H$1784)),(K1535*(1-$H$1784))+AB1535))))</f>
        <v/>
      </c>
      <c r="AJ1535" s="828" t="str">
        <f t="shared" si="3760"/>
        <v/>
      </c>
      <c r="AK1535" s="828"/>
      <c r="AL1535" s="313" t="str">
        <f t="shared" si="3660"/>
        <v/>
      </c>
      <c r="AM1535" s="312"/>
      <c r="AN1535" s="101"/>
      <c r="AO1535" s="101"/>
      <c r="AP1535" s="101"/>
      <c r="AQ1535" s="101"/>
      <c r="AR1535" s="101"/>
      <c r="AS1535" s="101"/>
      <c r="AT1535" s="101"/>
    </row>
    <row r="1536" spans="1:46" ht="12.95" customHeight="1">
      <c r="A1536" s="419">
        <v>1</v>
      </c>
      <c r="B1536" s="87" t="s">
        <v>50</v>
      </c>
      <c r="C1536" s="399" t="s">
        <v>136</v>
      </c>
      <c r="D1536" s="129" t="s">
        <v>63</v>
      </c>
      <c r="E1536" s="98">
        <v>6.95</v>
      </c>
      <c r="F1536" s="705" t="s">
        <v>1306</v>
      </c>
      <c r="G1536" s="357">
        <v>0</v>
      </c>
      <c r="H1536" s="704" t="str">
        <f t="shared" si="3766"/>
        <v/>
      </c>
      <c r="I1536" s="98">
        <f t="shared" si="3767"/>
        <v>0</v>
      </c>
      <c r="J1536" s="98">
        <f>IF(H1536="warranty",0,(I1536*($J$1782)))</f>
        <v>0</v>
      </c>
      <c r="K1536" s="831">
        <f t="shared" si="3768"/>
        <v>0</v>
      </c>
      <c r="L1536" s="831"/>
      <c r="M1536" s="832" t="str">
        <f>IF($H$1784=0,"",IF(G1536=0,"",IF(F1536="Qty=",CONCATENATE("$",ROUND(K1536*(1-$H$1784),2)," with ",($H$1784*100),"% discount"),CONCATENATE("$",ROUND(K1536*(1-$H$1784),2)," with ",(($H$1784*100+F1536*100)-($H$1784*100*F1536)),IF(F1536&gt;0,"% discounts",IF($H$1781&gt;0,"% discounts","% discount"))))))</f>
        <v/>
      </c>
      <c r="N1536" s="832"/>
      <c r="O1536" s="832"/>
      <c r="P1536" s="832"/>
      <c r="Q1536" s="832"/>
      <c r="R1536" s="832"/>
      <c r="S1536" s="303">
        <f t="shared" si="3769"/>
        <v>0</v>
      </c>
      <c r="T1536" s="541">
        <f>VLOOKUP(A1536,'Discount Lookup'!D:E,2,FALSE)*G1536</f>
        <v>0</v>
      </c>
      <c r="U1536" s="83">
        <f>VLOOKUP(A1536,'Discount Lookup'!G:H,2,FALSE)*G1536</f>
        <v>0</v>
      </c>
      <c r="V1536" s="100">
        <f>E1536*($J$1782)*G1536</f>
        <v>0</v>
      </c>
      <c r="W1536" s="100">
        <f t="shared" si="3770"/>
        <v>0</v>
      </c>
      <c r="X1536" s="100" t="b">
        <f>IF(G1536&gt;0,IF(AD1536="me","",G1536))</f>
        <v>0</v>
      </c>
      <c r="Y1536" s="201"/>
      <c r="Z1536" s="829" t="str">
        <f t="shared" si="3759"/>
        <v/>
      </c>
      <c r="AA1536" s="829"/>
      <c r="AB1536" s="830" t="str">
        <f>IF(G1536=0,"",IF(AD1536="free","re-planting",IF(AD1536="me","not NVP, by",IF($AD$8="yes",(VLOOKUP(A1536,'Discount Lookup'!J:K,2)*G1536*(1-$AC$1786)*(1+$AC$1788)),IF(AD1536="NVP",(VLOOKUP(A1536,'Discount Lookup'!J:K,2)*G1536*(1-$AC$1786)*(1+$AC$1788)),IF(AD1536="free","re-planting",IF(G1536=0,"",IF($AD$8="",IF(AD1536="me","not NVP, by",IF(AD1536="",IF(G1536&gt;0,(VLOOKUP(A1536,'Discount Lookup'!J:K,2)*G1536*(1-$AC$1786)*(1+$AC$1788)),""),"")),"not NVP, by"))))))))</f>
        <v/>
      </c>
      <c r="AC1536" s="830"/>
      <c r="AD1536" s="375" t="str">
        <f t="shared" si="3700"/>
        <v/>
      </c>
      <c r="AE1536" s="833" t="str">
        <f t="shared" si="3645"/>
        <v/>
      </c>
      <c r="AF1536" s="833"/>
      <c r="AG1536" s="833"/>
      <c r="AH1536" s="91">
        <f>IF(AD1536="free",0,IF(AD1536="me",0,IF(G1536&gt;0,(VLOOKUP(A1536,'Discount Lookup'!J:K,2)*G1536),0)))</f>
        <v>0</v>
      </c>
      <c r="AI1536" s="92" t="str">
        <f t="shared" si="3771"/>
        <v/>
      </c>
      <c r="AJ1536" s="828" t="str">
        <f t="shared" si="3760"/>
        <v/>
      </c>
      <c r="AK1536" s="828"/>
      <c r="AL1536" s="313" t="str">
        <f t="shared" si="3660"/>
        <v/>
      </c>
      <c r="AM1536" s="312"/>
      <c r="AN1536" s="101"/>
      <c r="AO1536" s="101"/>
      <c r="AP1536" s="101"/>
      <c r="AQ1536" s="101"/>
      <c r="AR1536" s="101"/>
      <c r="AS1536" s="101"/>
      <c r="AT1536" s="101"/>
    </row>
    <row r="1537" spans="1:46" ht="12.95" customHeight="1">
      <c r="A1537" s="419">
        <v>1</v>
      </c>
      <c r="B1537" s="87" t="s">
        <v>50</v>
      </c>
      <c r="C1537" s="399" t="s">
        <v>136</v>
      </c>
      <c r="D1537" s="129" t="s">
        <v>94</v>
      </c>
      <c r="E1537" s="98">
        <v>6.95</v>
      </c>
      <c r="F1537" s="705" t="s">
        <v>1306</v>
      </c>
      <c r="G1537" s="357">
        <v>0</v>
      </c>
      <c r="H1537" s="704" t="str">
        <f t="shared" si="3766"/>
        <v/>
      </c>
      <c r="I1537" s="98">
        <f t="shared" si="3767"/>
        <v>0</v>
      </c>
      <c r="J1537" s="98">
        <f>IF(H1537="warranty",0,(I1537*($J$1782)))</f>
        <v>0</v>
      </c>
      <c r="K1537" s="831">
        <f t="shared" si="3768"/>
        <v>0</v>
      </c>
      <c r="L1537" s="831"/>
      <c r="M1537" s="832" t="str">
        <f>IF($H$1784=0,"",IF(G1537=0,"",IF(F1537="Qty=",CONCATENATE("$",ROUND(K1537*(1-$H$1784),2)," with ",($H$1784*100),"% discount"),CONCATENATE("$",ROUND(K1537*(1-$H$1784),2)," with ",(($H$1784*100+F1537*100)-($H$1784*100*F1537)),IF(F1537&gt;0,"% discounts",IF($H$1781&gt;0,"% discounts","% discount"))))))</f>
        <v/>
      </c>
      <c r="N1537" s="832"/>
      <c r="O1537" s="832"/>
      <c r="P1537" s="832"/>
      <c r="Q1537" s="832"/>
      <c r="R1537" s="832"/>
      <c r="S1537" s="303">
        <f t="shared" si="3769"/>
        <v>0</v>
      </c>
      <c r="T1537" s="541">
        <f>VLOOKUP(A1537,'Discount Lookup'!D:E,2,FALSE)*G1537</f>
        <v>0</v>
      </c>
      <c r="U1537" s="83">
        <f>VLOOKUP(A1537,'Discount Lookup'!G:H,2,FALSE)*G1537</f>
        <v>0</v>
      </c>
      <c r="V1537" s="100">
        <f>E1537*($J$1782)*G1537</f>
        <v>0</v>
      </c>
      <c r="W1537" s="100">
        <f t="shared" si="3770"/>
        <v>0</v>
      </c>
      <c r="X1537" s="100" t="b">
        <f>IF(G1537&gt;0,IF(AD1537="me","",G1537))</f>
        <v>0</v>
      </c>
      <c r="Y1537" s="201"/>
      <c r="Z1537" s="829" t="str">
        <f t="shared" si="3759"/>
        <v/>
      </c>
      <c r="AA1537" s="829"/>
      <c r="AB1537" s="830" t="str">
        <f>IF(G1537=0,"",IF(AD1537="free","re-planting",IF(AD1537="me","not NVP, by",IF($AD$8="yes",(VLOOKUP(A1537,'Discount Lookup'!J:K,2)*G1537*(1-$AC$1786)*(1+$AC$1788)),IF(AD1537="NVP",(VLOOKUP(A1537,'Discount Lookup'!J:K,2)*G1537*(1-$AC$1786)*(1+$AC$1788)),IF(AD1537="free","re-planting",IF(G1537=0,"",IF($AD$8="",IF(AD1537="me","not NVP, by",IF(AD1537="",IF(G1537&gt;0,(VLOOKUP(A1537,'Discount Lookup'!J:K,2)*G1537*(1-$AC$1786)*(1+$AC$1788)),""),"")),"not NVP, by"))))))))</f>
        <v/>
      </c>
      <c r="AC1537" s="830"/>
      <c r="AD1537" s="375" t="str">
        <f t="shared" si="3700"/>
        <v/>
      </c>
      <c r="AE1537" s="833" t="str">
        <f t="shared" si="3645"/>
        <v/>
      </c>
      <c r="AF1537" s="833"/>
      <c r="AG1537" s="833"/>
      <c r="AH1537" s="91">
        <f>IF(AD1537="free",0,IF(AD1537="me",0,IF(G1537&gt;0,(VLOOKUP(A1537,'Discount Lookup'!J:K,2)*G1537),0)))</f>
        <v>0</v>
      </c>
      <c r="AI1537" s="92" t="str">
        <f t="shared" si="3771"/>
        <v/>
      </c>
      <c r="AJ1537" s="828" t="str">
        <f t="shared" si="3760"/>
        <v/>
      </c>
      <c r="AK1537" s="828"/>
      <c r="AL1537" s="313" t="str">
        <f t="shared" si="3660"/>
        <v/>
      </c>
      <c r="AM1537" s="312"/>
      <c r="AN1537" s="101"/>
      <c r="AO1537" s="101"/>
      <c r="AP1537" s="101"/>
      <c r="AQ1537" s="101"/>
      <c r="AR1537" s="101"/>
      <c r="AS1537" s="101"/>
      <c r="AT1537" s="101"/>
    </row>
    <row r="1538" spans="1:46" ht="12.95" customHeight="1">
      <c r="A1538" s="500"/>
      <c r="B1538" s="198" t="s">
        <v>814</v>
      </c>
      <c r="C1538" s="147"/>
      <c r="D1538" s="147"/>
      <c r="E1538" s="169"/>
      <c r="F1538" s="717"/>
      <c r="G1538" s="363"/>
      <c r="H1538" s="749"/>
      <c r="I1538" s="169"/>
      <c r="J1538" s="169"/>
      <c r="K1538" s="586"/>
      <c r="L1538" s="586"/>
      <c r="M1538" s="212"/>
      <c r="N1538" s="212"/>
      <c r="O1538" s="123"/>
      <c r="P1538" s="124"/>
      <c r="Q1538" s="124"/>
      <c r="R1538" s="83"/>
      <c r="S1538" s="82">
        <f>E1538*G1538</f>
        <v>0</v>
      </c>
      <c r="T1538" s="540"/>
      <c r="U1538" s="83"/>
      <c r="V1538" s="100" t="b">
        <f>IF(G1538&gt;0,IF(AD1538="me","",G1538))</f>
        <v>0</v>
      </c>
      <c r="W1538" s="100"/>
      <c r="X1538" s="100"/>
      <c r="Y1538" s="201"/>
      <c r="Z1538" s="829" t="str">
        <f t="shared" si="3759"/>
        <v/>
      </c>
      <c r="AA1538" s="829"/>
      <c r="AB1538" s="830" t="str">
        <f>IF(G1538=0,"",IF(AD1538="free","re-planting",IF(AD1538="me","not NVP, by",IF($AD$8="yes",(VLOOKUP(A1538,'Discount Lookup'!J:K,2)*G1538*(1-$AC$1786)*(1+$AC$1788)),IF(AD1538="NVP",(VLOOKUP(A1538,'Discount Lookup'!J:K,2)*G1538*(1-$AC$1786)*(1+$AC$1788)),IF(AD1538="free","re-planting",IF(G1538=0,"",IF($AD$8="",IF(AD1538="me","not NVP, by",IF(AD1538="",IF(G1538&gt;0,(VLOOKUP(A1538,'Discount Lookup'!J:K,2)*G1538*(1-$AC$1786)*(1+$AC$1788)),""),"")),"not NVP, by"))))))))</f>
        <v/>
      </c>
      <c r="AC1538" s="830"/>
      <c r="AD1538" s="375" t="str">
        <f t="shared" si="3700"/>
        <v/>
      </c>
      <c r="AE1538" s="833" t="str">
        <f t="shared" si="3645"/>
        <v/>
      </c>
      <c r="AF1538" s="833"/>
      <c r="AG1538" s="833"/>
      <c r="AH1538" s="91">
        <f>IF(AD1538="free",0,IF(AD1538="me",0,IF(G1538&gt;0,(VLOOKUP(A1538,'Discount Lookup'!J:K,2)*G1538),0)))</f>
        <v>0</v>
      </c>
      <c r="AI1538" s="92" t="str">
        <f t="shared" si="3771"/>
        <v/>
      </c>
      <c r="AJ1538" s="828" t="str">
        <f t="shared" si="3760"/>
        <v/>
      </c>
      <c r="AK1538" s="828"/>
      <c r="AL1538" s="313" t="str">
        <f t="shared" si="3660"/>
        <v/>
      </c>
      <c r="AM1538" s="312"/>
      <c r="AN1538" s="101"/>
      <c r="AO1538" s="101"/>
      <c r="AP1538" s="101"/>
      <c r="AQ1538" s="101"/>
      <c r="AR1538" s="101"/>
      <c r="AS1538" s="101"/>
      <c r="AT1538" s="101"/>
    </row>
    <row r="1539" spans="1:46" ht="12.95" customHeight="1">
      <c r="A1539" s="920" t="s">
        <v>815</v>
      </c>
      <c r="B1539" s="921"/>
      <c r="C1539" s="921"/>
      <c r="D1539" s="921"/>
      <c r="E1539" s="921"/>
      <c r="F1539" s="921"/>
      <c r="G1539" s="921"/>
      <c r="H1539" s="776" t="s">
        <v>816</v>
      </c>
      <c r="I1539" s="88" t="s">
        <v>79</v>
      </c>
      <c r="J1539" s="86"/>
      <c r="K1539" s="603" t="s">
        <v>45</v>
      </c>
      <c r="L1539" s="601" t="s">
        <v>46</v>
      </c>
      <c r="M1539" s="86"/>
      <c r="N1539" s="87" t="s">
        <v>128</v>
      </c>
      <c r="O1539" s="87"/>
      <c r="P1539" s="87"/>
      <c r="Q1539" s="87"/>
      <c r="R1539" s="86"/>
      <c r="S1539" s="125"/>
      <c r="T1539" s="543"/>
      <c r="U1539" s="112"/>
      <c r="V1539" s="100" t="b">
        <f>IF(G1539&gt;0,IF(AD1539="me","",G1539))</f>
        <v>0</v>
      </c>
      <c r="W1539" s="100"/>
      <c r="X1539" s="100"/>
      <c r="Y1539" s="201"/>
      <c r="Z1539" s="829" t="str">
        <f t="shared" si="3759"/>
        <v/>
      </c>
      <c r="AA1539" s="829"/>
      <c r="AB1539" s="830" t="str">
        <f>IF(G1539=0,"",IF(AD1539="free","re-planting",IF(AD1539="me","not NVP, by",IF($AD$8="yes",(VLOOKUP(A1539,'Discount Lookup'!J:K,2)*G1539*(1-$AC$1786)*(1+$AC$1788)),IF(AD1539="NVP",(VLOOKUP(A1539,'Discount Lookup'!J:K,2)*G1539*(1-$AC$1786)*(1+$AC$1788)),IF(AD1539="free","re-planting",IF(G1539=0,"",IF($AD$8="",IF(AD1539="me","not NVP, by",IF(AD1539="",IF(G1539&gt;0,(VLOOKUP(A1539,'Discount Lookup'!J:K,2)*G1539*(1-$AC$1786)*(1+$AC$1788)),""),"")),"not NVP, by"))))))))</f>
        <v/>
      </c>
      <c r="AC1539" s="830"/>
      <c r="AD1539" s="375" t="str">
        <f t="shared" si="3700"/>
        <v/>
      </c>
      <c r="AE1539" s="833" t="str">
        <f t="shared" ref="AE1539:AE1621" si="3772">IF(G1539&gt;0,(CONCATENATE((G1539)," quantity, ",(A1539)," ",B1539)),"")</f>
        <v/>
      </c>
      <c r="AF1539" s="833"/>
      <c r="AG1539" s="833"/>
      <c r="AH1539" s="91">
        <f>IF(AD1539="free",0,IF(AD1539="me",0,IF(G1539&gt;0,(VLOOKUP(A1539,'Discount Lookup'!J:K,2)*G1539),0)))</f>
        <v>0</v>
      </c>
      <c r="AI1539" s="92" t="str">
        <f t="shared" si="3771"/>
        <v/>
      </c>
      <c r="AJ1539" s="828" t="str">
        <f t="shared" si="3760"/>
        <v/>
      </c>
      <c r="AK1539" s="828"/>
      <c r="AL1539" s="313" t="str">
        <f t="shared" si="3660"/>
        <v/>
      </c>
      <c r="AM1539" s="312"/>
      <c r="AN1539" s="101"/>
      <c r="AO1539" s="101"/>
      <c r="AP1539" s="101"/>
      <c r="AQ1539" s="101"/>
      <c r="AR1539" s="101"/>
      <c r="AS1539" s="101"/>
      <c r="AT1539" s="101"/>
    </row>
    <row r="1540" spans="1:46" ht="12.95" customHeight="1">
      <c r="A1540" s="419" t="s">
        <v>817</v>
      </c>
      <c r="B1540" s="87" t="s">
        <v>669</v>
      </c>
      <c r="C1540" s="399" t="s">
        <v>136</v>
      </c>
      <c r="D1540" s="129" t="s">
        <v>94</v>
      </c>
      <c r="E1540" s="98">
        <v>12.95</v>
      </c>
      <c r="F1540" s="705" t="s">
        <v>1306</v>
      </c>
      <c r="G1540" s="357">
        <v>0</v>
      </c>
      <c r="H1540" s="704" t="str">
        <f t="shared" ref="H1540" si="3773">IF(G1540=0,"",IF(F1540="Qty=",IF(G1540=1,"plant","plants"),IF(F1540&gt;0.0001,"warranty","Error")))</f>
        <v/>
      </c>
      <c r="I1540" s="98">
        <f t="shared" ref="I1540" si="3774">IF(F1540="Qty=",(E1540*G1540),((E1540*(1-F1540))*G1540))</f>
        <v>0</v>
      </c>
      <c r="J1540" s="98">
        <f>IF(H1540="warranty",0,(I1540*($J$1782)))</f>
        <v>0</v>
      </c>
      <c r="K1540" s="831">
        <f t="shared" ref="K1540:K1541" si="3775">I1540+J1540</f>
        <v>0</v>
      </c>
      <c r="L1540" s="831"/>
      <c r="M1540" s="832" t="str">
        <f>IF($H$1784=0,"",IF(G1540=0,"",IF(F1540="Qty=",CONCATENATE("$",ROUND(K1540*(1-$H$1784),2)," with ",($H$1784*100),"% discount"),CONCATENATE("$",ROUND(K1540*(1-$H$1784),2)," with ",(($H$1784*100+F1540*100)-($H$1784*100*F1540)),IF(F1540&gt;0,"% discounts",IF($H$1781&gt;0,"% discounts","% discount"))))))</f>
        <v/>
      </c>
      <c r="N1540" s="832"/>
      <c r="O1540" s="832"/>
      <c r="P1540" s="832"/>
      <c r="Q1540" s="832"/>
      <c r="R1540" s="832"/>
      <c r="S1540" s="303">
        <f t="shared" ref="S1540" si="3776">E1540*G1540</f>
        <v>0</v>
      </c>
      <c r="T1540" s="541">
        <f>VLOOKUP(A1540,'Discount Lookup'!D:E,2,FALSE)*G1540</f>
        <v>0</v>
      </c>
      <c r="U1540" s="83">
        <f>VLOOKUP(A1540,'Discount Lookup'!G:H,2,FALSE)*G1540</f>
        <v>0</v>
      </c>
      <c r="V1540" s="100">
        <f>E1540*($J$1782)*G1540</f>
        <v>0</v>
      </c>
      <c r="W1540" s="100">
        <f t="shared" ref="W1540" si="3777">I1540</f>
        <v>0</v>
      </c>
      <c r="X1540" s="100" t="b">
        <f>IF(G1540&gt;0,IF(AD1540="me","",G1540))</f>
        <v>0</v>
      </c>
      <c r="Y1540" s="201"/>
      <c r="Z1540" s="829" t="str">
        <f t="shared" ref="Z1540" si="3778">IF(G1540=0,"",IF(AD1540="me","",IF($AD$8="me","",IF(AD1540="free","warranty",IF($AD$8="yes","NVP planting:","to NVP install:")))))</f>
        <v/>
      </c>
      <c r="AA1540" s="829"/>
      <c r="AB1540" s="830" t="str">
        <f>IF(G1540=0,"",IF(AD1540="free","re-planting",IF(AD1540="me","not NVP, by",IF($AD$8="yes",(VLOOKUP(A1540,'Discount Lookup'!J:K,2)*G1540*(1-$AC$1786)*(1+$AC$1788)),IF(AD1540="NVP",(VLOOKUP(A1540,'Discount Lookup'!J:K,2)*G1540*(1-$AC$1786)*(1+$AC$1788)),IF(AD1540="free","re-planting",IF(G1540=0,"",IF($AD$8="",IF(AD1540="me","not NVP, by",IF(AD1540="",IF(G1540&gt;0,(VLOOKUP(A1540,'Discount Lookup'!J:K,2)*G1540*(1-$AC$1786)*(1+$AC$1788)),""),"")),"not NVP, by"))))))))</f>
        <v/>
      </c>
      <c r="AC1540" s="830"/>
      <c r="AD1540" s="375" t="str">
        <f t="shared" si="3700"/>
        <v/>
      </c>
      <c r="AE1540" s="833" t="str">
        <f t="shared" ref="AE1540" si="3779">IF(G1540&gt;0,(CONCATENATE((G1540)," quantity, ",(A1540)," ",B1540)),"")</f>
        <v/>
      </c>
      <c r="AF1540" s="833"/>
      <c r="AG1540" s="833"/>
      <c r="AH1540" s="91">
        <f>IF(AD1540="free",0,IF(AD1540="me",0,IF(G1540&gt;0,(VLOOKUP(A1540,'Discount Lookup'!J:K,2)*G1540),0)))</f>
        <v>0</v>
      </c>
      <c r="AI1540" s="92" t="str">
        <f t="shared" si="3771"/>
        <v/>
      </c>
      <c r="AJ1540" s="828" t="str">
        <f t="shared" ref="AJ1540" si="3780">IF(G1540=0,"",IF(AD1540="me","  delivery-only",IF($AD$8="me","  delivery-only",CONCATENATE(" $",ROUND(AI1540/G1540,2)," each"))))</f>
        <v/>
      </c>
      <c r="AK1540" s="828"/>
      <c r="AL1540" s="313" t="str">
        <f t="shared" si="3660"/>
        <v/>
      </c>
      <c r="AM1540" s="312"/>
      <c r="AN1540" s="101"/>
      <c r="AO1540" s="101"/>
      <c r="AP1540" s="101"/>
      <c r="AQ1540" s="101"/>
      <c r="AR1540" s="101"/>
      <c r="AS1540" s="101"/>
      <c r="AT1540" s="101"/>
    </row>
    <row r="1541" spans="1:46" ht="12.95" customHeight="1">
      <c r="A1541" s="419">
        <v>1</v>
      </c>
      <c r="B1541" s="87" t="s">
        <v>50</v>
      </c>
      <c r="C1541" s="399" t="s">
        <v>136</v>
      </c>
      <c r="D1541" s="129" t="s">
        <v>87</v>
      </c>
      <c r="E1541" s="98">
        <v>13.95</v>
      </c>
      <c r="F1541" s="705" t="s">
        <v>1306</v>
      </c>
      <c r="G1541" s="357">
        <v>0</v>
      </c>
      <c r="H1541" s="704" t="str">
        <f t="shared" ref="H1541" si="3781">IF(G1541=0,"",IF(F1541="Qty=",IF(G1541=1,"plant","plants"),IF(F1541&gt;0.0001,"warranty","Error")))</f>
        <v/>
      </c>
      <c r="I1541" s="98">
        <f t="shared" ref="I1541" si="3782">IF(F1541="Qty=",(E1541*G1541),((E1541*(1-F1541))*G1541))</f>
        <v>0</v>
      </c>
      <c r="J1541" s="98">
        <f>IF(H1541="warranty",0,(I1541*($J$1782)))</f>
        <v>0</v>
      </c>
      <c r="K1541" s="831">
        <f t="shared" si="3775"/>
        <v>0</v>
      </c>
      <c r="L1541" s="831"/>
      <c r="M1541" s="832" t="str">
        <f>IF($H$1784=0,"",IF(G1541=0,"",IF(F1541="Qty=",CONCATENATE("$",ROUND(K1541*(1-$H$1784),2)," with ",($H$1784*100),"% discount"),CONCATENATE("$",ROUND(K1541*(1-$H$1784),2)," with ",(($H$1784*100+F1541*100)-($H$1784*100*F1541)),IF(F1541&gt;0,"% discounts",IF($H$1781&gt;0,"% discounts","% discount"))))))</f>
        <v/>
      </c>
      <c r="N1541" s="832"/>
      <c r="O1541" s="832"/>
      <c r="P1541" s="832"/>
      <c r="Q1541" s="832"/>
      <c r="R1541" s="832"/>
      <c r="S1541" s="303">
        <f t="shared" ref="S1541" si="3783">E1541*G1541</f>
        <v>0</v>
      </c>
      <c r="T1541" s="541">
        <f>VLOOKUP(A1541,'Discount Lookup'!D:E,2,FALSE)*G1541</f>
        <v>0</v>
      </c>
      <c r="U1541" s="83">
        <f>VLOOKUP(A1541,'Discount Lookup'!G:H,2,FALSE)*G1541</f>
        <v>0</v>
      </c>
      <c r="V1541" s="100">
        <f>E1541*($J$1782)*G1541</f>
        <v>0</v>
      </c>
      <c r="W1541" s="100">
        <f t="shared" ref="W1541" si="3784">I1541</f>
        <v>0</v>
      </c>
      <c r="X1541" s="100" t="b">
        <f>IF(G1541&gt;0,IF(AD1541="me","",G1541))</f>
        <v>0</v>
      </c>
      <c r="Y1541" s="201"/>
      <c r="Z1541" s="829" t="str">
        <f t="shared" si="3759"/>
        <v/>
      </c>
      <c r="AA1541" s="829"/>
      <c r="AB1541" s="830" t="str">
        <f>IF(G1541=0,"",IF(AD1541="free","re-planting",IF(AD1541="me","not NVP, by",IF($AD$8="yes",(VLOOKUP(A1541,'Discount Lookup'!J:K,2)*G1541*(1-$AC$1786)*(1+$AC$1788)),IF(AD1541="NVP",(VLOOKUP(A1541,'Discount Lookup'!J:K,2)*G1541*(1-$AC$1786)*(1+$AC$1788)),IF(AD1541="free","re-planting",IF(G1541=0,"",IF($AD$8="",IF(AD1541="me","not NVP, by",IF(AD1541="",IF(G1541&gt;0,(VLOOKUP(A1541,'Discount Lookup'!J:K,2)*G1541*(1-$AC$1786)*(1+$AC$1788)),""),"")),"not NVP, by"))))))))</f>
        <v/>
      </c>
      <c r="AC1541" s="830"/>
      <c r="AD1541" s="375" t="str">
        <f t="shared" si="3700"/>
        <v/>
      </c>
      <c r="AE1541" s="833" t="str">
        <f t="shared" si="3772"/>
        <v/>
      </c>
      <c r="AF1541" s="833"/>
      <c r="AG1541" s="833"/>
      <c r="AH1541" s="91">
        <f>IF(AD1541="free",0,IF(AD1541="me",0,IF(G1541&gt;0,(VLOOKUP(A1541,'Discount Lookup'!J:K,2)*G1541),0)))</f>
        <v>0</v>
      </c>
      <c r="AI1541" s="92" t="str">
        <f t="shared" si="3771"/>
        <v/>
      </c>
      <c r="AJ1541" s="828" t="str">
        <f t="shared" si="3760"/>
        <v/>
      </c>
      <c r="AK1541" s="828"/>
      <c r="AL1541" s="313" t="str">
        <f t="shared" si="3660"/>
        <v/>
      </c>
      <c r="AM1541" s="312"/>
      <c r="AN1541" s="101"/>
      <c r="AO1541" s="101"/>
      <c r="AP1541" s="101"/>
      <c r="AQ1541" s="101"/>
      <c r="AR1541" s="101"/>
      <c r="AS1541" s="101"/>
      <c r="AT1541" s="101"/>
    </row>
    <row r="1542" spans="1:46" ht="12.95" customHeight="1">
      <c r="A1542" s="463"/>
      <c r="B1542" s="198" t="s">
        <v>818</v>
      </c>
      <c r="C1542" s="104"/>
      <c r="D1542" s="104"/>
      <c r="E1542" s="105"/>
      <c r="F1542" s="709"/>
      <c r="G1542" s="358"/>
      <c r="H1542" s="743"/>
      <c r="I1542" s="102"/>
      <c r="J1542" s="102"/>
      <c r="K1542" s="607"/>
      <c r="L1542" s="607"/>
      <c r="M1542" s="108"/>
      <c r="N1542" s="122" t="s">
        <v>115</v>
      </c>
      <c r="O1542" s="123"/>
      <c r="P1542" s="124"/>
      <c r="Q1542" s="124"/>
      <c r="R1542" s="83"/>
      <c r="S1542" s="82"/>
      <c r="T1542" s="540"/>
      <c r="U1542" s="83"/>
      <c r="V1542" s="100" t="b">
        <f>IF(G1542&gt;0,IF(AD1542="me","",G1542))</f>
        <v>0</v>
      </c>
      <c r="W1542" s="100"/>
      <c r="X1542" s="100"/>
      <c r="Y1542" s="201"/>
      <c r="Z1542" s="829" t="str">
        <f t="shared" si="3759"/>
        <v/>
      </c>
      <c r="AA1542" s="829"/>
      <c r="AB1542" s="830" t="str">
        <f>IF(G1542=0,"",IF(AD1542="free","re-planting",IF(AD1542="me","not NVP, by",IF($AD$8="yes",(VLOOKUP(A1542,'Discount Lookup'!J:K,2)*G1542*(1-$AC$1786)*(1+$AC$1788)),IF(AD1542="NVP",(VLOOKUP(A1542,'Discount Lookup'!J:K,2)*G1542*(1-$AC$1786)*(1+$AC$1788)),IF(AD1542="free","re-planting",IF(G1542=0,"",IF($AD$8="",IF(AD1542="me","not NVP, by",IF(AD1542="",IF(G1542&gt;0,(VLOOKUP(A1542,'Discount Lookup'!J:K,2)*G1542*(1-$AC$1786)*(1+$AC$1788)),""),"")),"not NVP, by"))))))))</f>
        <v/>
      </c>
      <c r="AC1542" s="830"/>
      <c r="AD1542" s="375" t="str">
        <f t="shared" si="3700"/>
        <v/>
      </c>
      <c r="AE1542" s="833" t="str">
        <f t="shared" si="3772"/>
        <v/>
      </c>
      <c r="AF1542" s="833"/>
      <c r="AG1542" s="833"/>
      <c r="AH1542" s="91">
        <f>IF(AD1542="free",0,IF(AD1542="me",0,IF(G1542&gt;0,(VLOOKUP(A1542,'Discount Lookup'!J:K,2)*G1542),0)))</f>
        <v>0</v>
      </c>
      <c r="AI1542" s="92" t="str">
        <f t="shared" si="3771"/>
        <v/>
      </c>
      <c r="AJ1542" s="828" t="str">
        <f t="shared" si="3760"/>
        <v/>
      </c>
      <c r="AK1542" s="828"/>
      <c r="AL1542" s="313" t="str">
        <f t="shared" si="3660"/>
        <v/>
      </c>
      <c r="AM1542" s="312"/>
      <c r="AN1542" s="101"/>
      <c r="AO1542" s="101"/>
      <c r="AP1542" s="101"/>
      <c r="AQ1542" s="101"/>
      <c r="AR1542" s="101"/>
      <c r="AS1542" s="101"/>
      <c r="AT1542" s="101"/>
    </row>
    <row r="1543" spans="1:46" ht="12.95" customHeight="1">
      <c r="A1543" s="920" t="s">
        <v>819</v>
      </c>
      <c r="B1543" s="921"/>
      <c r="C1543" s="921"/>
      <c r="D1543" s="921"/>
      <c r="E1543" s="921"/>
      <c r="F1543" s="921"/>
      <c r="G1543" s="921"/>
      <c r="H1543" s="776" t="s">
        <v>816</v>
      </c>
      <c r="I1543" s="88" t="s">
        <v>79</v>
      </c>
      <c r="J1543" s="86"/>
      <c r="K1543" s="603" t="s">
        <v>45</v>
      </c>
      <c r="L1543" s="601" t="s">
        <v>46</v>
      </c>
      <c r="M1543" s="86"/>
      <c r="N1543" s="87" t="s">
        <v>759</v>
      </c>
      <c r="O1543" s="87"/>
      <c r="P1543" s="87"/>
      <c r="Q1543" s="87"/>
      <c r="R1543" s="86"/>
      <c r="S1543" s="125"/>
      <c r="T1543" s="543"/>
      <c r="U1543" s="112"/>
      <c r="V1543" s="100" t="b">
        <f>IF(G1543&gt;0,IF(AD1543="me","",G1543))</f>
        <v>0</v>
      </c>
      <c r="W1543" s="100"/>
      <c r="X1543" s="100"/>
      <c r="Y1543" s="201"/>
      <c r="Z1543" s="829" t="str">
        <f t="shared" si="3759"/>
        <v/>
      </c>
      <c r="AA1543" s="829"/>
      <c r="AB1543" s="830" t="str">
        <f>IF(G1543=0,"",IF(AD1543="free","re-planting",IF(AD1543="me","not NVP, by",IF($AD$8="yes",(VLOOKUP(A1543,'Discount Lookup'!J:K,2)*G1543*(1-$AC$1786)*(1+$AC$1788)),IF(AD1543="NVP",(VLOOKUP(A1543,'Discount Lookup'!J:K,2)*G1543*(1-$AC$1786)*(1+$AC$1788)),IF(AD1543="free","re-planting",IF(G1543=0,"",IF($AD$8="",IF(AD1543="me","not NVP, by",IF(AD1543="",IF(G1543&gt;0,(VLOOKUP(A1543,'Discount Lookup'!J:K,2)*G1543*(1-$AC$1786)*(1+$AC$1788)),""),"")),"not NVP, by"))))))))</f>
        <v/>
      </c>
      <c r="AC1543" s="830"/>
      <c r="AD1543" s="375" t="str">
        <f t="shared" si="3700"/>
        <v/>
      </c>
      <c r="AE1543" s="833" t="str">
        <f t="shared" si="3772"/>
        <v/>
      </c>
      <c r="AF1543" s="833"/>
      <c r="AG1543" s="833"/>
      <c r="AH1543" s="91">
        <f>IF(AD1543="free",0,IF(AD1543="me",0,IF(G1543&gt;0,(VLOOKUP(A1543,'Discount Lookup'!J:K,2)*G1543),0)))</f>
        <v>0</v>
      </c>
      <c r="AI1543" s="92" t="str">
        <f t="shared" si="3771"/>
        <v/>
      </c>
      <c r="AJ1543" s="828" t="str">
        <f t="shared" si="3760"/>
        <v/>
      </c>
      <c r="AK1543" s="828"/>
      <c r="AL1543" s="313" t="str">
        <f t="shared" si="3660"/>
        <v/>
      </c>
      <c r="AM1543" s="312"/>
      <c r="AN1543" s="101"/>
      <c r="AO1543" s="101"/>
      <c r="AP1543" s="101"/>
      <c r="AQ1543" s="101"/>
      <c r="AR1543" s="101"/>
      <c r="AS1543" s="101"/>
      <c r="AT1543" s="101"/>
    </row>
    <row r="1544" spans="1:46" ht="12.95" customHeight="1">
      <c r="A1544" s="419" t="s">
        <v>817</v>
      </c>
      <c r="B1544" s="87" t="s">
        <v>669</v>
      </c>
      <c r="C1544" s="399" t="s">
        <v>136</v>
      </c>
      <c r="D1544" s="129" t="s">
        <v>94</v>
      </c>
      <c r="E1544" s="98">
        <v>12.95</v>
      </c>
      <c r="F1544" s="705" t="s">
        <v>1306</v>
      </c>
      <c r="G1544" s="357">
        <v>0</v>
      </c>
      <c r="H1544" s="704" t="str">
        <f t="shared" ref="H1544:H1546" si="3785">IF(G1544=0,"",IF(F1544="Qty=",IF(G1544=1,"plant","plants"),IF(F1544&gt;0.0001,"warranty","Error")))</f>
        <v/>
      </c>
      <c r="I1544" s="98">
        <f t="shared" ref="I1544:I1546" si="3786">IF(F1544="Qty=",(E1544*G1544),((E1544*(1-F1544))*G1544))</f>
        <v>0</v>
      </c>
      <c r="J1544" s="98">
        <f>IF(H1544="warranty",0,(I1544*($J$1782)))</f>
        <v>0</v>
      </c>
      <c r="K1544" s="831">
        <f t="shared" ref="K1544:K1546" si="3787">I1544+J1544</f>
        <v>0</v>
      </c>
      <c r="L1544" s="831"/>
      <c r="M1544" s="832" t="str">
        <f>IF($H$1784=0,"",IF(G1544=0,"",IF(F1544="Qty=",CONCATENATE("$",ROUND(K1544*(1-$H$1784),2)," with ",($H$1784*100),"% discount"),CONCATENATE("$",ROUND(K1544*(1-$H$1784),2)," with ",(($H$1784*100+F1544*100)-($H$1784*100*F1544)),IF(F1544&gt;0,"% discounts",IF($H$1781&gt;0,"% discounts","% discount"))))))</f>
        <v/>
      </c>
      <c r="N1544" s="832"/>
      <c r="O1544" s="832"/>
      <c r="P1544" s="832"/>
      <c r="Q1544" s="832"/>
      <c r="R1544" s="832"/>
      <c r="S1544" s="303">
        <f t="shared" ref="S1544" si="3788">E1544*G1544</f>
        <v>0</v>
      </c>
      <c r="T1544" s="541">
        <f>VLOOKUP(A1544,'Discount Lookup'!D:E,2,FALSE)*G1544</f>
        <v>0</v>
      </c>
      <c r="U1544" s="83">
        <f>VLOOKUP(A1544,'Discount Lookup'!G:H,2,FALSE)*G1544</f>
        <v>0</v>
      </c>
      <c r="V1544" s="100">
        <f>E1544*($J$1782)*G1544</f>
        <v>0</v>
      </c>
      <c r="W1544" s="100">
        <f t="shared" ref="W1544" si="3789">I1544</f>
        <v>0</v>
      </c>
      <c r="X1544" s="100" t="b">
        <f>IF(G1544&gt;0,IF(AD1544="me","",G1544))</f>
        <v>0</v>
      </c>
      <c r="Y1544" s="201"/>
      <c r="Z1544" s="829" t="str">
        <f t="shared" si="3759"/>
        <v/>
      </c>
      <c r="AA1544" s="829"/>
      <c r="AB1544" s="830" t="str">
        <f>IF(G1544=0,"",IF(AD1544="free","re-planting",IF(AD1544="me","not NVP, by",IF($AD$8="yes",(VLOOKUP(A1544,'Discount Lookup'!J:K,2)*G1544*(1-$AC$1786)*(1+$AC$1788)),IF(AD1544="NVP",(VLOOKUP(A1544,'Discount Lookup'!J:K,2)*G1544*(1-$AC$1786)*(1+$AC$1788)),IF(AD1544="free","re-planting",IF(G1544=0,"",IF($AD$8="",IF(AD1544="me","not NVP, by",IF(AD1544="",IF(G1544&gt;0,(VLOOKUP(A1544,'Discount Lookup'!J:K,2)*G1544*(1-$AC$1786)*(1+$AC$1788)),""),"")),"not NVP, by"))))))))</f>
        <v/>
      </c>
      <c r="AC1544" s="830"/>
      <c r="AD1544" s="375" t="str">
        <f t="shared" si="3700"/>
        <v/>
      </c>
      <c r="AE1544" s="833" t="str">
        <f t="shared" si="3772"/>
        <v/>
      </c>
      <c r="AF1544" s="833"/>
      <c r="AG1544" s="833"/>
      <c r="AH1544" s="91">
        <f>IF(AD1544="free",0,IF(AD1544="me",0,IF(G1544&gt;0,(VLOOKUP(A1544,'Discount Lookup'!J:K,2)*G1544),0)))</f>
        <v>0</v>
      </c>
      <c r="AI1544" s="92" t="str">
        <f t="shared" si="3771"/>
        <v/>
      </c>
      <c r="AJ1544" s="828" t="str">
        <f t="shared" si="3760"/>
        <v/>
      </c>
      <c r="AK1544" s="828"/>
      <c r="AL1544" s="313" t="str">
        <f t="shared" si="3660"/>
        <v/>
      </c>
      <c r="AM1544" s="312"/>
      <c r="AN1544" s="101"/>
      <c r="AO1544" s="101"/>
      <c r="AP1544" s="101"/>
      <c r="AQ1544" s="101"/>
      <c r="AR1544" s="101"/>
      <c r="AS1544" s="101"/>
      <c r="AT1544" s="101"/>
    </row>
    <row r="1545" spans="1:46" ht="12.95" customHeight="1">
      <c r="A1545" s="419">
        <v>1</v>
      </c>
      <c r="B1545" s="87" t="s">
        <v>50</v>
      </c>
      <c r="C1545" s="399" t="s">
        <v>136</v>
      </c>
      <c r="D1545" s="129" t="s">
        <v>87</v>
      </c>
      <c r="E1545" s="98">
        <v>17.95</v>
      </c>
      <c r="F1545" s="705" t="s">
        <v>1306</v>
      </c>
      <c r="G1545" s="357">
        <v>0</v>
      </c>
      <c r="H1545" s="704" t="str">
        <f>IF(G1545=0,"",IF(F1545="Qty=",IF(G1545=1,"plant","plants"),IF(F1545&gt;0.0001,"warranty","Error")))</f>
        <v/>
      </c>
      <c r="I1545" s="98">
        <f>IF(F1545="Qty=",(E1545*G1545),((E1545*(1-F1545))*G1545))</f>
        <v>0</v>
      </c>
      <c r="J1545" s="98">
        <f>IF(H1545="warranty",0,(I1545*($J$1782)))</f>
        <v>0</v>
      </c>
      <c r="K1545" s="831">
        <f t="shared" si="3787"/>
        <v>0</v>
      </c>
      <c r="L1545" s="831"/>
      <c r="M1545" s="832" t="str">
        <f>IF($H$1784=0,"",IF(G1545=0,"",IF(F1545="Qty=",CONCATENATE("$",ROUND(K1545*(1-$H$1784),2)," with ",($H$1784*100),"% discount"),CONCATENATE("$",ROUND(K1545*(1-$H$1784),2)," with ",(($H$1784*100+F1545*100)-($H$1784*100*F1545)),IF(F1545&gt;0,"% discounts",IF($H$1781&gt;0,"% discounts","% discount"))))))</f>
        <v/>
      </c>
      <c r="N1545" s="832"/>
      <c r="O1545" s="832"/>
      <c r="P1545" s="832"/>
      <c r="Q1545" s="832"/>
      <c r="R1545" s="832"/>
      <c r="S1545" s="303">
        <f>E1545*G1545</f>
        <v>0</v>
      </c>
      <c r="T1545" s="541">
        <f>VLOOKUP(A1545,'Discount Lookup'!D:E,2,FALSE)*G1545</f>
        <v>0</v>
      </c>
      <c r="U1545" s="83">
        <f>VLOOKUP(A1545,'Discount Lookup'!G:H,2,FALSE)*G1545</f>
        <v>0</v>
      </c>
      <c r="V1545" s="100">
        <f>E1545*($J$1782)*G1545</f>
        <v>0</v>
      </c>
      <c r="W1545" s="100">
        <f>I1545</f>
        <v>0</v>
      </c>
      <c r="X1545" s="100" t="b">
        <f>IF(G1545&gt;0,IF(AD1545="me","",G1545))</f>
        <v>0</v>
      </c>
      <c r="Y1545" s="201"/>
      <c r="Z1545" s="838" t="str">
        <f>IF(G1545=0,"",IF(AD1545="me","",IF($AD$8="me","",IF(AD1545="free","warranty",IF($AD$8="yes","NVP planting:","to NVP install:")))))</f>
        <v/>
      </c>
      <c r="AA1545" s="838"/>
      <c r="AB1545" s="830" t="str">
        <f>IF(G1545=0,"",IF(AD1545="free","re-planting",IF(AD1545="me","not NVP, by",IF($AD$8="yes",(VLOOKUP(A1545,'Discount Lookup'!J:K,2)*G1545*(1-$AC$1786)*(1+$AC$1788)),IF(AD1545="NVP",(VLOOKUP(A1545,'Discount Lookup'!J:K,2)*G1545*(1-$AC$1786)*(1+$AC$1788)),IF(AD1545="free","re-planting",IF(G1545=0,"",IF($AD$8="",IF(AD1545="me","not NVP, by",IF(AD1545="",IF(G1545&gt;0,(VLOOKUP(A1545,'Discount Lookup'!J:K,2)*G1545*(1-$AC$1786)*(1+$AC$1788)),""),"")),"not NVP, by"))))))))</f>
        <v/>
      </c>
      <c r="AC1545" s="830"/>
      <c r="AD1545" s="375" t="str">
        <f>IF(G1545=0,"",IF($AD$8="me","me",IF(H1545="warranty","free",IF($AD$8="yes","NVP",""))))</f>
        <v/>
      </c>
      <c r="AE1545" s="833" t="str">
        <f>IF(G1545&gt;0,(CONCATENATE((G1545)," quantity, ",(A1545)," ",B1545)),"")</f>
        <v/>
      </c>
      <c r="AF1545" s="833"/>
      <c r="AG1545" s="833"/>
      <c r="AH1545" s="91">
        <f>IF(AD1545="free",0,IF(AD1545="me",0,IF(G1545&gt;0,(VLOOKUP(A1545,'Discount Lookup'!J:K,2)*G1545),0)))</f>
        <v>0</v>
      </c>
      <c r="AI1545" s="92" t="str">
        <f t="shared" si="3771"/>
        <v/>
      </c>
      <c r="AJ1545" s="828" t="str">
        <f>IF(G1545=0,"",IF(AD1545="me","  delivery-only",CONCATENATE(" $",ROUND(AI1545/G1545,2)," each")))</f>
        <v/>
      </c>
      <c r="AK1545" s="828"/>
      <c r="AL1545" s="313" t="str">
        <f t="shared" si="3660"/>
        <v/>
      </c>
      <c r="AM1545" s="312"/>
      <c r="AN1545" s="101"/>
      <c r="AO1545" s="101"/>
      <c r="AP1545" s="101"/>
      <c r="AQ1545" s="101"/>
      <c r="AR1545" s="101"/>
      <c r="AS1545" s="101"/>
      <c r="AT1545" s="101"/>
    </row>
    <row r="1546" spans="1:46" ht="12.75" customHeight="1">
      <c r="A1546" s="419">
        <v>1</v>
      </c>
      <c r="B1546" s="87" t="s">
        <v>50</v>
      </c>
      <c r="C1546" s="399" t="s">
        <v>136</v>
      </c>
      <c r="D1546" s="129" t="s">
        <v>54</v>
      </c>
      <c r="E1546" s="98">
        <v>12.95</v>
      </c>
      <c r="F1546" s="705" t="s">
        <v>1306</v>
      </c>
      <c r="G1546" s="357">
        <v>0</v>
      </c>
      <c r="H1546" s="704" t="str">
        <f t="shared" si="3785"/>
        <v/>
      </c>
      <c r="I1546" s="98">
        <f t="shared" si="3786"/>
        <v>0</v>
      </c>
      <c r="J1546" s="98">
        <f>IF(H1546="warranty",0,(I1546*($J$1782)))</f>
        <v>0</v>
      </c>
      <c r="K1546" s="831">
        <f t="shared" si="3787"/>
        <v>0</v>
      </c>
      <c r="L1546" s="831"/>
      <c r="M1546" s="832" t="str">
        <f>IF($H$1784=0,"",IF(G1546=0,"",IF(F1546="Qty=",CONCATENATE("$",ROUND(K1546*(1-$H$1784),2)," with ",($H$1784*100),"% discount"),CONCATENATE("$",ROUND(K1546*(1-$H$1784),2)," with ",(($H$1784*100+F1546*100)-($H$1784*100*F1546)),IF(F1546&gt;0,"% discounts",IF($H$1781&gt;0,"% discounts","% discount"))))))</f>
        <v/>
      </c>
      <c r="N1546" s="832"/>
      <c r="O1546" s="832"/>
      <c r="P1546" s="832"/>
      <c r="Q1546" s="832"/>
      <c r="R1546" s="832"/>
      <c r="S1546" s="303">
        <f t="shared" ref="S1546" si="3790">E1546*G1546</f>
        <v>0</v>
      </c>
      <c r="T1546" s="541">
        <f>VLOOKUP(A1546,'Discount Lookup'!D:E,2,FALSE)*G1546</f>
        <v>0</v>
      </c>
      <c r="U1546" s="83">
        <f>VLOOKUP(A1546,'Discount Lookup'!G:H,2,FALSE)*G1546</f>
        <v>0</v>
      </c>
      <c r="V1546" s="100">
        <f>E1546*($J$1782)*G1546</f>
        <v>0</v>
      </c>
      <c r="W1546" s="100">
        <f t="shared" ref="W1546" si="3791">I1546</f>
        <v>0</v>
      </c>
      <c r="X1546" s="100" t="b">
        <f>IF(G1546&gt;0,IF(AD1546="me","",G1546))</f>
        <v>0</v>
      </c>
      <c r="Y1546" s="201"/>
      <c r="Z1546" s="829" t="str">
        <f t="shared" si="3759"/>
        <v/>
      </c>
      <c r="AA1546" s="829"/>
      <c r="AB1546" s="830" t="str">
        <f>IF(G1546=0,"",IF(AD1546="free","re-planting",IF(AD1546="me","not NVP, by",IF($AD$8="yes",(VLOOKUP(A1546,'Discount Lookup'!J:K,2)*G1546*(1-$AC$1786)*(1+$AC$1788)),IF(AD1546="NVP",(VLOOKUP(A1546,'Discount Lookup'!J:K,2)*G1546*(1-$AC$1786)*(1+$AC$1788)),IF(AD1546="free","re-planting",IF(G1546=0,"",IF($AD$8="",IF(AD1546="me","not NVP, by",IF(AD1546="",IF(G1546&gt;0,(VLOOKUP(A1546,'Discount Lookup'!J:K,2)*G1546*(1-$AC$1786)*(1+$AC$1788)),""),"")),"not NVP, by"))))))))</f>
        <v/>
      </c>
      <c r="AC1546" s="830"/>
      <c r="AD1546" s="375" t="str">
        <f t="shared" si="3700"/>
        <v/>
      </c>
      <c r="AE1546" s="833" t="str">
        <f t="shared" ref="AE1546" si="3792">IF(G1546&gt;0,(CONCATENATE((G1546)," quantity, ",(A1546)," ",B1546)),"")</f>
        <v/>
      </c>
      <c r="AF1546" s="833"/>
      <c r="AG1546" s="833"/>
      <c r="AH1546" s="91">
        <f>IF(AD1546="free",0,IF(AD1546="me",0,IF(G1546&gt;0,(VLOOKUP(A1546,'Discount Lookup'!J:K,2)*G1546),0)))</f>
        <v>0</v>
      </c>
      <c r="AI1546" s="92" t="str">
        <f t="shared" si="3771"/>
        <v/>
      </c>
      <c r="AJ1546" s="828" t="str">
        <f t="shared" si="3760"/>
        <v/>
      </c>
      <c r="AK1546" s="828"/>
      <c r="AL1546" s="313" t="str">
        <f t="shared" si="3660"/>
        <v/>
      </c>
      <c r="AM1546" s="312"/>
      <c r="AN1546" s="101"/>
      <c r="AO1546" s="101"/>
      <c r="AP1546" s="101"/>
      <c r="AQ1546" s="101"/>
      <c r="AR1546" s="101"/>
      <c r="AS1546" s="101"/>
      <c r="AT1546" s="101"/>
    </row>
    <row r="1547" spans="1:46" ht="12.95" customHeight="1">
      <c r="A1547" s="465"/>
      <c r="B1547" s="198" t="s">
        <v>820</v>
      </c>
      <c r="C1547" s="104"/>
      <c r="D1547" s="104"/>
      <c r="E1547" s="131"/>
      <c r="F1547" s="710"/>
      <c r="G1547" s="358"/>
      <c r="H1547" s="744"/>
      <c r="I1547" s="131"/>
      <c r="J1547" s="131"/>
      <c r="K1547" s="608"/>
      <c r="L1547" s="608"/>
      <c r="M1547" s="121"/>
      <c r="N1547" s="122" t="s">
        <v>115</v>
      </c>
      <c r="O1547" s="123"/>
      <c r="P1547" s="124"/>
      <c r="Q1547" s="124"/>
      <c r="R1547" s="83"/>
      <c r="S1547" s="82">
        <f>E1547*G1547</f>
        <v>0</v>
      </c>
      <c r="T1547" s="540"/>
      <c r="U1547" s="83"/>
      <c r="V1547" s="100" t="b">
        <f>IF(G1547&gt;0,IF(AD1547="me","",G1547))</f>
        <v>0</v>
      </c>
      <c r="W1547" s="100"/>
      <c r="X1547" s="100"/>
      <c r="Y1547" s="201"/>
      <c r="Z1547" s="829" t="str">
        <f t="shared" si="3759"/>
        <v/>
      </c>
      <c r="AA1547" s="829"/>
      <c r="AB1547" s="830" t="str">
        <f>IF(G1547=0,"",IF(AD1547="free","re-planting",IF(AD1547="me","not NVP, by",IF($AD$8="yes",(VLOOKUP(A1547,'Discount Lookup'!J:K,2)*G1547*(1-$AC$1786)*(1+$AC$1788)),IF(AD1547="NVP",(VLOOKUP(A1547,'Discount Lookup'!J:K,2)*G1547*(1-$AC$1786)*(1+$AC$1788)),IF(AD1547="free","re-planting",IF(G1547=0,"",IF($AD$8="",IF(AD1547="me","not NVP, by",IF(AD1547="",IF(G1547&gt;0,(VLOOKUP(A1547,'Discount Lookup'!J:K,2)*G1547*(1-$AC$1786)*(1+$AC$1788)),""),"")),"not NVP, by"))))))))</f>
        <v/>
      </c>
      <c r="AC1547" s="830"/>
      <c r="AD1547" s="375" t="str">
        <f t="shared" si="3700"/>
        <v/>
      </c>
      <c r="AE1547" s="833" t="str">
        <f t="shared" si="3772"/>
        <v/>
      </c>
      <c r="AF1547" s="833"/>
      <c r="AG1547" s="833"/>
      <c r="AH1547" s="91">
        <f>IF(AD1547="free",0,IF(AD1547="me",0,IF(G1547&gt;0,(VLOOKUP(A1547,'Discount Lookup'!J:K,2)*G1547),0)))</f>
        <v>0</v>
      </c>
      <c r="AI1547" s="92" t="str">
        <f t="shared" si="3771"/>
        <v/>
      </c>
      <c r="AJ1547" s="828" t="str">
        <f t="shared" si="3760"/>
        <v/>
      </c>
      <c r="AK1547" s="828"/>
      <c r="AL1547" s="313" t="str">
        <f t="shared" ref="AL1547:AL1610" si="3793">IF(AD1547="free","      ~ discounts included, no tax or planting fee applies ~",IF(G1547=0,"",IF($AD$8="me",CONCATENATE(" $",ROUND(AI1547/G1547,2)," per plant, with tax &amp; discount"),IF(AD1547="me",CONCATENATE(" $",ROUND(AI1547/G1547,2)," per plant, with tax &amp; discount"),CONCATENATE("= $",ROUND((K1547*(1-$H$1784))/G1547,2)," per plant + $",AB1547/G1547,(" per planting      ~ includes tax &amp; discounts ~"))))))</f>
        <v/>
      </c>
      <c r="AM1547" s="312"/>
      <c r="AN1547" s="101"/>
      <c r="AO1547" s="101"/>
      <c r="AP1547" s="101"/>
      <c r="AQ1547" s="101"/>
      <c r="AR1547" s="101"/>
      <c r="AS1547" s="101"/>
      <c r="AT1547" s="101"/>
    </row>
    <row r="1548" spans="1:46" ht="12.95" customHeight="1">
      <c r="A1548" s="920" t="s">
        <v>822</v>
      </c>
      <c r="B1548" s="921"/>
      <c r="C1548" s="921"/>
      <c r="D1548" s="921"/>
      <c r="E1548" s="921"/>
      <c r="F1548" s="921"/>
      <c r="G1548" s="921"/>
      <c r="H1548" s="776" t="s">
        <v>816</v>
      </c>
      <c r="I1548" s="88" t="s">
        <v>79</v>
      </c>
      <c r="J1548" s="86"/>
      <c r="K1548" s="603" t="s">
        <v>45</v>
      </c>
      <c r="L1548" s="634" t="s">
        <v>46</v>
      </c>
      <c r="M1548" s="86"/>
      <c r="N1548" s="87" t="s">
        <v>128</v>
      </c>
      <c r="O1548" s="87"/>
      <c r="P1548" s="87"/>
      <c r="Q1548" s="88"/>
      <c r="R1548" s="86"/>
      <c r="S1548" s="125"/>
      <c r="T1548" s="543"/>
      <c r="U1548" s="112"/>
      <c r="V1548" s="100" t="b">
        <f>IF(G1548&gt;0,IF(AD1548="me","",G1548))</f>
        <v>0</v>
      </c>
      <c r="W1548" s="100"/>
      <c r="X1548" s="100"/>
      <c r="Y1548" s="201"/>
      <c r="Z1548" s="838" t="str">
        <f t="shared" ref="Z1548:Z1553" si="3794">IF(G1548=0,"",IF(AD1548="me","",IF($AD$8="me","",IF(AD1548="free","warranty",IF($AD$8="yes","NVP planting:","to NVP install:")))))</f>
        <v/>
      </c>
      <c r="AA1548" s="838"/>
      <c r="AB1548" s="830" t="str">
        <f>IF(G1548=0,"",IF(AD1548="free","re-planting",IF(AD1548="me","not NVP, by",IF($AD$8="yes",(VLOOKUP(A1548,'Discount Lookup'!J:K,2)*G1548*(1-$AC$1786)*(1+$AC$1788)),IF(AD1548="NVP",(VLOOKUP(A1548,'Discount Lookup'!J:K,2)*G1548*(1-$AC$1786)*(1+$AC$1788)),IF(AD1548="free","re-planting",IF(G1548=0,"",IF($AD$8="",IF(AD1548="me","not NVP, by",IF(AD1548="",IF(G1548&gt;0,(VLOOKUP(A1548,'Discount Lookup'!J:K,2)*G1548*(1-$AC$1786)*(1+$AC$1788)),""),"")),"not NVP, by"))))))))</f>
        <v/>
      </c>
      <c r="AC1548" s="830"/>
      <c r="AD1548" s="375" t="str">
        <f>IF(G1548=0,"",IF($AD$8="me","me",IF(H1548="warranty","free",IF($AD$8="yes","NVP",""))))</f>
        <v/>
      </c>
      <c r="AE1548" s="833" t="str">
        <f t="shared" ref="AE1548:AE1553" si="3795">IF(G1548&gt;0,(CONCATENATE((G1548)," quantity, ",(A1548)," ",B1548)),"")</f>
        <v/>
      </c>
      <c r="AF1548" s="833"/>
      <c r="AG1548" s="833"/>
      <c r="AH1548" s="91">
        <f>IF(AD1548="free",0,IF(AD1548="me",0,IF(G1548&gt;0,(VLOOKUP(A1548,'Discount Lookup'!J:K,2)*G1548),0)))</f>
        <v>0</v>
      </c>
      <c r="AI1548" s="92" t="str">
        <f t="shared" si="3771"/>
        <v/>
      </c>
      <c r="AJ1548" s="828" t="str">
        <f>IF(G1548=0,"",IF(AD1548="me","  delivery-only",CONCATENATE(" $",ROUND(AI1548/G1548,2)," each")))</f>
        <v/>
      </c>
      <c r="AK1548" s="828"/>
      <c r="AL1548" s="313" t="str">
        <f t="shared" si="3793"/>
        <v/>
      </c>
      <c r="AM1548" s="312"/>
      <c r="AN1548" s="101"/>
      <c r="AO1548" s="101"/>
      <c r="AP1548" s="101"/>
      <c r="AQ1548" s="101"/>
      <c r="AR1548" s="101"/>
      <c r="AS1548" s="101"/>
      <c r="AT1548" s="101"/>
    </row>
    <row r="1549" spans="1:46" ht="12.95" customHeight="1">
      <c r="A1549" s="419">
        <v>1</v>
      </c>
      <c r="B1549" s="87" t="s">
        <v>50</v>
      </c>
      <c r="C1549" s="399" t="s">
        <v>136</v>
      </c>
      <c r="D1549" s="129" t="s">
        <v>87</v>
      </c>
      <c r="E1549" s="98">
        <v>17.95</v>
      </c>
      <c r="F1549" s="705" t="s">
        <v>1306</v>
      </c>
      <c r="G1549" s="357">
        <v>0</v>
      </c>
      <c r="H1549" s="704" t="str">
        <f>IF(G1549=0,"",IF(F1549="Qty=",IF(G1549=1,"plant","plants"),IF(F1549&gt;0.0001,"warranty","Error")))</f>
        <v/>
      </c>
      <c r="I1549" s="98">
        <f>IF(F1549="Qty=",(E1549*G1549),((E1549*(1-F1549))*G1549))</f>
        <v>0</v>
      </c>
      <c r="J1549" s="98">
        <f>IF(H1549="warranty",0,(I1549*($J$1782)))</f>
        <v>0</v>
      </c>
      <c r="K1549" s="831">
        <f t="shared" ref="K1549" si="3796">I1549+J1549</f>
        <v>0</v>
      </c>
      <c r="L1549" s="831"/>
      <c r="M1549" s="832" t="str">
        <f>IF($H$1784=0,"",IF(G1549=0,"",IF(F1549="Qty=",CONCATENATE("$",ROUND(K1549*(1-$H$1784),2)," with ",($H$1784*100),"% discount"),CONCATENATE("$",ROUND(K1549*(1-$H$1784),2)," with ",(($H$1784*100+F1549*100)-($H$1784*100*F1549)),IF(F1549&gt;0,"% discounts",IF($H$1781&gt;0,"% discounts","% discount"))))))</f>
        <v/>
      </c>
      <c r="N1549" s="832"/>
      <c r="O1549" s="832"/>
      <c r="P1549" s="832"/>
      <c r="Q1549" s="832"/>
      <c r="R1549" s="832"/>
      <c r="S1549" s="303">
        <f>E1549*G1549</f>
        <v>0</v>
      </c>
      <c r="T1549" s="541">
        <f>VLOOKUP(A1549,'Discount Lookup'!D:E,2,FALSE)*G1549</f>
        <v>0</v>
      </c>
      <c r="U1549" s="83">
        <f>VLOOKUP(A1549,'Discount Lookup'!G:H,2,FALSE)*G1549</f>
        <v>0</v>
      </c>
      <c r="V1549" s="100">
        <f>E1549*($J$1782)*G1549</f>
        <v>0</v>
      </c>
      <c r="W1549" s="100">
        <f>I1549</f>
        <v>0</v>
      </c>
      <c r="X1549" s="100" t="b">
        <f>IF(G1549&gt;0,IF(AD1549="me","",G1549))</f>
        <v>0</v>
      </c>
      <c r="Y1549" s="201"/>
      <c r="Z1549" s="838" t="str">
        <f t="shared" si="3794"/>
        <v/>
      </c>
      <c r="AA1549" s="838"/>
      <c r="AB1549" s="830" t="str">
        <f>IF(G1549=0,"",IF(AD1549="free","re-planting",IF(AD1549="me","not NVP, by",IF($AD$8="yes",(VLOOKUP(A1549,'Discount Lookup'!J:K,2)*G1549*(1-$AC$1786)*(1+$AC$1788)),IF(AD1549="NVP",(VLOOKUP(A1549,'Discount Lookup'!J:K,2)*G1549*(1-$AC$1786)*(1+$AC$1788)),IF(AD1549="free","re-planting",IF(G1549=0,"",IF($AD$8="",IF(AD1549="me","not NVP, by",IF(AD1549="",IF(G1549&gt;0,(VLOOKUP(A1549,'Discount Lookup'!J:K,2)*G1549*(1-$AC$1786)*(1+$AC$1788)),""),"")),"not NVP, by"))))))))</f>
        <v/>
      </c>
      <c r="AC1549" s="830"/>
      <c r="AD1549" s="375" t="str">
        <f>IF(G1549=0,"",IF($AD$8="me","me",IF(H1549="warranty","free",IF($AD$8="yes","NVP",""))))</f>
        <v/>
      </c>
      <c r="AE1549" s="833" t="str">
        <f t="shared" si="3795"/>
        <v/>
      </c>
      <c r="AF1549" s="833"/>
      <c r="AG1549" s="833"/>
      <c r="AH1549" s="91">
        <f>IF(AD1549="free",0,IF(AD1549="me",0,IF(G1549&gt;0,(VLOOKUP(A1549,'Discount Lookup'!J:K,2)*G1549),0)))</f>
        <v>0</v>
      </c>
      <c r="AI1549" s="92" t="str">
        <f t="shared" si="3771"/>
        <v/>
      </c>
      <c r="AJ1549" s="828" t="str">
        <f>IF(G1549=0,"",IF(AD1549="me","  delivery-only",CONCATENATE(" $",ROUND(AI1549/G1549,2)," each")))</f>
        <v/>
      </c>
      <c r="AK1549" s="828"/>
      <c r="AL1549" s="313" t="str">
        <f t="shared" si="3793"/>
        <v/>
      </c>
      <c r="AM1549" s="312"/>
      <c r="AN1549" s="101"/>
      <c r="AO1549" s="101"/>
      <c r="AP1549" s="101"/>
      <c r="AQ1549" s="101"/>
      <c r="AR1549" s="101"/>
      <c r="AS1549" s="101"/>
      <c r="AT1549" s="101"/>
    </row>
    <row r="1550" spans="1:46" ht="12.95" customHeight="1">
      <c r="A1550" s="470"/>
      <c r="B1550" s="198" t="s">
        <v>823</v>
      </c>
      <c r="C1550" s="213"/>
      <c r="D1550" s="180"/>
      <c r="E1550" s="214"/>
      <c r="F1550" s="724"/>
      <c r="G1550" s="365"/>
      <c r="H1550" s="744"/>
      <c r="I1550" s="214"/>
      <c r="J1550" s="214"/>
      <c r="K1550" s="623"/>
      <c r="L1550" s="623"/>
      <c r="M1550" s="212"/>
      <c r="N1550" s="122" t="s">
        <v>115</v>
      </c>
      <c r="O1550" s="215"/>
      <c r="P1550" s="216"/>
      <c r="Q1550" s="216"/>
      <c r="R1550" s="217"/>
      <c r="S1550" s="218"/>
      <c r="T1550" s="548"/>
      <c r="U1550" s="217"/>
      <c r="V1550" s="100" t="b">
        <f>IF(G1550&gt;0,IF(AD1550="me","",G1550))</f>
        <v>0</v>
      </c>
      <c r="W1550" s="100"/>
      <c r="X1550" s="100"/>
      <c r="Y1550" s="201"/>
      <c r="Z1550" s="838" t="str">
        <f t="shared" si="3794"/>
        <v/>
      </c>
      <c r="AA1550" s="838"/>
      <c r="AB1550" s="830" t="str">
        <f>IF(G1550=0,"",IF(AD1550="free","re-planting",IF(AD1550="me","not NVP, by",IF($AD$8="yes",(VLOOKUP(A1550,'Discount Lookup'!J:K,2)*G1550*(1-$AC$1786)*(1+$AC$1788)),IF(AD1550="NVP",(VLOOKUP(A1550,'Discount Lookup'!J:K,2)*G1550*(1-$AC$1786)*(1+$AC$1788)),IF(AD1550="free","re-planting",IF(G1550=0,"",IF($AD$8="",IF(AD1550="me","not NVP, by",IF(AD1550="",IF(G1550&gt;0,(VLOOKUP(A1550,'Discount Lookup'!J:K,2)*G1550*(1-$AC$1786)*(1+$AC$1788)),""),"")),"not NVP, by"))))))))</f>
        <v/>
      </c>
      <c r="AC1550" s="830"/>
      <c r="AD1550" s="375" t="str">
        <f>IF(G1550=0,"",IF($AD$8="me","me",IF(H1550="warranty","free",IF($AD$8="yes","NVP",""))))</f>
        <v/>
      </c>
      <c r="AE1550" s="833" t="str">
        <f t="shared" si="3795"/>
        <v/>
      </c>
      <c r="AF1550" s="833"/>
      <c r="AG1550" s="833"/>
      <c r="AH1550" s="91">
        <f>IF(AD1550="free",0,IF(AD1550="me",0,IF(G1550&gt;0,(VLOOKUP(A1550,'Discount Lookup'!J:K,2)*G1550),0)))</f>
        <v>0</v>
      </c>
      <c r="AI1550" s="92" t="str">
        <f t="shared" si="3771"/>
        <v/>
      </c>
      <c r="AJ1550" s="828" t="str">
        <f>IF(G1550=0,"",IF(AD1550="me","  delivery-only",CONCATENATE(" $",ROUND(AI1550/G1550,2)," each")))</f>
        <v/>
      </c>
      <c r="AK1550" s="828"/>
      <c r="AL1550" s="313" t="str">
        <f t="shared" si="3793"/>
        <v/>
      </c>
      <c r="AM1550" s="312"/>
      <c r="AN1550" s="101"/>
      <c r="AO1550" s="101"/>
      <c r="AP1550" s="101"/>
      <c r="AQ1550" s="101"/>
      <c r="AR1550" s="101"/>
      <c r="AS1550" s="101"/>
      <c r="AT1550" s="101"/>
    </row>
    <row r="1551" spans="1:46" ht="12.95" customHeight="1">
      <c r="A1551" s="923" t="s">
        <v>974</v>
      </c>
      <c r="B1551" s="921"/>
      <c r="C1551" s="921"/>
      <c r="D1551" s="921"/>
      <c r="E1551" s="921"/>
      <c r="F1551" s="921"/>
      <c r="G1551" s="921"/>
      <c r="H1551" s="776" t="s">
        <v>816</v>
      </c>
      <c r="I1551" s="88" t="s">
        <v>79</v>
      </c>
      <c r="J1551" s="86"/>
      <c r="K1551" s="603" t="s">
        <v>45</v>
      </c>
      <c r="L1551" s="601" t="s">
        <v>46</v>
      </c>
      <c r="M1551" s="86"/>
      <c r="N1551" s="87" t="s">
        <v>128</v>
      </c>
      <c r="O1551" s="87"/>
      <c r="P1551" s="87"/>
      <c r="Q1551" s="87"/>
      <c r="R1551" s="86"/>
      <c r="S1551" s="125"/>
      <c r="T1551" s="543"/>
      <c r="U1551" s="112"/>
      <c r="V1551" s="100" t="b">
        <f>IF(G1551&gt;0,IF(AD1551="me","",G1551))</f>
        <v>0</v>
      </c>
      <c r="W1551" s="100"/>
      <c r="X1551" s="100"/>
      <c r="Y1551" s="201"/>
      <c r="Z1551" s="829" t="str">
        <f t="shared" si="3794"/>
        <v/>
      </c>
      <c r="AA1551" s="829"/>
      <c r="AB1551" s="830" t="str">
        <f>IF(G1551=0,"",IF(AD1551="free","re-planting",IF(AD1551="me","not NVP, by",IF($AD$8="yes",(VLOOKUP(A1551,'Discount Lookup'!J:K,2)*G1551*(1-$AC$1786)*(1+$AC$1788)),IF(AD1551="NVP",(VLOOKUP(A1551,'Discount Lookup'!J:K,2)*G1551*(1-$AC$1786)*(1+$AC$1788)),IF(AD1551="free","re-planting",IF(G1551=0,"",IF($AD$8="",IF(AD1551="me","not NVP, by",IF(AD1551="",IF(G1551&gt;0,(VLOOKUP(A1551,'Discount Lookup'!J:K,2)*G1551*(1-$AC$1786)*(1+$AC$1788)),""),"")),"not NVP, by"))))))))</f>
        <v/>
      </c>
      <c r="AC1551" s="830"/>
      <c r="AD1551" s="375" t="str">
        <f t="shared" si="3700"/>
        <v/>
      </c>
      <c r="AE1551" s="833" t="str">
        <f t="shared" si="3795"/>
        <v/>
      </c>
      <c r="AF1551" s="833"/>
      <c r="AG1551" s="833"/>
      <c r="AH1551" s="91">
        <f>IF(AD1551="free",0,IF(AD1551="me",0,IF(G1551&gt;0,(VLOOKUP(A1551,'Discount Lookup'!J:K,2)*G1551),0)))</f>
        <v>0</v>
      </c>
      <c r="AI1551" s="92" t="str">
        <f t="shared" si="3771"/>
        <v/>
      </c>
      <c r="AJ1551" s="828" t="str">
        <f>IF(G1551=0,"",IF(AD1551="me","  delivery-only",IF($AD$8="me","  delivery-only",CONCATENATE(" $",ROUND(AI1551/G1551,2)," each"))))</f>
        <v/>
      </c>
      <c r="AK1551" s="828"/>
      <c r="AL1551" s="313" t="str">
        <f t="shared" si="3793"/>
        <v/>
      </c>
      <c r="AM1551" s="312"/>
      <c r="AN1551" s="101"/>
      <c r="AO1551" s="101"/>
      <c r="AP1551" s="101"/>
      <c r="AQ1551" s="101"/>
      <c r="AR1551" s="101"/>
      <c r="AS1551" s="101"/>
      <c r="AT1551" s="101"/>
    </row>
    <row r="1552" spans="1:46" ht="12.95" customHeight="1">
      <c r="A1552" s="447">
        <v>1</v>
      </c>
      <c r="B1552" s="87" t="s">
        <v>50</v>
      </c>
      <c r="C1552" s="399" t="s">
        <v>136</v>
      </c>
      <c r="D1552" s="129" t="s">
        <v>87</v>
      </c>
      <c r="E1552" s="98">
        <v>13.95</v>
      </c>
      <c r="F1552" s="705" t="s">
        <v>1306</v>
      </c>
      <c r="G1552" s="357">
        <v>0</v>
      </c>
      <c r="H1552" s="704" t="str">
        <f t="shared" ref="H1552" si="3797">IF(G1552=0,"",IF(F1552="Qty=",IF(G1552=1,"plant","plants"),IF(F1552&gt;0.0001,"warranty","Error")))</f>
        <v/>
      </c>
      <c r="I1552" s="98">
        <f t="shared" ref="I1552" si="3798">IF(F1552="Qty=",(E1552*G1552),((E1552*(1-F1552))*G1552))</f>
        <v>0</v>
      </c>
      <c r="J1552" s="98">
        <f>IF(H1552="warranty",0,(I1552*($J$1782)))</f>
        <v>0</v>
      </c>
      <c r="K1552" s="831">
        <f t="shared" ref="K1552" si="3799">I1552+J1552</f>
        <v>0</v>
      </c>
      <c r="L1552" s="831"/>
      <c r="M1552" s="832" t="str">
        <f>IF($H$1784=0,"",IF(G1552=0,"",IF(F1552="Qty=",CONCATENATE("$",ROUND(K1552*(1-$H$1784),2)," with ",($H$1784*100),"% discount"),CONCATENATE("$",ROUND(K1552*(1-$H$1784),2)," with ",(($H$1784*100+F1552*100)-($H$1784*100*F1552)),IF(F1552&gt;0,"% discounts",IF($H$1781&gt;0,"% discounts","% discount"))))))</f>
        <v/>
      </c>
      <c r="N1552" s="832"/>
      <c r="O1552" s="832"/>
      <c r="P1552" s="832"/>
      <c r="Q1552" s="832"/>
      <c r="R1552" s="832"/>
      <c r="S1552" s="303">
        <f t="shared" ref="S1552" si="3800">E1552*G1552</f>
        <v>0</v>
      </c>
      <c r="T1552" s="541">
        <f>VLOOKUP(A1552,'Discount Lookup'!D:E,2,FALSE)*G1552</f>
        <v>0</v>
      </c>
      <c r="U1552" s="83">
        <f>VLOOKUP(A1552,'Discount Lookup'!G:H,2,FALSE)*G1552</f>
        <v>0</v>
      </c>
      <c r="V1552" s="100">
        <f>E1552*($J$1782)*G1552</f>
        <v>0</v>
      </c>
      <c r="W1552" s="100">
        <f t="shared" ref="W1552" si="3801">I1552</f>
        <v>0</v>
      </c>
      <c r="X1552" s="100" t="b">
        <f>IF(G1552&gt;0,IF(AD1552="me","",G1552))</f>
        <v>0</v>
      </c>
      <c r="Y1552" s="201"/>
      <c r="Z1552" s="829" t="str">
        <f t="shared" si="3794"/>
        <v/>
      </c>
      <c r="AA1552" s="829"/>
      <c r="AB1552" s="830" t="str">
        <f>IF(G1552=0,"",IF(AD1552="free","re-planting",IF(AD1552="me","not NVP, by",IF($AD$8="yes",(VLOOKUP(A1552,'Discount Lookup'!J:K,2)*G1552*(1-$AC$1786)*(1+$AC$1788)),IF(AD1552="NVP",(VLOOKUP(A1552,'Discount Lookup'!J:K,2)*G1552*(1-$AC$1786)*(1+$AC$1788)),IF(AD1552="free","re-planting",IF(G1552=0,"",IF($AD$8="",IF(AD1552="me","not NVP, by",IF(AD1552="",IF(G1552&gt;0,(VLOOKUP(A1552,'Discount Lookup'!J:K,2)*G1552*(1-$AC$1786)*(1+$AC$1788)),""),"")),"not NVP, by"))))))))</f>
        <v/>
      </c>
      <c r="AC1552" s="830"/>
      <c r="AD1552" s="375" t="str">
        <f t="shared" si="3700"/>
        <v/>
      </c>
      <c r="AE1552" s="833" t="str">
        <f t="shared" si="3795"/>
        <v/>
      </c>
      <c r="AF1552" s="833"/>
      <c r="AG1552" s="833"/>
      <c r="AH1552" s="91">
        <f>IF(AD1552="free",0,IF(AD1552="me",0,IF(G1552&gt;0,(VLOOKUP(A1552,'Discount Lookup'!J:K,2)*G1552),0)))</f>
        <v>0</v>
      </c>
      <c r="AI1552" s="92" t="str">
        <f t="shared" si="3771"/>
        <v/>
      </c>
      <c r="AJ1552" s="828" t="str">
        <f>IF(G1552=0,"",IF(AD1552="me","  delivery-only",IF($AD$8="me","  delivery-only",CONCATENATE(" $",ROUND(AI1552/G1552,2)," each"))))</f>
        <v/>
      </c>
      <c r="AK1552" s="828"/>
      <c r="AL1552" s="313" t="str">
        <f t="shared" si="3793"/>
        <v/>
      </c>
      <c r="AM1552" s="312"/>
      <c r="AN1552" s="101"/>
      <c r="AO1552" s="101"/>
      <c r="AP1552" s="101"/>
      <c r="AQ1552" s="101"/>
      <c r="AR1552" s="101"/>
      <c r="AS1552" s="101"/>
      <c r="AT1552" s="101"/>
    </row>
    <row r="1553" spans="1:46" ht="12.95" customHeight="1">
      <c r="A1553" s="509"/>
      <c r="B1553" s="103" t="s">
        <v>975</v>
      </c>
      <c r="C1553" s="147"/>
      <c r="D1553" s="147"/>
      <c r="E1553" s="169"/>
      <c r="F1553" s="717"/>
      <c r="G1553" s="363"/>
      <c r="H1553" s="749"/>
      <c r="I1553" s="169"/>
      <c r="J1553" s="169"/>
      <c r="K1553" s="586"/>
      <c r="L1553" s="586"/>
      <c r="M1553" s="212"/>
      <c r="N1553" s="122" t="s">
        <v>336</v>
      </c>
      <c r="O1553" s="123"/>
      <c r="P1553" s="124"/>
      <c r="Q1553" s="124"/>
      <c r="R1553" s="83"/>
      <c r="S1553" s="82"/>
      <c r="T1553" s="540"/>
      <c r="U1553" s="83"/>
      <c r="V1553" s="100"/>
      <c r="W1553" s="100"/>
      <c r="X1553" s="100"/>
      <c r="Y1553" s="201"/>
      <c r="Z1553" s="829" t="str">
        <f t="shared" si="3794"/>
        <v/>
      </c>
      <c r="AA1553" s="829"/>
      <c r="AB1553" s="830" t="str">
        <f>IF(G1553=0,"",IF(AD1553="free","re-planting",IF(AD1553="me","not NVP, by",IF($AD$8="yes",(VLOOKUP(A1553,'Discount Lookup'!J:K,2)*G1553*(1-$AC$1786)*(1+$AC$1788)),IF(AD1553="NVP",(VLOOKUP(A1553,'Discount Lookup'!J:K,2)*G1553*(1-$AC$1786)*(1+$AC$1788)),IF(AD1553="free","re-planting",IF(G1553=0,"",IF($AD$8="",IF(AD1553="me","not NVP, by",IF(AD1553="",IF(G1553&gt;0,(VLOOKUP(A1553,'Discount Lookup'!J:K,2)*G1553*(1-$AC$1786)*(1+$AC$1788)),""),"")),"not NVP, by"))))))))</f>
        <v/>
      </c>
      <c r="AC1553" s="830"/>
      <c r="AD1553" s="375" t="str">
        <f t="shared" si="3700"/>
        <v/>
      </c>
      <c r="AE1553" s="833" t="str">
        <f t="shared" si="3795"/>
        <v/>
      </c>
      <c r="AF1553" s="833"/>
      <c r="AG1553" s="833"/>
      <c r="AH1553" s="91">
        <f>IF(AD1553="free",0,IF(AD1553="me",0,IF(G1553&gt;0,(VLOOKUP(A1553,'Discount Lookup'!J:K,2)*G1553),0)))</f>
        <v>0</v>
      </c>
      <c r="AI1553" s="92" t="str">
        <f t="shared" si="3771"/>
        <v/>
      </c>
      <c r="AJ1553" s="828" t="str">
        <f>IF(G1553=0,"",IF(AD1553="me","  delivery-only",IF($AD$8="me","  delivery-only",CONCATENATE(" $",ROUND(AI1553/G1553,2)," each"))))</f>
        <v/>
      </c>
      <c r="AK1553" s="828"/>
      <c r="AL1553" s="313" t="str">
        <f t="shared" si="3793"/>
        <v/>
      </c>
      <c r="AM1553" s="312"/>
      <c r="AN1553" s="101"/>
      <c r="AO1553" s="101"/>
      <c r="AP1553" s="101"/>
      <c r="AQ1553" s="101"/>
      <c r="AR1553" s="101"/>
      <c r="AS1553" s="101"/>
      <c r="AT1553" s="101"/>
    </row>
    <row r="1554" spans="1:46" ht="12.95" customHeight="1">
      <c r="A1554" s="863" t="s">
        <v>1258</v>
      </c>
      <c r="B1554" s="864"/>
      <c r="C1554" s="864"/>
      <c r="D1554" s="864"/>
      <c r="E1554" s="864"/>
      <c r="F1554" s="864"/>
      <c r="G1554" s="864"/>
      <c r="H1554" s="776" t="s">
        <v>821</v>
      </c>
      <c r="I1554" s="88" t="s">
        <v>79</v>
      </c>
      <c r="J1554" s="86"/>
      <c r="K1554" s="603" t="s">
        <v>45</v>
      </c>
      <c r="L1554" s="601" t="s">
        <v>46</v>
      </c>
      <c r="M1554" s="86"/>
      <c r="N1554" s="87" t="s">
        <v>69</v>
      </c>
      <c r="O1554" s="87"/>
      <c r="P1554" s="87"/>
      <c r="Q1554" s="87"/>
      <c r="R1554" s="86"/>
      <c r="S1554" s="125"/>
      <c r="T1554" s="543"/>
      <c r="U1554" s="112"/>
      <c r="V1554" s="100" t="b">
        <f>IF(G1554&gt;0,IF(AD1554="me","",G1554))</f>
        <v>0</v>
      </c>
      <c r="W1554" s="100"/>
      <c r="X1554" s="100"/>
      <c r="Y1554" s="201"/>
      <c r="Z1554" s="829" t="str">
        <f t="shared" si="3759"/>
        <v/>
      </c>
      <c r="AA1554" s="829"/>
      <c r="AB1554" s="830" t="str">
        <f>IF(G1554=0,"",IF(AD1554="free","re-planting",IF(AD1554="me","not NVP, by",IF($AD$8="yes",(VLOOKUP(A1554,'Discount Lookup'!J:K,2)*G1554*(1-$AC$1786)*(1+$AC$1788)),IF(AD1554="NVP",(VLOOKUP(A1554,'Discount Lookup'!J:K,2)*G1554*(1-$AC$1786)*(1+$AC$1788)),IF(AD1554="free","re-planting",IF(G1554=0,"",IF($AD$8="",IF(AD1554="me","not NVP, by",IF(AD1554="",IF(G1554&gt;0,(VLOOKUP(A1554,'Discount Lookup'!J:K,2)*G1554*(1-$AC$1786)*(1+$AC$1788)),""),"")),"not NVP, by"))))))))</f>
        <v/>
      </c>
      <c r="AC1554" s="830"/>
      <c r="AD1554" s="375" t="str">
        <f t="shared" si="3700"/>
        <v/>
      </c>
      <c r="AE1554" s="833" t="str">
        <f t="shared" si="3772"/>
        <v/>
      </c>
      <c r="AF1554" s="833"/>
      <c r="AG1554" s="833"/>
      <c r="AH1554" s="91">
        <f>IF(AD1554="free",0,IF(AD1554="me",0,IF(G1554&gt;0,(VLOOKUP(A1554,'Discount Lookup'!J:K,2)*G1554),0)))</f>
        <v>0</v>
      </c>
      <c r="AI1554" s="92" t="str">
        <f t="shared" si="3771"/>
        <v/>
      </c>
      <c r="AJ1554" s="828" t="str">
        <f t="shared" si="3760"/>
        <v/>
      </c>
      <c r="AK1554" s="828"/>
      <c r="AL1554" s="313" t="str">
        <f t="shared" si="3793"/>
        <v/>
      </c>
      <c r="AM1554" s="312"/>
      <c r="AN1554" s="101"/>
      <c r="AO1554" s="101"/>
      <c r="AP1554" s="101"/>
      <c r="AQ1554" s="101"/>
      <c r="AR1554" s="101"/>
      <c r="AS1554" s="101"/>
      <c r="AT1554" s="101"/>
    </row>
    <row r="1555" spans="1:46" ht="12.95" customHeight="1">
      <c r="A1555" s="419">
        <v>4</v>
      </c>
      <c r="B1555" s="87" t="s">
        <v>1358</v>
      </c>
      <c r="C1555" s="399" t="s">
        <v>136</v>
      </c>
      <c r="D1555" s="129" t="s">
        <v>52</v>
      </c>
      <c r="E1555" s="98">
        <v>3.95</v>
      </c>
      <c r="F1555" s="705" t="s">
        <v>1306</v>
      </c>
      <c r="G1555" s="357">
        <v>0</v>
      </c>
      <c r="H1555" s="704" t="str">
        <f t="shared" ref="H1555" si="3802">IF(G1555=0,"",IF(F1555="Qty=",IF(G1555=1,"plant","plants"),IF(F1555&gt;0.0001,"warranty","Error")))</f>
        <v/>
      </c>
      <c r="I1555" s="98">
        <f t="shared" ref="I1555" si="3803">IF(F1555="Qty=",(E1555*G1555),((E1555*(1-F1555))*G1555))</f>
        <v>0</v>
      </c>
      <c r="J1555" s="98">
        <f>IF(H1555="warranty",0,(I1555*($J$1782)))</f>
        <v>0</v>
      </c>
      <c r="K1555" s="831">
        <f t="shared" ref="K1555:K1556" si="3804">I1555+J1555</f>
        <v>0</v>
      </c>
      <c r="L1555" s="831"/>
      <c r="M1555" s="832" t="str">
        <f>IF($H$1784=0,"",IF(G1555=0,"",IF(F1555="Qty=",CONCATENATE("$",ROUND(K1555*(1-$H$1784),2)," with ",($H$1784*100),"% discount"),CONCATENATE("$",ROUND(K1555*(1-$H$1784),2)," with ",(($H$1784*100+F1555*100)-($H$1784*100*F1555)),IF(F1555&gt;0,"% discounts",IF($H$1781&gt;0,"% discounts","% discount"))))))</f>
        <v/>
      </c>
      <c r="N1555" s="832"/>
      <c r="O1555" s="832"/>
      <c r="P1555" s="832"/>
      <c r="Q1555" s="832"/>
      <c r="R1555" s="832"/>
      <c r="S1555" s="303">
        <f t="shared" ref="S1555" si="3805">E1555*G1555</f>
        <v>0</v>
      </c>
      <c r="T1555" s="541">
        <f>VLOOKUP(A1555,'Discount Lookup'!D:E,2,FALSE)*G1555</f>
        <v>0</v>
      </c>
      <c r="U1555" s="83">
        <f>VLOOKUP(A1555,'Discount Lookup'!G:H,2,FALSE)*G1555</f>
        <v>0</v>
      </c>
      <c r="V1555" s="100">
        <f>E1555*($J$1782)*G1555</f>
        <v>0</v>
      </c>
      <c r="W1555" s="100">
        <f t="shared" ref="W1555" si="3806">I1555</f>
        <v>0</v>
      </c>
      <c r="X1555" s="100" t="b">
        <f>IF(G1555&gt;0,IF(AD1555="me","",G1555))</f>
        <v>0</v>
      </c>
      <c r="Y1555" s="201"/>
      <c r="Z1555" s="829" t="str">
        <f t="shared" ref="Z1555" si="3807">IF(G1555=0,"",IF(AD1555="me","",IF($AD$8="me","",IF(AD1555="free","warranty",IF($AD$8="yes","NVP planting:","to NVP install:")))))</f>
        <v/>
      </c>
      <c r="AA1555" s="829"/>
      <c r="AB1555" s="830" t="str">
        <f>IF(G1555=0,"",IF(AD1555="free","re-planting",IF(AD1555="me","not NVP, by",IF($AD$8="yes",(VLOOKUP(A1555,'Discount Lookup'!J:K,2)*G1555*(1-$AC$1786)*(1+$AC$1788)),IF(AD1555="NVP",(VLOOKUP(A1555,'Discount Lookup'!J:K,2)*G1555*(1-$AC$1786)*(1+$AC$1788)),IF(AD1555="free","re-planting",IF(G1555=0,"",IF($AD$8="",IF(AD1555="me","not NVP, by",IF(AD1555="",IF(G1555&gt;0,(VLOOKUP(A1555,'Discount Lookup'!J:K,2)*G1555*(1-$AC$1786)*(1+$AC$1788)),""),"")),"not NVP, by"))))))))</f>
        <v/>
      </c>
      <c r="AC1555" s="830"/>
      <c r="AD1555" s="375" t="str">
        <f t="shared" si="3700"/>
        <v/>
      </c>
      <c r="AE1555" s="833" t="str">
        <f t="shared" si="3772"/>
        <v/>
      </c>
      <c r="AF1555" s="833"/>
      <c r="AG1555" s="833"/>
      <c r="AH1555" s="91">
        <f>IF(AD1555="free",0,IF(AD1555="me",0,IF(G1555&gt;0,(VLOOKUP(A1555,'Discount Lookup'!J:K,2)*G1555),0)))</f>
        <v>0</v>
      </c>
      <c r="AI1555" s="92" t="str">
        <f t="shared" si="3771"/>
        <v/>
      </c>
      <c r="AJ1555" s="828" t="str">
        <f t="shared" ref="AJ1555" si="3808">IF(G1555=0,"",IF(AD1555="me","  delivery-only",IF($AD$8="me","  delivery-only",CONCATENATE(" $",ROUND(AI1555/G1555,2)," each"))))</f>
        <v/>
      </c>
      <c r="AK1555" s="828"/>
      <c r="AL1555" s="313" t="str">
        <f t="shared" si="3793"/>
        <v/>
      </c>
      <c r="AM1555" s="312"/>
      <c r="AN1555" s="101"/>
      <c r="AO1555" s="101"/>
      <c r="AP1555" s="101"/>
      <c r="AQ1555" s="101"/>
      <c r="AR1555" s="101"/>
      <c r="AS1555" s="101"/>
      <c r="AT1555" s="101"/>
    </row>
    <row r="1556" spans="1:46" ht="12.95" customHeight="1">
      <c r="A1556" s="419">
        <v>1</v>
      </c>
      <c r="B1556" s="87" t="s">
        <v>50</v>
      </c>
      <c r="C1556" s="399" t="s">
        <v>136</v>
      </c>
      <c r="D1556" s="129" t="s">
        <v>52</v>
      </c>
      <c r="E1556" s="98">
        <v>6.95</v>
      </c>
      <c r="F1556" s="705" t="s">
        <v>1306</v>
      </c>
      <c r="G1556" s="357">
        <v>0</v>
      </c>
      <c r="H1556" s="704" t="str">
        <f t="shared" ref="H1556" si="3809">IF(G1556=0,"",IF(F1556="Qty=",IF(G1556=1,"plant","plants"),IF(F1556&gt;0.0001,"warranty","Error")))</f>
        <v/>
      </c>
      <c r="I1556" s="98">
        <f t="shared" ref="I1556" si="3810">IF(F1556="Qty=",(E1556*G1556),((E1556*(1-F1556))*G1556))</f>
        <v>0</v>
      </c>
      <c r="J1556" s="98">
        <f>IF(H1556="warranty",0,(I1556*($J$1782)))</f>
        <v>0</v>
      </c>
      <c r="K1556" s="831">
        <f t="shared" si="3804"/>
        <v>0</v>
      </c>
      <c r="L1556" s="831"/>
      <c r="M1556" s="832" t="str">
        <f>IF($H$1784=0,"",IF(G1556=0,"",IF(F1556="Qty=",CONCATENATE("$",ROUND(K1556*(1-$H$1784),2)," with ",($H$1784*100),"% discount"),CONCATENATE("$",ROUND(K1556*(1-$H$1784),2)," with ",(($H$1784*100+F1556*100)-($H$1784*100*F1556)),IF(F1556&gt;0,"% discounts",IF($H$1781&gt;0,"% discounts","% discount"))))))</f>
        <v/>
      </c>
      <c r="N1556" s="832"/>
      <c r="O1556" s="832"/>
      <c r="P1556" s="832"/>
      <c r="Q1556" s="832"/>
      <c r="R1556" s="832"/>
      <c r="S1556" s="303">
        <f t="shared" ref="S1556" si="3811">E1556*G1556</f>
        <v>0</v>
      </c>
      <c r="T1556" s="541">
        <f>VLOOKUP(A1556,'Discount Lookup'!D:E,2,FALSE)*G1556</f>
        <v>0</v>
      </c>
      <c r="U1556" s="83">
        <f>VLOOKUP(A1556,'Discount Lookup'!G:H,2,FALSE)*G1556</f>
        <v>0</v>
      </c>
      <c r="V1556" s="100">
        <f>E1556*($J$1782)*G1556</f>
        <v>0</v>
      </c>
      <c r="W1556" s="100">
        <f t="shared" ref="W1556" si="3812">I1556</f>
        <v>0</v>
      </c>
      <c r="X1556" s="100" t="b">
        <f>IF(G1556&gt;0,IF(AD1556="me","",G1556))</f>
        <v>0</v>
      </c>
      <c r="Y1556" s="201"/>
      <c r="Z1556" s="829" t="str">
        <f t="shared" si="3759"/>
        <v/>
      </c>
      <c r="AA1556" s="829"/>
      <c r="AB1556" s="830" t="str">
        <f>IF(G1556=0,"",IF(AD1556="free","re-planting",IF(AD1556="me","not NVP, by",IF($AD$8="yes",(VLOOKUP(A1556,'Discount Lookup'!J:K,2)*G1556*(1-$AC$1786)*(1+$AC$1788)),IF(AD1556="NVP",(VLOOKUP(A1556,'Discount Lookup'!J:K,2)*G1556*(1-$AC$1786)*(1+$AC$1788)),IF(AD1556="free","re-planting",IF(G1556=0,"",IF($AD$8="",IF(AD1556="me","not NVP, by",IF(AD1556="",IF(G1556&gt;0,(VLOOKUP(A1556,'Discount Lookup'!J:K,2)*G1556*(1-$AC$1786)*(1+$AC$1788)),""),"")),"not NVP, by"))))))))</f>
        <v/>
      </c>
      <c r="AC1556" s="830"/>
      <c r="AD1556" s="375" t="str">
        <f t="shared" si="3700"/>
        <v/>
      </c>
      <c r="AE1556" s="833" t="str">
        <f t="shared" ref="AE1556" si="3813">IF(G1556&gt;0,(CONCATENATE((G1556)," quantity, ",(A1556)," ",B1556)),"")</f>
        <v/>
      </c>
      <c r="AF1556" s="833"/>
      <c r="AG1556" s="833"/>
      <c r="AH1556" s="91">
        <f>IF(AD1556="free",0,IF(AD1556="me",0,IF(G1556&gt;0,(VLOOKUP(A1556,'Discount Lookup'!J:K,2)*G1556),0)))</f>
        <v>0</v>
      </c>
      <c r="AI1556" s="92" t="str">
        <f t="shared" si="3771"/>
        <v/>
      </c>
      <c r="AJ1556" s="828" t="str">
        <f t="shared" si="3760"/>
        <v/>
      </c>
      <c r="AK1556" s="828"/>
      <c r="AL1556" s="313" t="str">
        <f t="shared" si="3793"/>
        <v/>
      </c>
      <c r="AM1556" s="312"/>
      <c r="AN1556" s="101"/>
      <c r="AO1556" s="101"/>
      <c r="AP1556" s="101"/>
      <c r="AQ1556" s="101"/>
      <c r="AR1556" s="101"/>
      <c r="AS1556" s="101"/>
      <c r="AT1556" s="101"/>
    </row>
    <row r="1557" spans="1:46" ht="12.95" customHeight="1">
      <c r="A1557" s="470"/>
      <c r="B1557" s="198" t="s">
        <v>1259</v>
      </c>
      <c r="C1557" s="219"/>
      <c r="D1557" s="219"/>
      <c r="E1557" s="155"/>
      <c r="F1557" s="714"/>
      <c r="G1557" s="364"/>
      <c r="H1557" s="757"/>
      <c r="I1557" s="155"/>
      <c r="M1557" s="48"/>
      <c r="N1557" s="48"/>
      <c r="O1557" s="123"/>
      <c r="P1557" s="124"/>
      <c r="Q1557" s="841"/>
      <c r="R1557" s="841"/>
      <c r="S1557" s="841"/>
      <c r="T1557" s="841"/>
      <c r="U1557" s="841"/>
      <c r="V1557" s="841"/>
      <c r="W1557" s="286"/>
      <c r="X1557" s="286"/>
      <c r="Y1557" s="794"/>
      <c r="Z1557" s="829" t="str">
        <f t="shared" si="3759"/>
        <v/>
      </c>
      <c r="AA1557" s="829"/>
      <c r="AB1557" s="830" t="str">
        <f>IF(G1557=0,"",IF(AD1557="free","re-planting",IF(AD1557="me","not NVP, by",IF($AD$8="yes",(VLOOKUP(A1557,'Discount Lookup'!J:K,2)*G1557*(1-$AC$1786)*(1+$AC$1788)),IF(AD1557="NVP",(VLOOKUP(A1557,'Discount Lookup'!J:K,2)*G1557*(1-$AC$1786)*(1+$AC$1788)),IF(AD1557="free","re-planting",IF(G1557=0,"",IF($AD$8="",IF(AD1557="me","not NVP, by",IF(AD1557="",IF(G1557&gt;0,(VLOOKUP(A1557,'Discount Lookup'!J:K,2)*G1557*(1-$AC$1786)*(1+$AC$1788)),""),"")),"not NVP, by"))))))))</f>
        <v/>
      </c>
      <c r="AC1557" s="830"/>
      <c r="AD1557" s="375" t="str">
        <f t="shared" si="3700"/>
        <v/>
      </c>
      <c r="AE1557" s="833" t="str">
        <f t="shared" si="3772"/>
        <v/>
      </c>
      <c r="AF1557" s="833"/>
      <c r="AG1557" s="833"/>
      <c r="AH1557" s="91">
        <f>IF(AD1557="free",0,IF(AD1557="me",0,IF(G1557&gt;0,(VLOOKUP(A1557,'Discount Lookup'!J:K,2)*G1557),0)))</f>
        <v>0</v>
      </c>
      <c r="AI1557" s="92" t="str">
        <f t="shared" si="3771"/>
        <v/>
      </c>
      <c r="AJ1557" s="828" t="str">
        <f t="shared" si="3760"/>
        <v/>
      </c>
      <c r="AK1557" s="828"/>
      <c r="AL1557" s="313" t="str">
        <f t="shared" si="3793"/>
        <v/>
      </c>
      <c r="AM1557" s="312"/>
      <c r="AN1557" s="101"/>
      <c r="AO1557" s="101"/>
      <c r="AP1557" s="101"/>
      <c r="AQ1557" s="101"/>
      <c r="AR1557" s="101"/>
      <c r="AS1557" s="101"/>
      <c r="AT1557" s="101"/>
    </row>
    <row r="1558" spans="1:46" ht="12.95" customHeight="1">
      <c r="A1558" s="863" t="s">
        <v>1261</v>
      </c>
      <c r="B1558" s="864"/>
      <c r="C1558" s="864"/>
      <c r="D1558" s="864"/>
      <c r="E1558" s="864"/>
      <c r="F1558" s="864"/>
      <c r="G1558" s="864"/>
      <c r="H1558" s="776" t="s">
        <v>821</v>
      </c>
      <c r="I1558" s="88" t="s">
        <v>79</v>
      </c>
      <c r="J1558" s="86"/>
      <c r="K1558" s="603" t="s">
        <v>45</v>
      </c>
      <c r="L1558" s="601" t="s">
        <v>46</v>
      </c>
      <c r="M1558" s="86"/>
      <c r="N1558" s="87" t="s">
        <v>69</v>
      </c>
      <c r="O1558" s="87"/>
      <c r="P1558" s="87"/>
      <c r="Q1558" s="87"/>
      <c r="R1558" s="86"/>
      <c r="S1558" s="125"/>
      <c r="T1558" s="543"/>
      <c r="U1558" s="112"/>
      <c r="V1558" s="100" t="b">
        <f>IF(G1558&gt;0,IF(AD1558="me","",G1558))</f>
        <v>0</v>
      </c>
      <c r="W1558" s="100"/>
      <c r="X1558" s="100"/>
      <c r="Y1558" s="201"/>
      <c r="Z1558" s="829" t="str">
        <f t="shared" si="3759"/>
        <v/>
      </c>
      <c r="AA1558" s="829"/>
      <c r="AB1558" s="830" t="str">
        <f>IF(G1558=0,"",IF(AD1558="free","re-planting",IF(AD1558="me","not NVP, by",IF($AD$8="yes",(VLOOKUP(A1558,'Discount Lookup'!J:K,2)*G1558*(1-$AC$1786)*(1+$AC$1788)),IF(AD1558="NVP",(VLOOKUP(A1558,'Discount Lookup'!J:K,2)*G1558*(1-$AC$1786)*(1+$AC$1788)),IF(AD1558="free","re-planting",IF(G1558=0,"",IF($AD$8="",IF(AD1558="me","not NVP, by",IF(AD1558="",IF(G1558&gt;0,(VLOOKUP(A1558,'Discount Lookup'!J:K,2)*G1558*(1-$AC$1786)*(1+$AC$1788)),""),"")),"not NVP, by"))))))))</f>
        <v/>
      </c>
      <c r="AC1558" s="830"/>
      <c r="AD1558" s="375" t="str">
        <f t="shared" si="3700"/>
        <v/>
      </c>
      <c r="AE1558" s="833" t="str">
        <f t="shared" si="3772"/>
        <v/>
      </c>
      <c r="AF1558" s="833"/>
      <c r="AG1558" s="833"/>
      <c r="AH1558" s="91">
        <f>IF(AD1558="free",0,IF(AD1558="me",0,IF(G1558&gt;0,(VLOOKUP(A1558,'Discount Lookup'!J:K,2)*G1558),0)))</f>
        <v>0</v>
      </c>
      <c r="AI1558" s="92" t="str">
        <f t="shared" si="3771"/>
        <v/>
      </c>
      <c r="AJ1558" s="828" t="str">
        <f t="shared" si="3760"/>
        <v/>
      </c>
      <c r="AK1558" s="828"/>
      <c r="AL1558" s="313" t="str">
        <f t="shared" si="3793"/>
        <v/>
      </c>
      <c r="AM1558" s="312"/>
      <c r="AN1558" s="101"/>
      <c r="AO1558" s="101"/>
      <c r="AP1558" s="101"/>
      <c r="AQ1558" s="101"/>
      <c r="AR1558" s="101"/>
      <c r="AS1558" s="101"/>
      <c r="AT1558" s="101"/>
    </row>
    <row r="1559" spans="1:46" ht="12.95" customHeight="1">
      <c r="A1559" s="419">
        <v>4</v>
      </c>
      <c r="B1559" s="87" t="s">
        <v>1358</v>
      </c>
      <c r="C1559" s="399" t="s">
        <v>136</v>
      </c>
      <c r="D1559" s="129" t="s">
        <v>52</v>
      </c>
      <c r="E1559" s="98">
        <v>3.95</v>
      </c>
      <c r="F1559" s="705" t="s">
        <v>1306</v>
      </c>
      <c r="G1559" s="357">
        <v>0</v>
      </c>
      <c r="H1559" s="704" t="str">
        <f t="shared" ref="H1559" si="3814">IF(G1559=0,"",IF(F1559="Qty=",IF(G1559=1,"plant","plants"),IF(F1559&gt;0.0001,"warranty","Error")))</f>
        <v/>
      </c>
      <c r="I1559" s="98">
        <f t="shared" ref="I1559" si="3815">IF(F1559="Qty=",(E1559*G1559),((E1559*(1-F1559))*G1559))</f>
        <v>0</v>
      </c>
      <c r="J1559" s="98">
        <f>IF(H1559="warranty",0,(I1559*($J$1782)))</f>
        <v>0</v>
      </c>
      <c r="K1559" s="831">
        <f t="shared" ref="K1559:K1560" si="3816">I1559+J1559</f>
        <v>0</v>
      </c>
      <c r="L1559" s="831"/>
      <c r="M1559" s="832" t="str">
        <f>IF($H$1784=0,"",IF(G1559=0,"",IF(F1559="Qty=",CONCATENATE("$",ROUND(K1559*(1-$H$1784),2)," with ",($H$1784*100),"% discount"),CONCATENATE("$",ROUND(K1559*(1-$H$1784),2)," with ",(($H$1784*100+F1559*100)-($H$1784*100*F1559)),IF(F1559&gt;0,"% discounts",IF($H$1781&gt;0,"% discounts","% discount"))))))</f>
        <v/>
      </c>
      <c r="N1559" s="832"/>
      <c r="O1559" s="832"/>
      <c r="P1559" s="832"/>
      <c r="Q1559" s="832"/>
      <c r="R1559" s="832"/>
      <c r="S1559" s="303">
        <f t="shared" ref="S1559" si="3817">E1559*G1559</f>
        <v>0</v>
      </c>
      <c r="T1559" s="541">
        <f>VLOOKUP(A1559,'Discount Lookup'!D:E,2,FALSE)*G1559</f>
        <v>0</v>
      </c>
      <c r="U1559" s="83">
        <f>VLOOKUP(A1559,'Discount Lookup'!G:H,2,FALSE)*G1559</f>
        <v>0</v>
      </c>
      <c r="V1559" s="100">
        <f>E1559*($J$1782)*G1559</f>
        <v>0</v>
      </c>
      <c r="W1559" s="100">
        <f t="shared" ref="W1559" si="3818">I1559</f>
        <v>0</v>
      </c>
      <c r="X1559" s="100" t="b">
        <f>IF(G1559&gt;0,IF(AD1559="me","",G1559))</f>
        <v>0</v>
      </c>
      <c r="Y1559" s="201"/>
      <c r="Z1559" s="829" t="str">
        <f t="shared" si="3759"/>
        <v/>
      </c>
      <c r="AA1559" s="829"/>
      <c r="AB1559" s="830" t="str">
        <f>IF(G1559=0,"",IF(AD1559="free","re-planting",IF(AD1559="me","not NVP, by",IF($AD$8="yes",(VLOOKUP(A1559,'Discount Lookup'!J:K,2)*G1559*(1-$AC$1786)*(1+$AC$1788)),IF(AD1559="NVP",(VLOOKUP(A1559,'Discount Lookup'!J:K,2)*G1559*(1-$AC$1786)*(1+$AC$1788)),IF(AD1559="free","re-planting",IF(G1559=0,"",IF($AD$8="",IF(AD1559="me","not NVP, by",IF(AD1559="",IF(G1559&gt;0,(VLOOKUP(A1559,'Discount Lookup'!J:K,2)*G1559*(1-$AC$1786)*(1+$AC$1788)),""),"")),"not NVP, by"))))))))</f>
        <v/>
      </c>
      <c r="AC1559" s="830"/>
      <c r="AD1559" s="375" t="str">
        <f t="shared" si="3700"/>
        <v/>
      </c>
      <c r="AE1559" s="833" t="str">
        <f t="shared" ref="AE1559" si="3819">IF(G1559&gt;0,(CONCATENATE((G1559)," quantity, ",(A1559)," ",B1559)),"")</f>
        <v/>
      </c>
      <c r="AF1559" s="833"/>
      <c r="AG1559" s="833"/>
      <c r="AH1559" s="91">
        <f>IF(AD1559="free",0,IF(AD1559="me",0,IF(G1559&gt;0,(VLOOKUP(A1559,'Discount Lookup'!J:K,2)*G1559),0)))</f>
        <v>0</v>
      </c>
      <c r="AI1559" s="92" t="str">
        <f t="shared" si="3771"/>
        <v/>
      </c>
      <c r="AJ1559" s="828" t="str">
        <f t="shared" si="3760"/>
        <v/>
      </c>
      <c r="AK1559" s="828"/>
      <c r="AL1559" s="313" t="str">
        <f t="shared" si="3793"/>
        <v/>
      </c>
      <c r="AM1559" s="312"/>
      <c r="AN1559" s="101"/>
      <c r="AO1559" s="101"/>
      <c r="AP1559" s="101"/>
      <c r="AQ1559" s="101"/>
      <c r="AR1559" s="101"/>
      <c r="AS1559" s="101"/>
      <c r="AT1559" s="101"/>
    </row>
    <row r="1560" spans="1:46" ht="12.95" customHeight="1">
      <c r="A1560" s="419">
        <v>1</v>
      </c>
      <c r="B1560" s="87" t="s">
        <v>50</v>
      </c>
      <c r="C1560" s="399" t="s">
        <v>136</v>
      </c>
      <c r="D1560" s="129" t="s">
        <v>52</v>
      </c>
      <c r="E1560" s="98">
        <v>6.95</v>
      </c>
      <c r="F1560" s="705" t="s">
        <v>1306</v>
      </c>
      <c r="G1560" s="357">
        <v>0</v>
      </c>
      <c r="H1560" s="704" t="str">
        <f t="shared" ref="H1560" si="3820">IF(G1560=0,"",IF(F1560="Qty=",IF(G1560=1,"plant","plants"),IF(F1560&gt;0.0001,"warranty","Error")))</f>
        <v/>
      </c>
      <c r="I1560" s="98">
        <f t="shared" ref="I1560" si="3821">IF(F1560="Qty=",(E1560*G1560),((E1560*(1-F1560))*G1560))</f>
        <v>0</v>
      </c>
      <c r="J1560" s="98">
        <f>IF(H1560="warranty",0,(I1560*($J$1782)))</f>
        <v>0</v>
      </c>
      <c r="K1560" s="831">
        <f t="shared" si="3816"/>
        <v>0</v>
      </c>
      <c r="L1560" s="831"/>
      <c r="M1560" s="832" t="str">
        <f>IF($H$1784=0,"",IF(G1560=0,"",IF(F1560="Qty=",CONCATENATE("$",ROUND(K1560*(1-$H$1784),2)," with ",($H$1784*100),"% discount"),CONCATENATE("$",ROUND(K1560*(1-$H$1784),2)," with ",(($H$1784*100+F1560*100)-($H$1784*100*F1560)),IF(F1560&gt;0,"% discounts",IF($H$1781&gt;0,"% discounts","% discount"))))))</f>
        <v/>
      </c>
      <c r="N1560" s="832"/>
      <c r="O1560" s="832"/>
      <c r="P1560" s="832"/>
      <c r="Q1560" s="832"/>
      <c r="R1560" s="832"/>
      <c r="S1560" s="303">
        <f t="shared" ref="S1560" si="3822">E1560*G1560</f>
        <v>0</v>
      </c>
      <c r="T1560" s="541">
        <f>VLOOKUP(A1560,'Discount Lookup'!D:E,2,FALSE)*G1560</f>
        <v>0</v>
      </c>
      <c r="U1560" s="83">
        <f>VLOOKUP(A1560,'Discount Lookup'!G:H,2,FALSE)*G1560</f>
        <v>0</v>
      </c>
      <c r="V1560" s="100">
        <f>E1560*($J$1782)*G1560</f>
        <v>0</v>
      </c>
      <c r="W1560" s="100">
        <f t="shared" ref="W1560" si="3823">I1560</f>
        <v>0</v>
      </c>
      <c r="X1560" s="100" t="b">
        <f>IF(G1560&gt;0,IF(AD1560="me","",G1560))</f>
        <v>0</v>
      </c>
      <c r="Y1560" s="201"/>
      <c r="Z1560" s="829" t="str">
        <f t="shared" si="3759"/>
        <v/>
      </c>
      <c r="AA1560" s="829"/>
      <c r="AB1560" s="830" t="str">
        <f>IF(G1560=0,"",IF(AD1560="free","re-planting",IF(AD1560="me","not NVP, by",IF($AD$8="yes",(VLOOKUP(A1560,'Discount Lookup'!J:K,2)*G1560*(1-$AC$1786)*(1+$AC$1788)),IF(AD1560="NVP",(VLOOKUP(A1560,'Discount Lookup'!J:K,2)*G1560*(1-$AC$1786)*(1+$AC$1788)),IF(AD1560="free","re-planting",IF(G1560=0,"",IF($AD$8="",IF(AD1560="me","not NVP, by",IF(AD1560="",IF(G1560&gt;0,(VLOOKUP(A1560,'Discount Lookup'!J:K,2)*G1560*(1-$AC$1786)*(1+$AC$1788)),""),"")),"not NVP, by"))))))))</f>
        <v/>
      </c>
      <c r="AC1560" s="830"/>
      <c r="AD1560" s="375" t="str">
        <f t="shared" si="3700"/>
        <v/>
      </c>
      <c r="AE1560" s="833" t="str">
        <f t="shared" si="3772"/>
        <v/>
      </c>
      <c r="AF1560" s="833"/>
      <c r="AG1560" s="833"/>
      <c r="AH1560" s="91">
        <f>IF(AD1560="free",0,IF(AD1560="me",0,IF(G1560&gt;0,(VLOOKUP(A1560,'Discount Lookup'!J:K,2)*G1560),0)))</f>
        <v>0</v>
      </c>
      <c r="AI1560" s="92" t="str">
        <f t="shared" si="3771"/>
        <v/>
      </c>
      <c r="AJ1560" s="828" t="str">
        <f t="shared" si="3760"/>
        <v/>
      </c>
      <c r="AK1560" s="828"/>
      <c r="AL1560" s="313" t="str">
        <f t="shared" si="3793"/>
        <v/>
      </c>
      <c r="AM1560" s="312"/>
      <c r="AN1560" s="101"/>
      <c r="AO1560" s="101"/>
      <c r="AP1560" s="101"/>
      <c r="AQ1560" s="101"/>
      <c r="AR1560" s="101"/>
      <c r="AS1560" s="101"/>
      <c r="AT1560" s="101"/>
    </row>
    <row r="1561" spans="1:46" ht="12.95" customHeight="1">
      <c r="A1561" s="470"/>
      <c r="B1561" s="198" t="s">
        <v>1262</v>
      </c>
      <c r="C1561" s="219"/>
      <c r="D1561" s="219"/>
      <c r="E1561" s="155"/>
      <c r="F1561" s="714"/>
      <c r="G1561" s="364"/>
      <c r="H1561" s="757"/>
      <c r="I1561" s="155"/>
      <c r="M1561" s="48"/>
      <c r="N1561" s="48"/>
      <c r="O1561" s="123"/>
      <c r="P1561" s="124"/>
      <c r="Q1561" s="841" t="s">
        <v>125</v>
      </c>
      <c r="R1561" s="841"/>
      <c r="S1561" s="841"/>
      <c r="T1561" s="841"/>
      <c r="U1561" s="841"/>
      <c r="V1561" s="841"/>
      <c r="W1561" s="286"/>
      <c r="X1561" s="286"/>
      <c r="Y1561" s="794"/>
      <c r="Z1561" s="829" t="str">
        <f t="shared" si="3759"/>
        <v/>
      </c>
      <c r="AA1561" s="829"/>
      <c r="AB1561" s="830" t="str">
        <f>IF(G1561=0,"",IF(AD1561="free","re-planting",IF(AD1561="me","not NVP, by",IF($AD$8="yes",(VLOOKUP(A1561,'Discount Lookup'!J:K,2)*G1561*(1-$AC$1786)*(1+$AC$1788)),IF(AD1561="NVP",(VLOOKUP(A1561,'Discount Lookup'!J:K,2)*G1561*(1-$AC$1786)*(1+$AC$1788)),IF(AD1561="free","re-planting",IF(G1561=0,"",IF($AD$8="",IF(AD1561="me","not NVP, by",IF(AD1561="",IF(G1561&gt;0,(VLOOKUP(A1561,'Discount Lookup'!J:K,2)*G1561*(1-$AC$1786)*(1+$AC$1788)),""),"")),"not NVP, by"))))))))</f>
        <v/>
      </c>
      <c r="AC1561" s="830"/>
      <c r="AD1561" s="375" t="str">
        <f t="shared" si="3700"/>
        <v/>
      </c>
      <c r="AE1561" s="833" t="str">
        <f t="shared" si="3772"/>
        <v/>
      </c>
      <c r="AF1561" s="833"/>
      <c r="AG1561" s="833"/>
      <c r="AH1561" s="91">
        <f>IF(AD1561="free",0,IF(AD1561="me",0,IF(G1561&gt;0,(VLOOKUP(A1561,'Discount Lookup'!J:K,2)*G1561),0)))</f>
        <v>0</v>
      </c>
      <c r="AI1561" s="92" t="str">
        <f t="shared" si="3771"/>
        <v/>
      </c>
      <c r="AJ1561" s="828" t="str">
        <f t="shared" si="3760"/>
        <v/>
      </c>
      <c r="AK1561" s="828"/>
      <c r="AL1561" s="313" t="str">
        <f t="shared" si="3793"/>
        <v/>
      </c>
      <c r="AM1561" s="312"/>
      <c r="AN1561" s="101"/>
      <c r="AO1561" s="101"/>
      <c r="AP1561" s="101"/>
      <c r="AQ1561" s="101"/>
      <c r="AR1561" s="101"/>
      <c r="AS1561" s="101"/>
      <c r="AT1561" s="101"/>
    </row>
    <row r="1562" spans="1:46" ht="12.95" customHeight="1">
      <c r="A1562" s="929" t="s">
        <v>824</v>
      </c>
      <c r="B1562" s="902"/>
      <c r="C1562" s="902"/>
      <c r="D1562" s="902"/>
      <c r="E1562" s="902"/>
      <c r="F1562" s="902"/>
      <c r="G1562" s="902"/>
      <c r="H1562" s="776" t="s">
        <v>825</v>
      </c>
      <c r="I1562" s="88" t="s">
        <v>79</v>
      </c>
      <c r="J1562" s="86"/>
      <c r="K1562" s="603" t="s">
        <v>45</v>
      </c>
      <c r="L1562" s="601" t="s">
        <v>46</v>
      </c>
      <c r="M1562" s="86"/>
      <c r="N1562" s="87" t="s">
        <v>128</v>
      </c>
      <c r="O1562" s="87"/>
      <c r="P1562" s="87"/>
      <c r="Q1562" s="87"/>
      <c r="R1562" s="835" t="s">
        <v>49</v>
      </c>
      <c r="S1562" s="835"/>
      <c r="T1562" s="835"/>
      <c r="U1562" s="835"/>
      <c r="V1562" s="100" t="b">
        <f>IF(G1562&gt;0,IF(AD1562="me","",G1562))</f>
        <v>0</v>
      </c>
      <c r="W1562" s="100"/>
      <c r="X1562" s="100"/>
      <c r="Y1562" s="201"/>
      <c r="Z1562" s="829" t="str">
        <f t="shared" si="3759"/>
        <v/>
      </c>
      <c r="AA1562" s="829"/>
      <c r="AB1562" s="830" t="str">
        <f>IF(G1562=0,"",IF(AD1562="free","re-planting",IF(AD1562="me","not NVP, by",IF($AD$8="yes",(VLOOKUP(A1562,'Discount Lookup'!J:K,2)*G1562*(1-$AC$1786)*(1+$AC$1788)),IF(AD1562="NVP",(VLOOKUP(A1562,'Discount Lookup'!J:K,2)*G1562*(1-$AC$1786)*(1+$AC$1788)),IF(AD1562="free","re-planting",IF(G1562=0,"",IF($AD$8="",IF(AD1562="me","not NVP, by",IF(AD1562="",IF(G1562&gt;0,(VLOOKUP(A1562,'Discount Lookup'!J:K,2)*G1562*(1-$AC$1786)*(1+$AC$1788)),""),"")),"not NVP, by"))))))))</f>
        <v/>
      </c>
      <c r="AC1562" s="830"/>
      <c r="AD1562" s="375" t="str">
        <f t="shared" si="3700"/>
        <v/>
      </c>
      <c r="AE1562" s="833" t="str">
        <f t="shared" si="3772"/>
        <v/>
      </c>
      <c r="AF1562" s="833"/>
      <c r="AG1562" s="833"/>
      <c r="AH1562" s="91">
        <f>IF(AD1562="free",0,IF(AD1562="me",0,IF(G1562&gt;0,(VLOOKUP(A1562,'Discount Lookup'!J:K,2)*G1562),0)))</f>
        <v>0</v>
      </c>
      <c r="AI1562" s="92" t="str">
        <f t="shared" si="3771"/>
        <v/>
      </c>
      <c r="AJ1562" s="828" t="str">
        <f t="shared" si="3760"/>
        <v/>
      </c>
      <c r="AK1562" s="828"/>
      <c r="AL1562" s="313" t="str">
        <f t="shared" si="3793"/>
        <v/>
      </c>
      <c r="AM1562" s="312"/>
      <c r="AN1562" s="101"/>
      <c r="AO1562" s="101"/>
      <c r="AP1562" s="101"/>
      <c r="AQ1562" s="101"/>
      <c r="AR1562" s="101"/>
      <c r="AS1562" s="101"/>
      <c r="AT1562" s="101"/>
    </row>
    <row r="1563" spans="1:46" ht="12.95" customHeight="1">
      <c r="A1563" s="419" t="s">
        <v>817</v>
      </c>
      <c r="B1563" s="87" t="s">
        <v>669</v>
      </c>
      <c r="C1563" s="399" t="s">
        <v>136</v>
      </c>
      <c r="D1563" s="129" t="s">
        <v>94</v>
      </c>
      <c r="E1563" s="98">
        <v>11.95</v>
      </c>
      <c r="F1563" s="705" t="s">
        <v>1306</v>
      </c>
      <c r="G1563" s="357">
        <v>0</v>
      </c>
      <c r="H1563" s="704" t="str">
        <f t="shared" ref="H1563:H1565" si="3824">IF(G1563=0,"",IF(F1563="Qty=",IF(G1563=1,"plant","plants"),IF(F1563&gt;0.0001,"warranty","Error")))</f>
        <v/>
      </c>
      <c r="I1563" s="98">
        <f t="shared" ref="I1563:I1565" si="3825">IF(F1563="Qty=",(E1563*G1563),((E1563*(1-F1563))*G1563))</f>
        <v>0</v>
      </c>
      <c r="J1563" s="98">
        <f>IF(H1563="warranty",0,(I1563*($J$1782)))</f>
        <v>0</v>
      </c>
      <c r="K1563" s="831">
        <f t="shared" ref="K1563:K1565" si="3826">I1563+J1563</f>
        <v>0</v>
      </c>
      <c r="L1563" s="831"/>
      <c r="M1563" s="832" t="str">
        <f>IF($H$1784=0,"",IF(G1563=0,"",IF(F1563="Qty=",CONCATENATE("$",ROUND(K1563*(1-$H$1784),2)," with ",($H$1784*100),"% discount"),CONCATENATE("$",ROUND(K1563*(1-$H$1784),2)," with ",(($H$1784*100+F1563*100)-($H$1784*100*F1563)),IF(F1563&gt;0,"% discounts",IF($H$1781&gt;0,"% discounts","% discount"))))))</f>
        <v/>
      </c>
      <c r="N1563" s="832"/>
      <c r="O1563" s="832"/>
      <c r="P1563" s="832"/>
      <c r="Q1563" s="832"/>
      <c r="R1563" s="832"/>
      <c r="S1563" s="303">
        <f t="shared" ref="S1563" si="3827">E1563*G1563</f>
        <v>0</v>
      </c>
      <c r="T1563" s="541">
        <f>VLOOKUP(A1563,'Discount Lookup'!D:E,2,FALSE)*G1563</f>
        <v>0</v>
      </c>
      <c r="U1563" s="83">
        <f>VLOOKUP(A1563,'Discount Lookup'!G:H,2,FALSE)*G1563</f>
        <v>0</v>
      </c>
      <c r="V1563" s="100">
        <f>E1563*($J$1782)*G1563</f>
        <v>0</v>
      </c>
      <c r="W1563" s="100">
        <f t="shared" ref="W1563" si="3828">I1563</f>
        <v>0</v>
      </c>
      <c r="X1563" s="100" t="b">
        <f>IF(G1563&gt;0,IF(AD1563="me","",G1563))</f>
        <v>0</v>
      </c>
      <c r="Y1563" s="201"/>
      <c r="Z1563" s="829" t="str">
        <f t="shared" si="3759"/>
        <v/>
      </c>
      <c r="AA1563" s="829"/>
      <c r="AB1563" s="830" t="str">
        <f>IF(G1563=0,"",IF(AD1563="free","re-planting",IF(AD1563="me","not NVP, by",IF($AD$8="yes",(VLOOKUP(A1563,'Discount Lookup'!J:K,2)*G1563*(1-$AC$1786)*(1+$AC$1788)),IF(AD1563="NVP",(VLOOKUP(A1563,'Discount Lookup'!J:K,2)*G1563*(1-$AC$1786)*(1+$AC$1788)),IF(AD1563="free","re-planting",IF(G1563=0,"",IF($AD$8="",IF(AD1563="me","not NVP, by",IF(AD1563="",IF(G1563&gt;0,(VLOOKUP(A1563,'Discount Lookup'!J:K,2)*G1563*(1-$AC$1786)*(1+$AC$1788)),""),"")),"not NVP, by"))))))))</f>
        <v/>
      </c>
      <c r="AC1563" s="830"/>
      <c r="AD1563" s="375" t="str">
        <f t="shared" si="3700"/>
        <v/>
      </c>
      <c r="AE1563" s="833" t="str">
        <f>IF(G1563&gt;0,(CONCATENATE((G1563)," quantity, ",(A1563)," ",B1563)),"")</f>
        <v/>
      </c>
      <c r="AF1563" s="833"/>
      <c r="AG1563" s="833"/>
      <c r="AH1563" s="91">
        <f>IF(AD1563="free",0,IF(AD1563="me",0,IF(G1563&gt;0,(VLOOKUP(A1563,'Discount Lookup'!J:K,2)*G1563),0)))</f>
        <v>0</v>
      </c>
      <c r="AI1563" s="92" t="str">
        <f t="shared" si="3771"/>
        <v/>
      </c>
      <c r="AJ1563" s="828" t="str">
        <f t="shared" si="3760"/>
        <v/>
      </c>
      <c r="AK1563" s="828"/>
      <c r="AL1563" s="313" t="str">
        <f t="shared" si="3793"/>
        <v/>
      </c>
      <c r="AM1563" s="312"/>
      <c r="AN1563" s="101"/>
      <c r="AO1563" s="101"/>
      <c r="AP1563" s="101"/>
      <c r="AQ1563" s="101"/>
      <c r="AR1563" s="101"/>
      <c r="AS1563" s="101"/>
      <c r="AT1563" s="101"/>
    </row>
    <row r="1564" spans="1:46" ht="12.95" customHeight="1">
      <c r="A1564" s="419">
        <v>1</v>
      </c>
      <c r="B1564" s="87" t="s">
        <v>50</v>
      </c>
      <c r="C1564" s="399" t="s">
        <v>136</v>
      </c>
      <c r="D1564" s="129" t="s">
        <v>62</v>
      </c>
      <c r="E1564" s="98">
        <v>8.9499999999999993</v>
      </c>
      <c r="F1564" s="705" t="s">
        <v>1306</v>
      </c>
      <c r="G1564" s="357">
        <v>0</v>
      </c>
      <c r="H1564" s="704" t="str">
        <f t="shared" si="3824"/>
        <v/>
      </c>
      <c r="I1564" s="98">
        <f t="shared" si="3825"/>
        <v>0</v>
      </c>
      <c r="J1564" s="98">
        <f>IF(H1564="warranty",0,(I1564*($J$1782)))</f>
        <v>0</v>
      </c>
      <c r="K1564" s="831">
        <f t="shared" si="3826"/>
        <v>0</v>
      </c>
      <c r="L1564" s="831"/>
      <c r="M1564" s="832" t="str">
        <f>IF($H$1784=0,"",IF(G1564=0,"",IF(F1564="Qty=",CONCATENATE("$",ROUND(K1564*(1-$H$1784),2)," with ",($H$1784*100),"% discount"),CONCATENATE("$",ROUND(K1564*(1-$H$1784),2)," with ",(($H$1784*100+F1564*100)-($H$1784*100*F1564)),IF(F1564&gt;0,"% discounts",IF($H$1781&gt;0,"% discounts","% discount"))))))</f>
        <v/>
      </c>
      <c r="N1564" s="832"/>
      <c r="O1564" s="832"/>
      <c r="P1564" s="832"/>
      <c r="Q1564" s="832"/>
      <c r="R1564" s="832"/>
      <c r="S1564" s="303">
        <f t="shared" ref="S1564:S1565" si="3829">E1564*G1564</f>
        <v>0</v>
      </c>
      <c r="T1564" s="541">
        <f>VLOOKUP(A1564,'Discount Lookup'!D:E,2,FALSE)*G1564</f>
        <v>0</v>
      </c>
      <c r="U1564" s="83">
        <f>VLOOKUP(A1564,'Discount Lookup'!G:H,2,FALSE)*G1564</f>
        <v>0</v>
      </c>
      <c r="V1564" s="100">
        <f>E1564*($J$1782)*G1564</f>
        <v>0</v>
      </c>
      <c r="W1564" s="100">
        <f t="shared" ref="W1564:W1565" si="3830">I1564</f>
        <v>0</v>
      </c>
      <c r="X1564" s="100" t="b">
        <f>IF(G1564&gt;0,IF(AD1564="me","",G1564))</f>
        <v>0</v>
      </c>
      <c r="Y1564" s="201"/>
      <c r="Z1564" s="829" t="str">
        <f t="shared" si="3759"/>
        <v/>
      </c>
      <c r="AA1564" s="829"/>
      <c r="AB1564" s="830" t="str">
        <f>IF(G1564=0,"",IF(AD1564="free","re-planting",IF(AD1564="me","not NVP, by",IF($AD$8="yes",(VLOOKUP(A1564,'Discount Lookup'!J:K,2)*G1564*(1-$AC$1786)*(1+$AC$1788)),IF(AD1564="NVP",(VLOOKUP(A1564,'Discount Lookup'!J:K,2)*G1564*(1-$AC$1786)*(1+$AC$1788)),IF(AD1564="free","re-planting",IF(G1564=0,"",IF($AD$8="",IF(AD1564="me","not NVP, by",IF(AD1564="",IF(G1564&gt;0,(VLOOKUP(A1564,'Discount Lookup'!J:K,2)*G1564*(1-$AC$1786)*(1+$AC$1788)),""),"")),"not NVP, by"))))))))</f>
        <v/>
      </c>
      <c r="AC1564" s="830"/>
      <c r="AD1564" s="375" t="str">
        <f t="shared" si="3700"/>
        <v/>
      </c>
      <c r="AE1564" s="833" t="str">
        <f t="shared" si="3772"/>
        <v/>
      </c>
      <c r="AF1564" s="833"/>
      <c r="AG1564" s="833"/>
      <c r="AH1564" s="91">
        <f>IF(AD1564="free",0,IF(AD1564="me",0,IF(G1564&gt;0,(VLOOKUP(A1564,'Discount Lookup'!J:K,2)*G1564),0)))</f>
        <v>0</v>
      </c>
      <c r="AI1564" s="92" t="str">
        <f t="shared" si="3771"/>
        <v/>
      </c>
      <c r="AJ1564" s="828" t="str">
        <f t="shared" si="3760"/>
        <v/>
      </c>
      <c r="AK1564" s="828"/>
      <c r="AL1564" s="313" t="str">
        <f t="shared" si="3793"/>
        <v/>
      </c>
      <c r="AM1564" s="312"/>
      <c r="AN1564" s="101"/>
      <c r="AO1564" s="101"/>
      <c r="AP1564" s="101"/>
      <c r="AQ1564" s="101"/>
      <c r="AR1564" s="101"/>
      <c r="AS1564" s="101"/>
      <c r="AT1564" s="101"/>
    </row>
    <row r="1565" spans="1:46" ht="12.95" customHeight="1">
      <c r="A1565" s="419">
        <v>1</v>
      </c>
      <c r="B1565" s="87" t="s">
        <v>50</v>
      </c>
      <c r="C1565" s="399" t="s">
        <v>136</v>
      </c>
      <c r="D1565" s="129" t="s">
        <v>90</v>
      </c>
      <c r="E1565" s="98">
        <v>16.95</v>
      </c>
      <c r="F1565" s="705" t="s">
        <v>1306</v>
      </c>
      <c r="G1565" s="357">
        <v>0</v>
      </c>
      <c r="H1565" s="704" t="str">
        <f t="shared" si="3824"/>
        <v/>
      </c>
      <c r="I1565" s="98">
        <f t="shared" si="3825"/>
        <v>0</v>
      </c>
      <c r="J1565" s="98">
        <f>IF(H1565="warranty",0,(I1565*($J$1782)))</f>
        <v>0</v>
      </c>
      <c r="K1565" s="831">
        <f t="shared" si="3826"/>
        <v>0</v>
      </c>
      <c r="L1565" s="831"/>
      <c r="M1565" s="832" t="str">
        <f>IF($H$1784=0,"",IF(G1565=0,"",IF(F1565="Qty=",CONCATENATE("$",ROUND(K1565*(1-$H$1784),2)," with ",($H$1784*100),"% discount"),CONCATENATE("$",ROUND(K1565*(1-$H$1784),2)," with ",(($H$1784*100+F1565*100)-($H$1784*100*F1565)),IF(F1565&gt;0,"% discounts",IF($H$1781&gt;0,"% discounts","% discount"))))))</f>
        <v/>
      </c>
      <c r="N1565" s="832"/>
      <c r="O1565" s="832"/>
      <c r="P1565" s="832"/>
      <c r="Q1565" s="832"/>
      <c r="R1565" s="832"/>
      <c r="S1565" s="303">
        <f t="shared" si="3829"/>
        <v>0</v>
      </c>
      <c r="T1565" s="541">
        <f>VLOOKUP(A1565,'Discount Lookup'!D:E,2,FALSE)*G1565</f>
        <v>0</v>
      </c>
      <c r="U1565" s="83">
        <f>VLOOKUP(A1565,'Discount Lookup'!G:H,2,FALSE)*G1565</f>
        <v>0</v>
      </c>
      <c r="V1565" s="100">
        <f>E1565*($J$1782)*G1565</f>
        <v>0</v>
      </c>
      <c r="W1565" s="100">
        <f t="shared" si="3830"/>
        <v>0</v>
      </c>
      <c r="X1565" s="100" t="b">
        <f>IF(G1565&gt;0,IF(AD1565="me","",G1565))</f>
        <v>0</v>
      </c>
      <c r="Y1565" s="201"/>
      <c r="Z1565" s="829" t="str">
        <f t="shared" si="3759"/>
        <v/>
      </c>
      <c r="AA1565" s="829"/>
      <c r="AB1565" s="830" t="str">
        <f>IF(G1565=0,"",IF(AD1565="free","re-planting",IF(AD1565="me","not NVP, by",IF($AD$8="yes",(VLOOKUP(A1565,'Discount Lookup'!J:K,2)*G1565*(1-$AC$1786)*(1+$AC$1788)),IF(AD1565="NVP",(VLOOKUP(A1565,'Discount Lookup'!J:K,2)*G1565*(1-$AC$1786)*(1+$AC$1788)),IF(AD1565="free","re-planting",IF(G1565=0,"",IF($AD$8="",IF(AD1565="me","not NVP, by",IF(AD1565="",IF(G1565&gt;0,(VLOOKUP(A1565,'Discount Lookup'!J:K,2)*G1565*(1-$AC$1786)*(1+$AC$1788)),""),"")),"not NVP, by"))))))))</f>
        <v/>
      </c>
      <c r="AC1565" s="830"/>
      <c r="AD1565" s="375" t="str">
        <f t="shared" si="3700"/>
        <v/>
      </c>
      <c r="AE1565" s="833" t="str">
        <f t="shared" si="3772"/>
        <v/>
      </c>
      <c r="AF1565" s="833"/>
      <c r="AG1565" s="833"/>
      <c r="AH1565" s="91">
        <f>IF(AD1565="free",0,IF(AD1565="me",0,IF(G1565&gt;0,(VLOOKUP(A1565,'Discount Lookup'!J:K,2)*G1565),0)))</f>
        <v>0</v>
      </c>
      <c r="AI1565" s="92" t="str">
        <f t="shared" si="3771"/>
        <v/>
      </c>
      <c r="AJ1565" s="828" t="str">
        <f t="shared" si="3760"/>
        <v/>
      </c>
      <c r="AK1565" s="828"/>
      <c r="AL1565" s="313" t="str">
        <f t="shared" si="3793"/>
        <v/>
      </c>
      <c r="AM1565" s="312"/>
      <c r="AN1565" s="101"/>
      <c r="AO1565" s="101"/>
      <c r="AP1565" s="101"/>
      <c r="AQ1565" s="101"/>
      <c r="AR1565" s="101"/>
      <c r="AS1565" s="101"/>
      <c r="AT1565" s="101"/>
    </row>
    <row r="1566" spans="1:46" ht="12.95" customHeight="1">
      <c r="A1566" s="482"/>
      <c r="B1566" s="198" t="s">
        <v>826</v>
      </c>
      <c r="G1566" s="361"/>
      <c r="H1566" s="749"/>
      <c r="M1566" s="110"/>
      <c r="N1566" s="189"/>
      <c r="O1566" s="48"/>
      <c r="P1566" s="111"/>
      <c r="Q1566" s="111"/>
      <c r="R1566" s="48"/>
      <c r="S1566" s="82">
        <f>E1566*G1566</f>
        <v>0</v>
      </c>
      <c r="T1566" s="540"/>
      <c r="U1566" s="83"/>
      <c r="V1566" s="100" t="b">
        <f>IF(G1566&gt;0,IF(AD1566="me","",G1566))</f>
        <v>0</v>
      </c>
      <c r="W1566" s="100"/>
      <c r="X1566" s="100"/>
      <c r="Y1566" s="201"/>
      <c r="Z1566" s="829" t="str">
        <f t="shared" si="3759"/>
        <v/>
      </c>
      <c r="AA1566" s="829"/>
      <c r="AB1566" s="830" t="str">
        <f>IF(G1566=0,"",IF(AD1566="free","re-planting",IF(AD1566="me","not NVP, by",IF($AD$8="yes",(VLOOKUP(A1566,'Discount Lookup'!J:K,2)*G1566*(1-$AC$1786)*(1+$AC$1788)),IF(AD1566="NVP",(VLOOKUP(A1566,'Discount Lookup'!J:K,2)*G1566*(1-$AC$1786)*(1+$AC$1788)),IF(AD1566="free","re-planting",IF(G1566=0,"",IF($AD$8="",IF(AD1566="me","not NVP, by",IF(AD1566="",IF(G1566&gt;0,(VLOOKUP(A1566,'Discount Lookup'!J:K,2)*G1566*(1-$AC$1786)*(1+$AC$1788)),""),"")),"not NVP, by"))))))))</f>
        <v/>
      </c>
      <c r="AC1566" s="830"/>
      <c r="AD1566" s="375" t="str">
        <f t="shared" si="3700"/>
        <v/>
      </c>
      <c r="AE1566" s="833" t="str">
        <f t="shared" si="3772"/>
        <v/>
      </c>
      <c r="AF1566" s="833"/>
      <c r="AG1566" s="833"/>
      <c r="AH1566" s="91">
        <f>IF(AD1566="free",0,IF(AD1566="me",0,IF(G1566&gt;0,(VLOOKUP(A1566,'Discount Lookup'!J:K,2)*G1566),0)))</f>
        <v>0</v>
      </c>
      <c r="AI1566" s="92" t="str">
        <f t="shared" si="3771"/>
        <v/>
      </c>
      <c r="AJ1566" s="828" t="str">
        <f t="shared" si="3760"/>
        <v/>
      </c>
      <c r="AK1566" s="828"/>
      <c r="AL1566" s="313" t="str">
        <f t="shared" si="3793"/>
        <v/>
      </c>
      <c r="AM1566" s="312"/>
      <c r="AN1566" s="101"/>
      <c r="AO1566" s="101"/>
      <c r="AP1566" s="101"/>
      <c r="AQ1566" s="101"/>
      <c r="AR1566" s="101"/>
      <c r="AS1566" s="101"/>
      <c r="AT1566" s="101"/>
    </row>
    <row r="1567" spans="1:46" ht="12.95" customHeight="1">
      <c r="A1567" s="901" t="s">
        <v>1002</v>
      </c>
      <c r="B1567" s="902"/>
      <c r="C1567" s="902"/>
      <c r="D1567" s="902"/>
      <c r="E1567" s="902"/>
      <c r="F1567" s="902"/>
      <c r="G1567" s="902"/>
      <c r="H1567" s="776" t="s">
        <v>825</v>
      </c>
      <c r="I1567" s="88" t="s">
        <v>174</v>
      </c>
      <c r="J1567" s="86"/>
      <c r="K1567" s="603" t="s">
        <v>45</v>
      </c>
      <c r="L1567" s="601" t="s">
        <v>46</v>
      </c>
      <c r="M1567" s="86"/>
      <c r="N1567" s="87" t="s">
        <v>69</v>
      </c>
      <c r="O1567" s="87"/>
      <c r="P1567" s="87"/>
      <c r="Q1567" s="87"/>
      <c r="R1567" s="835" t="s">
        <v>49</v>
      </c>
      <c r="S1567" s="835"/>
      <c r="T1567" s="835"/>
      <c r="U1567" s="835"/>
      <c r="V1567" s="100" t="b">
        <f>IF(G1567&gt;0,IF(AD1567="me","",G1567))</f>
        <v>0</v>
      </c>
      <c r="W1567" s="100"/>
      <c r="X1567" s="100"/>
      <c r="Y1567" s="201"/>
      <c r="Z1567" s="829" t="str">
        <f t="shared" si="3759"/>
        <v/>
      </c>
      <c r="AA1567" s="829"/>
      <c r="AB1567" s="830" t="str">
        <f>IF(G1567=0,"",IF(AD1567="free","re-planting",IF(AD1567="me","not NVP, by",IF($AD$8="yes",(VLOOKUP(A1567,'Discount Lookup'!J:K,2)*G1567*(1-$AC$1786)*(1+$AC$1788)),IF(AD1567="NVP",(VLOOKUP(A1567,'Discount Lookup'!J:K,2)*G1567*(1-$AC$1786)*(1+$AC$1788)),IF(AD1567="free","re-planting",IF(G1567=0,"",IF($AD$8="",IF(AD1567="me","not NVP, by",IF(AD1567="",IF(G1567&gt;0,(VLOOKUP(A1567,'Discount Lookup'!J:K,2)*G1567*(1-$AC$1786)*(1+$AC$1788)),""),"")),"not NVP, by"))))))))</f>
        <v/>
      </c>
      <c r="AC1567" s="830"/>
      <c r="AD1567" s="375" t="str">
        <f t="shared" si="3700"/>
        <v/>
      </c>
      <c r="AE1567" s="833" t="str">
        <f>IF(G1567&gt;0,(CONCATENATE((G1567)," quantity, ",(A1567)," ",B1567)),"")</f>
        <v/>
      </c>
      <c r="AF1567" s="833"/>
      <c r="AG1567" s="833"/>
      <c r="AH1567" s="91" t="s">
        <v>109</v>
      </c>
      <c r="AI1567" s="92" t="str">
        <f t="shared" si="3771"/>
        <v/>
      </c>
      <c r="AJ1567" s="828" t="str">
        <f t="shared" si="3760"/>
        <v/>
      </c>
      <c r="AK1567" s="828"/>
      <c r="AL1567" s="313" t="str">
        <f t="shared" si="3793"/>
        <v/>
      </c>
      <c r="AM1567" s="312"/>
      <c r="AN1567" s="101"/>
      <c r="AO1567" s="101"/>
      <c r="AP1567" s="101"/>
      <c r="AQ1567" s="101"/>
      <c r="AR1567" s="101"/>
      <c r="AS1567" s="101"/>
      <c r="AT1567" s="101"/>
    </row>
    <row r="1568" spans="1:46" ht="12.95" customHeight="1">
      <c r="A1568" s="447">
        <v>1</v>
      </c>
      <c r="B1568" s="87" t="s">
        <v>50</v>
      </c>
      <c r="C1568" s="399" t="s">
        <v>136</v>
      </c>
      <c r="D1568" s="129" t="s">
        <v>90</v>
      </c>
      <c r="E1568" s="98">
        <v>20.95</v>
      </c>
      <c r="F1568" s="705" t="s">
        <v>1306</v>
      </c>
      <c r="G1568" s="357">
        <v>0</v>
      </c>
      <c r="H1568" s="704" t="str">
        <f t="shared" ref="H1568" si="3831">IF(G1568=0,"",IF(F1568="Qty=",IF(G1568=1,"plant","plants"),IF(F1568&gt;0.0001,"warranty","Error")))</f>
        <v/>
      </c>
      <c r="I1568" s="98">
        <f t="shared" ref="I1568" si="3832">IF(F1568="Qty=",(E1568*G1568),((E1568*(1-F1568))*G1568))</f>
        <v>0</v>
      </c>
      <c r="J1568" s="98">
        <f>IF(H1568="warranty",0,(I1568*($J$1782)))</f>
        <v>0</v>
      </c>
      <c r="K1568" s="831">
        <f t="shared" ref="K1568" si="3833">I1568+J1568</f>
        <v>0</v>
      </c>
      <c r="L1568" s="831"/>
      <c r="M1568" s="832" t="str">
        <f>IF($H$1784=0,"",IF(G1568=0,"",IF(F1568="Qty=",CONCATENATE("$",ROUND(K1568*(1-$H$1784),2)," with ",($H$1784*100),"% discount"),CONCATENATE("$",ROUND(K1568*(1-$H$1784),2)," with ",(($H$1784*100+F1568*100)-($H$1784*100*F1568)),IF(F1568&gt;0,"% discounts",IF($H$1781&gt;0,"% discounts","% discount"))))))</f>
        <v/>
      </c>
      <c r="N1568" s="832"/>
      <c r="O1568" s="832"/>
      <c r="P1568" s="832"/>
      <c r="Q1568" s="832"/>
      <c r="R1568" s="832"/>
      <c r="S1568" s="303">
        <f t="shared" ref="S1568" si="3834">E1568*G1568</f>
        <v>0</v>
      </c>
      <c r="T1568" s="541">
        <f>VLOOKUP(A1568,'Discount Lookup'!D:E,2,FALSE)*G1568</f>
        <v>0</v>
      </c>
      <c r="U1568" s="83">
        <f>VLOOKUP(A1568,'Discount Lookup'!G:H,2,FALSE)*G1568</f>
        <v>0</v>
      </c>
      <c r="V1568" s="100">
        <f>E1568*($J$1782)*G1568</f>
        <v>0</v>
      </c>
      <c r="W1568" s="100">
        <f t="shared" ref="W1568" si="3835">I1568</f>
        <v>0</v>
      </c>
      <c r="X1568" s="100" t="b">
        <f>IF(G1568&gt;0,IF(AD1568="me","",G1568))</f>
        <v>0</v>
      </c>
      <c r="Y1568" s="201"/>
      <c r="Z1568" s="829" t="str">
        <f t="shared" si="3759"/>
        <v/>
      </c>
      <c r="AA1568" s="829"/>
      <c r="AB1568" s="830" t="str">
        <f>IF(G1568=0,"",IF(AD1568="free","re-planting",IF(AD1568="me","not NVP, by",IF($AD$8="yes",(VLOOKUP(A1568,'Discount Lookup'!J:K,2)*G1568*(1-$AC$1786)*(1+$AC$1788)),IF(AD1568="NVP",(VLOOKUP(A1568,'Discount Lookup'!J:K,2)*G1568*(1-$AC$1786)*(1+$AC$1788)),IF(AD1568="free","re-planting",IF(G1568=0,"",IF($AD$8="",IF(AD1568="me","not NVP, by",IF(AD1568="",IF(G1568&gt;0,(VLOOKUP(A1568,'Discount Lookup'!J:K,2)*G1568*(1-$AC$1786)*(1+$AC$1788)),""),"")),"not NVP, by"))))))))</f>
        <v/>
      </c>
      <c r="AC1568" s="830"/>
      <c r="AD1568" s="375" t="str">
        <f t="shared" si="3700"/>
        <v/>
      </c>
      <c r="AE1568" s="833" t="str">
        <f>IF(G1568&gt;0,(CONCATENATE((G1568)," quantity, ",(A1568)," ",B1568)),"")</f>
        <v/>
      </c>
      <c r="AF1568" s="833"/>
      <c r="AG1568" s="833"/>
      <c r="AH1568" s="91" t="str">
        <f>IF(AD1568="free",0,IF(AD1568="me","",IF(G1568&gt;0,(VLOOKUP(A1568,'Discount Lookup'!J:K,2)*G1568),"")))</f>
        <v/>
      </c>
      <c r="AI1568" s="92" t="str">
        <f t="shared" si="3771"/>
        <v/>
      </c>
      <c r="AJ1568" s="828" t="str">
        <f t="shared" si="3760"/>
        <v/>
      </c>
      <c r="AK1568" s="828"/>
      <c r="AL1568" s="313" t="str">
        <f t="shared" si="3793"/>
        <v/>
      </c>
      <c r="AM1568" s="312"/>
      <c r="AN1568" s="101"/>
      <c r="AO1568" s="101"/>
      <c r="AP1568" s="101"/>
      <c r="AQ1568" s="101"/>
      <c r="AR1568" s="101"/>
      <c r="AS1568" s="101"/>
      <c r="AT1568" s="101"/>
    </row>
    <row r="1569" spans="1:46" ht="12.95" customHeight="1">
      <c r="A1569" s="506"/>
      <c r="B1569" s="198" t="s">
        <v>1003</v>
      </c>
      <c r="G1569" s="361"/>
      <c r="H1569" s="749"/>
      <c r="M1569" s="110"/>
      <c r="N1569" s="197" t="s">
        <v>600</v>
      </c>
      <c r="O1569" s="48"/>
      <c r="P1569" s="111"/>
      <c r="Q1569" s="111"/>
      <c r="R1569" s="48"/>
      <c r="S1569" s="82"/>
      <c r="T1569" s="540"/>
      <c r="U1569" s="83"/>
      <c r="V1569" s="100"/>
      <c r="W1569" s="100"/>
      <c r="X1569" s="100"/>
      <c r="Y1569" s="201"/>
      <c r="Z1569" s="829" t="str">
        <f t="shared" si="3759"/>
        <v/>
      </c>
      <c r="AA1569" s="829"/>
      <c r="AB1569" s="830" t="str">
        <f>IF(G1569=0,"",IF(AD1569="free","re-planting",IF(AD1569="me","not NVP, by",IF($AD$8="yes",(VLOOKUP(A1569,'Discount Lookup'!J:K,2)*G1569*(1-$AC$1786)*(1+$AC$1788)),IF(AD1569="NVP",(VLOOKUP(A1569,'Discount Lookup'!J:K,2)*G1569*(1-$AC$1786)*(1+$AC$1788)),IF(AD1569="free","re-planting",IF(G1569=0,"",IF($AD$8="",IF(AD1569="me","not NVP, by",IF(AD1569="",IF(G1569&gt;0,(VLOOKUP(A1569,'Discount Lookup'!J:K,2)*G1569*(1-$AC$1786)*(1+$AC$1788)),""),"")),"not NVP, by"))))))))</f>
        <v/>
      </c>
      <c r="AC1569" s="830"/>
      <c r="AD1569" s="375" t="str">
        <f t="shared" si="3700"/>
        <v/>
      </c>
      <c r="AE1569" s="833" t="str">
        <f>IF(G1569&gt;0,(CONCATENATE((G1569)," quantity, ",(A1569)," ",B1569)),"")</f>
        <v/>
      </c>
      <c r="AF1569" s="833"/>
      <c r="AG1569" s="833"/>
      <c r="AH1569" s="91" t="s">
        <v>109</v>
      </c>
      <c r="AI1569" s="92" t="str">
        <f t="shared" si="3771"/>
        <v/>
      </c>
      <c r="AJ1569" s="828" t="str">
        <f t="shared" si="3760"/>
        <v/>
      </c>
      <c r="AK1569" s="828"/>
      <c r="AL1569" s="313" t="str">
        <f t="shared" si="3793"/>
        <v/>
      </c>
      <c r="AM1569" s="312"/>
      <c r="AN1569" s="101"/>
      <c r="AO1569" s="101"/>
      <c r="AP1569" s="101"/>
      <c r="AQ1569" s="101"/>
      <c r="AR1569" s="101"/>
      <c r="AS1569" s="101"/>
      <c r="AT1569" s="101"/>
    </row>
    <row r="1570" spans="1:46" ht="12.95" customHeight="1">
      <c r="A1570" s="920" t="s">
        <v>1321</v>
      </c>
      <c r="B1570" s="921"/>
      <c r="C1570" s="921"/>
      <c r="D1570" s="921"/>
      <c r="E1570" s="921"/>
      <c r="F1570" s="921"/>
      <c r="G1570" s="921"/>
      <c r="H1570" s="776" t="s">
        <v>825</v>
      </c>
      <c r="I1570" s="88" t="s">
        <v>174</v>
      </c>
      <c r="J1570" s="86"/>
      <c r="K1570" s="603" t="s">
        <v>45</v>
      </c>
      <c r="L1570" s="634" t="s">
        <v>46</v>
      </c>
      <c r="M1570" s="86"/>
      <c r="N1570" s="87" t="s">
        <v>128</v>
      </c>
      <c r="O1570" s="87"/>
      <c r="P1570" s="87"/>
      <c r="Q1570" s="88"/>
      <c r="R1570" s="835" t="s">
        <v>49</v>
      </c>
      <c r="S1570" s="835"/>
      <c r="T1570" s="835"/>
      <c r="U1570" s="835"/>
      <c r="V1570" s="100" t="b">
        <f>IF(G1570&gt;0,IF(AD1570="me","",G1570))</f>
        <v>0</v>
      </c>
      <c r="W1570" s="100"/>
      <c r="X1570" s="100"/>
      <c r="Y1570" s="201"/>
      <c r="Z1570" s="829" t="str">
        <f>IF(G1570=0,"",IF(AD1570="me","",IF($AD$8="me","",IF(AD1570="free","warranty",IF($AD$8="yes","NVP planting:","to NVP install:")))))</f>
        <v/>
      </c>
      <c r="AA1570" s="829"/>
      <c r="AB1570" s="830" t="str">
        <f>IF(G1570=0,"",IF(AD1570="free","re-planting",IF(AD1570="me","not NVP, by",IF($AD$8="yes",(VLOOKUP(A1570,'Discount Lookup'!J:K,2)*G1570*(1-$AC$1786)*(1+$AC$1788)),IF(AD1570="NVP",(VLOOKUP(A1570,'Discount Lookup'!J:K,2)*G1570*(1-$AC$1786)*(1+$AC$1788)),IF(AD1570="free","re-planting",IF(G1570=0,"",IF($AD$8="",IF(AD1570="me","not NVP, by",IF(AD1570="",IF(G1570&gt;0,(VLOOKUP(A1570,'Discount Lookup'!J:K,2)*G1570*(1-$AC$1786)*(1+$AC$1788)),""),"")),"not NVP, by"))))))))</f>
        <v/>
      </c>
      <c r="AC1570" s="830"/>
      <c r="AD1570" s="375" t="str">
        <f>IF(G1570=0,"",IF($AD$8="me","me",IF(H1570="warranty","free",IF($AD$8="yes","NVP",""))))</f>
        <v/>
      </c>
      <c r="AE1570" s="833" t="str">
        <f t="shared" ref="AE1570:AE1572" si="3836">IF(G1570&gt;0,(CONCATENATE((G1570)," quantity, ",(A1570)," ",B1570)),"")</f>
        <v/>
      </c>
      <c r="AF1570" s="833"/>
      <c r="AG1570" s="833"/>
      <c r="AH1570" s="91">
        <f>IF(AD1570="free",0,IF(AD1570="me",0,IF(G1570&gt;0,(VLOOKUP(A1570,'Discount Lookup'!J:K,2)*G1570),0)))</f>
        <v>0</v>
      </c>
      <c r="AI1570" s="92" t="str">
        <f t="shared" si="3771"/>
        <v/>
      </c>
      <c r="AJ1570" s="828" t="str">
        <f t="shared" ref="AJ1570:AJ1572" si="3837">IF(G1570=0,"",IF(AD1570="me","  delivery-only",CONCATENATE(" $",ROUND(AI1570/G1570,2)," each")))</f>
        <v/>
      </c>
      <c r="AK1570" s="828"/>
      <c r="AL1570" s="313" t="str">
        <f t="shared" si="3793"/>
        <v/>
      </c>
      <c r="AM1570" s="312"/>
      <c r="AN1570" s="101"/>
      <c r="AO1570" s="101"/>
      <c r="AP1570" s="101"/>
      <c r="AQ1570" s="101"/>
      <c r="AR1570" s="101"/>
      <c r="AS1570" s="101"/>
      <c r="AT1570" s="101"/>
    </row>
    <row r="1571" spans="1:46" ht="12.95" customHeight="1">
      <c r="A1571" s="419">
        <v>1</v>
      </c>
      <c r="B1571" s="87" t="s">
        <v>50</v>
      </c>
      <c r="C1571" s="399" t="s">
        <v>1587</v>
      </c>
      <c r="D1571" s="129" t="s">
        <v>87</v>
      </c>
      <c r="E1571" s="98">
        <v>13.95</v>
      </c>
      <c r="F1571" s="705" t="s">
        <v>1306</v>
      </c>
      <c r="G1571" s="357">
        <v>0</v>
      </c>
      <c r="H1571" s="704" t="str">
        <f t="shared" ref="H1571" si="3838">IF(G1571=0,"",IF(F1571="Qty=",IF(G1571=1,"plant","plants"),IF(F1571&gt;0.0001,"warranty","Error")))</f>
        <v/>
      </c>
      <c r="I1571" s="98">
        <f t="shared" ref="I1571" si="3839">IF(F1571="Qty=",(E1571*G1571),((E1571*(1-F1571))*G1571))</f>
        <v>0</v>
      </c>
      <c r="J1571" s="98">
        <f>IF(H1571="warranty",0,(I1571*($J$1782)))</f>
        <v>0</v>
      </c>
      <c r="K1571" s="831">
        <f t="shared" ref="K1571" si="3840">I1571+J1571</f>
        <v>0</v>
      </c>
      <c r="L1571" s="831"/>
      <c r="M1571" s="832" t="str">
        <f>IF($H$1784=0,"",IF(G1571=0,"",IF(F1571="Qty=",CONCATENATE("$",ROUND(K1571*(1-$H$1784),2)," with ",($H$1784*100),"% discount"),CONCATENATE("$",ROUND(K1571*(1-$H$1784),2)," with ",(($H$1784*100+F1571*100)-($H$1784*100*F1571)),IF(F1571&gt;0,"% discounts",IF($H$1781&gt;0,"% discounts","% discount"))))))</f>
        <v/>
      </c>
      <c r="N1571" s="832"/>
      <c r="O1571" s="832"/>
      <c r="P1571" s="832"/>
      <c r="Q1571" s="832"/>
      <c r="R1571" s="832"/>
      <c r="S1571" s="303">
        <f t="shared" ref="S1571" si="3841">E1571*G1571</f>
        <v>0</v>
      </c>
      <c r="T1571" s="541">
        <f>VLOOKUP(A1571,'Discount Lookup'!D:E,2,FALSE)*G1571</f>
        <v>0</v>
      </c>
      <c r="U1571" s="83">
        <f>VLOOKUP(A1571,'Discount Lookup'!G:H,2,FALSE)*G1571</f>
        <v>0</v>
      </c>
      <c r="V1571" s="100">
        <f>E1571*($J$1782)*G1571</f>
        <v>0</v>
      </c>
      <c r="W1571" s="100">
        <f t="shared" ref="W1571" si="3842">I1571</f>
        <v>0</v>
      </c>
      <c r="X1571" s="100" t="b">
        <f>IF(G1571&gt;0,IF(AD1571="me","",G1571))</f>
        <v>0</v>
      </c>
      <c r="Y1571" s="201"/>
      <c r="Z1571" s="829" t="str">
        <f>IF(G1571=0,"",IF(AD1571="me","",IF($AD$8="me","",IF(AD1571="free","warranty",IF($AD$8="yes","NVP planting:","to NVP install:")))))</f>
        <v/>
      </c>
      <c r="AA1571" s="829"/>
      <c r="AB1571" s="830" t="str">
        <f>IF(G1571=0,"",IF(AD1571="free","re-planting",IF(AD1571="me","not NVP, by",IF($AD$8="yes",(VLOOKUP(A1571,'Discount Lookup'!J:K,2)*G1571*(1-$AC$1786)*(1+$AC$1788)),IF(AD1571="NVP",(VLOOKUP(A1571,'Discount Lookup'!J:K,2)*G1571*(1-$AC$1786)*(1+$AC$1788)),IF(AD1571="free","re-planting",IF(G1571=0,"",IF($AD$8="",IF(AD1571="me","not NVP, by",IF(AD1571="",IF(G1571&gt;0,(VLOOKUP(A1571,'Discount Lookup'!J:K,2)*G1571*(1-$AC$1786)*(1+$AC$1788)),""),"")),"not NVP, by"))))))))</f>
        <v/>
      </c>
      <c r="AC1571" s="830"/>
      <c r="AD1571" s="375" t="str">
        <f>IF(G1571=0,"",IF($AD$8="me","me",IF(H1571="warranty","free",IF($AD$8="yes","NVP",""))))</f>
        <v/>
      </c>
      <c r="AE1571" s="833" t="str">
        <f t="shared" si="3836"/>
        <v/>
      </c>
      <c r="AF1571" s="833"/>
      <c r="AG1571" s="833"/>
      <c r="AH1571" s="91">
        <f>IF(AD1571="free",0,IF(AD1571="me",0,IF(G1571&gt;0,(VLOOKUP(A1571,'Discount Lookup'!J:K,2)*G1571),0)))</f>
        <v>0</v>
      </c>
      <c r="AI1571" s="92" t="str">
        <f t="shared" si="3771"/>
        <v/>
      </c>
      <c r="AJ1571" s="828" t="str">
        <f t="shared" si="3837"/>
        <v/>
      </c>
      <c r="AK1571" s="828"/>
      <c r="AL1571" s="313" t="str">
        <f t="shared" si="3793"/>
        <v/>
      </c>
      <c r="AM1571" s="312"/>
      <c r="AN1571" s="101"/>
      <c r="AO1571" s="101"/>
      <c r="AP1571" s="101"/>
      <c r="AQ1571" s="101"/>
      <c r="AR1571" s="101"/>
      <c r="AS1571" s="101"/>
      <c r="AT1571" s="101"/>
    </row>
    <row r="1572" spans="1:46" ht="12.95" customHeight="1">
      <c r="A1572" s="470"/>
      <c r="B1572" s="198" t="s">
        <v>1322</v>
      </c>
      <c r="C1572" s="213"/>
      <c r="D1572" s="180"/>
      <c r="E1572" s="214"/>
      <c r="F1572" s="724"/>
      <c r="G1572" s="365"/>
      <c r="H1572" s="744"/>
      <c r="I1572" s="214"/>
      <c r="J1572" s="214"/>
      <c r="K1572" s="623"/>
      <c r="L1572" s="623"/>
      <c r="M1572" s="212"/>
      <c r="N1572" s="122" t="s">
        <v>176</v>
      </c>
      <c r="O1572" s="215"/>
      <c r="P1572" s="216"/>
      <c r="Q1572" s="216"/>
      <c r="R1572" s="217"/>
      <c r="S1572" s="218"/>
      <c r="T1572" s="548"/>
      <c r="U1572" s="217"/>
      <c r="V1572" s="100" t="b">
        <f>IF(G1572&gt;0,IF(AD1572="me","",G1572))</f>
        <v>0</v>
      </c>
      <c r="W1572" s="100"/>
      <c r="X1572" s="100"/>
      <c r="Y1572" s="201"/>
      <c r="Z1572" s="829" t="str">
        <f>IF(G1572=0,"",IF(AD1572="me","",IF($AD$8="me","",IF(AD1572="free","warranty",IF($AD$8="yes","NVP planting:","to NVP install:")))))</f>
        <v/>
      </c>
      <c r="AA1572" s="829"/>
      <c r="AB1572" s="830" t="str">
        <f>IF(G1572=0,"",IF(AD1572="free","re-planting",IF(AD1572="me","not NVP, by",IF($AD$8="yes",(VLOOKUP(A1572,'Discount Lookup'!J:K,2)*G1572*(1-$AC$1786)*(1+$AC$1788)),IF(AD1572="NVP",(VLOOKUP(A1572,'Discount Lookup'!J:K,2)*G1572*(1-$AC$1786)*(1+$AC$1788)),IF(AD1572="free","re-planting",IF(G1572=0,"",IF($AD$8="",IF(AD1572="me","not NVP, by",IF(AD1572="",IF(G1572&gt;0,(VLOOKUP(A1572,'Discount Lookup'!J:K,2)*G1572*(1-$AC$1786)*(1+$AC$1788)),""),"")),"not NVP, by"))))))))</f>
        <v/>
      </c>
      <c r="AC1572" s="830"/>
      <c r="AD1572" s="375" t="str">
        <f>IF(G1572=0,"",IF($AD$8="me","me",IF(H1572="warranty","free",IF($AD$8="yes","NVP",""))))</f>
        <v/>
      </c>
      <c r="AE1572" s="833" t="str">
        <f t="shared" si="3836"/>
        <v/>
      </c>
      <c r="AF1572" s="833"/>
      <c r="AG1572" s="833"/>
      <c r="AH1572" s="91">
        <f>IF(AD1572="free",0,IF(AD1572="me",0,IF(G1572&gt;0,(VLOOKUP(A1572,'Discount Lookup'!J:K,2)*G1572),0)))</f>
        <v>0</v>
      </c>
      <c r="AI1572" s="92" t="str">
        <f t="shared" si="3771"/>
        <v/>
      </c>
      <c r="AJ1572" s="828" t="str">
        <f t="shared" si="3837"/>
        <v/>
      </c>
      <c r="AK1572" s="828"/>
      <c r="AL1572" s="313" t="str">
        <f t="shared" si="3793"/>
        <v/>
      </c>
      <c r="AM1572" s="312"/>
      <c r="AN1572" s="101"/>
      <c r="AO1572" s="101"/>
      <c r="AP1572" s="101"/>
      <c r="AQ1572" s="101"/>
      <c r="AR1572" s="101"/>
      <c r="AS1572" s="101"/>
      <c r="AT1572" s="101"/>
    </row>
    <row r="1573" spans="1:46" ht="12.95" customHeight="1">
      <c r="A1573" s="920" t="s">
        <v>827</v>
      </c>
      <c r="B1573" s="921"/>
      <c r="C1573" s="921"/>
      <c r="D1573" s="921"/>
      <c r="E1573" s="921"/>
      <c r="F1573" s="921"/>
      <c r="G1573" s="921"/>
      <c r="H1573" s="776" t="s">
        <v>828</v>
      </c>
      <c r="I1573" s="88" t="s">
        <v>174</v>
      </c>
      <c r="J1573" s="86"/>
      <c r="K1573" s="603" t="s">
        <v>45</v>
      </c>
      <c r="L1573" s="601" t="s">
        <v>46</v>
      </c>
      <c r="M1573" s="86"/>
      <c r="N1573" s="87" t="s">
        <v>128</v>
      </c>
      <c r="O1573" s="87"/>
      <c r="P1573" s="87"/>
      <c r="Q1573" s="87"/>
      <c r="R1573" s="86"/>
      <c r="S1573" s="125"/>
      <c r="T1573" s="543"/>
      <c r="U1573" s="89" t="s">
        <v>48</v>
      </c>
      <c r="V1573" s="100" t="b">
        <f>IF(G1573&gt;0,IF(AD1573="me","",G1573))</f>
        <v>0</v>
      </c>
      <c r="W1573" s="100"/>
      <c r="X1573" s="100"/>
      <c r="Y1573" s="201"/>
      <c r="Z1573" s="829" t="str">
        <f t="shared" si="3759"/>
        <v/>
      </c>
      <c r="AA1573" s="829"/>
      <c r="AB1573" s="830" t="str">
        <f>IF(G1573=0,"",IF(AD1573="free","re-planting",IF(AD1573="me","not NVP, by",IF($AD$8="yes",(VLOOKUP(A1573,'Discount Lookup'!J:K,2)*G1573*(1-$AC$1786)*(1+$AC$1788)),IF(AD1573="NVP",(VLOOKUP(A1573,'Discount Lookup'!J:K,2)*G1573*(1-$AC$1786)*(1+$AC$1788)),IF(AD1573="free","re-planting",IF(G1573=0,"",IF($AD$8="",IF(AD1573="me","not NVP, by",IF(AD1573="",IF(G1573&gt;0,(VLOOKUP(A1573,'Discount Lookup'!J:K,2)*G1573*(1-$AC$1786)*(1+$AC$1788)),""),"")),"not NVP, by"))))))))</f>
        <v/>
      </c>
      <c r="AC1573" s="830"/>
      <c r="AD1573" s="375" t="str">
        <f t="shared" ref="AD1573:AD1642" si="3843">IF(G1573=0,"",IF($AD$8="me","me",IF(H1573="warranty","free",IF($AD$8="yes","NVP",""))))</f>
        <v/>
      </c>
      <c r="AE1573" s="833" t="str">
        <f t="shared" si="3772"/>
        <v/>
      </c>
      <c r="AF1573" s="833"/>
      <c r="AG1573" s="833"/>
      <c r="AH1573" s="91">
        <f>IF(AD1573="free",0,IF(AD1573="me",0,IF(G1573&gt;0,(VLOOKUP(A1573,'Discount Lookup'!J:K,2)*G1573),0)))</f>
        <v>0</v>
      </c>
      <c r="AI1573" s="92" t="str">
        <f t="shared" si="3771"/>
        <v/>
      </c>
      <c r="AJ1573" s="828" t="str">
        <f t="shared" si="3760"/>
        <v/>
      </c>
      <c r="AK1573" s="828"/>
      <c r="AL1573" s="313" t="str">
        <f t="shared" si="3793"/>
        <v/>
      </c>
      <c r="AM1573" s="312"/>
      <c r="AN1573" s="101"/>
      <c r="AO1573" s="101"/>
      <c r="AP1573" s="101"/>
      <c r="AQ1573" s="101"/>
      <c r="AR1573" s="101"/>
      <c r="AS1573" s="101"/>
      <c r="AT1573" s="101"/>
    </row>
    <row r="1574" spans="1:46" ht="12.95" customHeight="1">
      <c r="A1574" s="419" t="s">
        <v>808</v>
      </c>
      <c r="B1574" s="87" t="s">
        <v>809</v>
      </c>
      <c r="C1574" s="399" t="s">
        <v>1525</v>
      </c>
      <c r="D1574" s="129" t="s">
        <v>90</v>
      </c>
      <c r="E1574" s="98">
        <v>97.95</v>
      </c>
      <c r="F1574" s="705" t="s">
        <v>1306</v>
      </c>
      <c r="G1574" s="357">
        <v>0</v>
      </c>
      <c r="H1574" s="704" t="str">
        <f t="shared" ref="H1574" si="3844">IF(G1574=0,"",IF(F1574="Qty=",IF(G1574=1,"plant","plants"),IF(F1574&gt;0.0001,"warranty","Error")))</f>
        <v/>
      </c>
      <c r="I1574" s="98">
        <f t="shared" ref="I1574" si="3845">IF(F1574="Qty=",(E1574*G1574),((E1574*(1-F1574))*G1574))</f>
        <v>0</v>
      </c>
      <c r="J1574" s="98">
        <f>IF(H1574="warranty",0,(I1574*($J$1782)))</f>
        <v>0</v>
      </c>
      <c r="K1574" s="831">
        <f t="shared" ref="K1574" si="3846">I1574+J1574</f>
        <v>0</v>
      </c>
      <c r="L1574" s="831"/>
      <c r="M1574" s="832" t="str">
        <f>IF($H$1784=0,"",IF(G1574=0,"",IF(F1574="Qty=",CONCATENATE("$",ROUND(K1574*(1-$H$1784),2)," with ",($H$1784*100),"% discount"),CONCATENATE("$",ROUND(K1574*(1-$H$1784),2)," with ",(($H$1784*100+F1574*100)-($H$1784*100*F1574)),IF(F1574&gt;0,"% discounts",IF($H$1781&gt;0,"% discounts","% discount"))))))</f>
        <v/>
      </c>
      <c r="N1574" s="832"/>
      <c r="O1574" s="832"/>
      <c r="P1574" s="832"/>
      <c r="Q1574" s="832"/>
      <c r="R1574" s="832"/>
      <c r="S1574" s="303">
        <f t="shared" ref="S1574" si="3847">E1574*G1574</f>
        <v>0</v>
      </c>
      <c r="T1574" s="541">
        <f>VLOOKUP(A1574,'Discount Lookup'!D:E,2,FALSE)*G1574</f>
        <v>0</v>
      </c>
      <c r="U1574" s="83">
        <f>VLOOKUP(A1574,'Discount Lookup'!G:H,2,FALSE)*G1574</f>
        <v>0</v>
      </c>
      <c r="V1574" s="100">
        <f>E1574*($J$1782)*G1574</f>
        <v>0</v>
      </c>
      <c r="W1574" s="100">
        <f t="shared" ref="W1574" si="3848">I1574</f>
        <v>0</v>
      </c>
      <c r="X1574" s="100" t="b">
        <f>IF(G1574&gt;0,IF(AD1574="me","",G1574))</f>
        <v>0</v>
      </c>
      <c r="Y1574" s="201"/>
      <c r="Z1574" s="829" t="str">
        <f t="shared" si="3759"/>
        <v/>
      </c>
      <c r="AA1574" s="829"/>
      <c r="AB1574" s="830" t="str">
        <f>IF(G1574=0,"",IF(AD1574="free","re-planting",IF(AD1574="me","not NVP, by",IF($AD$8="yes",(VLOOKUP(A1574,'Discount Lookup'!J:K,2)*G1574*(1-$AC$1786)*(1+$AC$1788)),IF(AD1574="NVP",(VLOOKUP(A1574,'Discount Lookup'!J:K,2)*G1574*(1-$AC$1786)*(1+$AC$1788)),IF(AD1574="free","re-planting",IF(G1574=0,"",IF($AD$8="",IF(AD1574="me","not NVP, by",IF(AD1574="",IF(G1574&gt;0,(VLOOKUP(A1574,'Discount Lookup'!J:K,2)*G1574*(1-$AC$1786)*(1+$AC$1788)),""),"")),"not NVP, by"))))))))</f>
        <v/>
      </c>
      <c r="AC1574" s="830"/>
      <c r="AD1574" s="375" t="str">
        <f t="shared" si="3843"/>
        <v/>
      </c>
      <c r="AE1574" s="833" t="str">
        <f t="shared" si="3772"/>
        <v/>
      </c>
      <c r="AF1574" s="833"/>
      <c r="AG1574" s="833"/>
      <c r="AH1574" s="91">
        <f>IF(AD1574="free",0,IF(AD1574="me",0,IF(G1574&gt;0,(VLOOKUP(A1574,'Discount Lookup'!J:K,2)*G1574),0)))</f>
        <v>0</v>
      </c>
      <c r="AI1574" s="92" t="str">
        <f t="shared" si="3771"/>
        <v/>
      </c>
      <c r="AJ1574" s="828" t="str">
        <f t="shared" si="3760"/>
        <v/>
      </c>
      <c r="AK1574" s="828"/>
      <c r="AL1574" s="313" t="str">
        <f t="shared" si="3793"/>
        <v/>
      </c>
      <c r="AM1574" s="312"/>
      <c r="AN1574" s="101"/>
      <c r="AO1574" s="101"/>
      <c r="AP1574" s="101"/>
      <c r="AQ1574" s="101"/>
      <c r="AR1574" s="101"/>
      <c r="AS1574" s="101"/>
      <c r="AT1574" s="101"/>
    </row>
    <row r="1575" spans="1:46" ht="12.95" customHeight="1">
      <c r="A1575" s="482"/>
      <c r="B1575" s="198" t="s">
        <v>829</v>
      </c>
      <c r="C1575" s="147"/>
      <c r="D1575" s="147"/>
      <c r="E1575" s="169"/>
      <c r="F1575" s="717"/>
      <c r="G1575" s="363"/>
      <c r="H1575" s="749"/>
      <c r="I1575" s="169"/>
      <c r="J1575" s="169"/>
      <c r="K1575" s="586"/>
      <c r="L1575" s="586"/>
      <c r="M1575" s="212"/>
      <c r="N1575" s="145"/>
      <c r="O1575" s="123"/>
      <c r="P1575" s="124"/>
      <c r="Q1575" s="124"/>
      <c r="R1575" s="83"/>
      <c r="S1575" s="82">
        <f>E1575*G1575</f>
        <v>0</v>
      </c>
      <c r="T1575" s="540"/>
      <c r="U1575" s="83"/>
      <c r="V1575" s="100" t="b">
        <f>IF(G1575&gt;0,IF(AD1575="me","",G1575))</f>
        <v>0</v>
      </c>
      <c r="W1575" s="100"/>
      <c r="X1575" s="100"/>
      <c r="Y1575" s="201"/>
      <c r="Z1575" s="829" t="str">
        <f t="shared" si="3759"/>
        <v/>
      </c>
      <c r="AA1575" s="829"/>
      <c r="AB1575" s="830" t="str">
        <f>IF(G1575=0,"",IF(AD1575="free","re-planting",IF(AD1575="me","not NVP, by",IF($AD$8="yes",(VLOOKUP(A1575,'Discount Lookup'!J:K,2)*G1575*(1-$AC$1786)*(1+$AC$1788)),IF(AD1575="NVP",(VLOOKUP(A1575,'Discount Lookup'!J:K,2)*G1575*(1-$AC$1786)*(1+$AC$1788)),IF(AD1575="free","re-planting",IF(G1575=0,"",IF($AD$8="",IF(AD1575="me","not NVP, by",IF(AD1575="",IF(G1575&gt;0,(VLOOKUP(A1575,'Discount Lookup'!J:K,2)*G1575*(1-$AC$1786)*(1+$AC$1788)),""),"")),"not NVP, by"))))))))</f>
        <v/>
      </c>
      <c r="AC1575" s="830"/>
      <c r="AD1575" s="375" t="str">
        <f t="shared" si="3843"/>
        <v/>
      </c>
      <c r="AE1575" s="833" t="str">
        <f t="shared" si="3772"/>
        <v/>
      </c>
      <c r="AF1575" s="833"/>
      <c r="AG1575" s="833"/>
      <c r="AH1575" s="91">
        <f>IF(AD1575="free",0,IF(AD1575="me",0,IF(G1575&gt;0,(VLOOKUP(A1575,'Discount Lookup'!J:K,2)*G1575),0)))</f>
        <v>0</v>
      </c>
      <c r="AI1575" s="92" t="str">
        <f t="shared" si="3771"/>
        <v/>
      </c>
      <c r="AJ1575" s="828" t="str">
        <f t="shared" si="3760"/>
        <v/>
      </c>
      <c r="AK1575" s="828"/>
      <c r="AL1575" s="313" t="str">
        <f t="shared" si="3793"/>
        <v/>
      </c>
      <c r="AM1575" s="312"/>
      <c r="AN1575" s="101"/>
      <c r="AO1575" s="101"/>
      <c r="AP1575" s="101"/>
      <c r="AQ1575" s="101"/>
      <c r="AR1575" s="101"/>
      <c r="AS1575" s="101"/>
      <c r="AT1575" s="101"/>
    </row>
    <row r="1576" spans="1:46" ht="12.95" customHeight="1">
      <c r="A1576" s="929" t="s">
        <v>1575</v>
      </c>
      <c r="B1576" s="902"/>
      <c r="C1576" s="902"/>
      <c r="D1576" s="902"/>
      <c r="E1576" s="902"/>
      <c r="F1576" s="902"/>
      <c r="G1576" s="902"/>
      <c r="H1576" s="776" t="s">
        <v>828</v>
      </c>
      <c r="I1576" s="88" t="s">
        <v>79</v>
      </c>
      <c r="J1576" s="86"/>
      <c r="K1576" s="603" t="s">
        <v>45</v>
      </c>
      <c r="L1576" s="601" t="s">
        <v>46</v>
      </c>
      <c r="M1576" s="86"/>
      <c r="N1576" s="87" t="s">
        <v>128</v>
      </c>
      <c r="O1576" s="87"/>
      <c r="P1576" s="87"/>
      <c r="Q1576" s="87"/>
      <c r="R1576" s="86"/>
      <c r="S1576" s="125"/>
      <c r="T1576" s="543"/>
      <c r="U1576" s="112"/>
      <c r="V1576" s="100" t="b">
        <f>IF(G1576&gt;0,IF(AD1576="me","",G1576))</f>
        <v>0</v>
      </c>
      <c r="W1576" s="100"/>
      <c r="X1576" s="100"/>
      <c r="Y1576" s="201"/>
      <c r="Z1576" s="829" t="str">
        <f t="shared" si="3759"/>
        <v/>
      </c>
      <c r="AA1576" s="829"/>
      <c r="AB1576" s="830" t="str">
        <f>IF(G1576=0,"",IF(AD1576="free","re-planting",IF(AD1576="me","not NVP, by",IF($AD$8="yes",(VLOOKUP(A1576,'Discount Lookup'!J:K,2)*G1576*(1-$AC$1786)*(1+$AC$1788)),IF(AD1576="NVP",(VLOOKUP(A1576,'Discount Lookup'!J:K,2)*G1576*(1-$AC$1786)*(1+$AC$1788)),IF(AD1576="free","re-planting",IF(G1576=0,"",IF($AD$8="",IF(AD1576="me","not NVP, by",IF(AD1576="",IF(G1576&gt;0,(VLOOKUP(A1576,'Discount Lookup'!J:K,2)*G1576*(1-$AC$1786)*(1+$AC$1788)),""),"")),"not NVP, by"))))))))</f>
        <v/>
      </c>
      <c r="AC1576" s="830"/>
      <c r="AD1576" s="375" t="str">
        <f t="shared" si="3843"/>
        <v/>
      </c>
      <c r="AE1576" s="833" t="str">
        <f t="shared" si="3772"/>
        <v/>
      </c>
      <c r="AF1576" s="833"/>
      <c r="AG1576" s="833"/>
      <c r="AH1576" s="91">
        <f>IF(AD1576="free",0,IF(AD1576="me",0,IF(G1576&gt;0,(VLOOKUP(A1576,'Discount Lookup'!J:K,2)*G1576),0)))</f>
        <v>0</v>
      </c>
      <c r="AI1576" s="92" t="str">
        <f t="shared" si="3771"/>
        <v/>
      </c>
      <c r="AJ1576" s="828" t="str">
        <f t="shared" si="3760"/>
        <v/>
      </c>
      <c r="AK1576" s="828"/>
      <c r="AL1576" s="313" t="str">
        <f t="shared" si="3793"/>
        <v/>
      </c>
      <c r="AM1576" s="312"/>
      <c r="AN1576" s="101"/>
      <c r="AO1576" s="101"/>
      <c r="AP1576" s="101"/>
      <c r="AQ1576" s="101"/>
      <c r="AR1576" s="101"/>
      <c r="AS1576" s="101"/>
      <c r="AT1576" s="101"/>
    </row>
    <row r="1577" spans="1:46" ht="12.95" customHeight="1">
      <c r="A1577" s="419">
        <v>3</v>
      </c>
      <c r="B1577" s="87" t="s">
        <v>50</v>
      </c>
      <c r="C1577" s="399" t="s">
        <v>1526</v>
      </c>
      <c r="D1577" s="129" t="s">
        <v>90</v>
      </c>
      <c r="E1577" s="98">
        <v>44.95</v>
      </c>
      <c r="F1577" s="705" t="s">
        <v>1306</v>
      </c>
      <c r="G1577" s="357">
        <v>0</v>
      </c>
      <c r="H1577" s="704" t="str">
        <f t="shared" ref="H1577:H1578" si="3849">IF(G1577=0,"",IF(F1577="Qty=",IF(G1577=1,"plant","plants"),IF(F1577&gt;0.0001,"warranty","Error")))</f>
        <v/>
      </c>
      <c r="I1577" s="98">
        <f t="shared" ref="I1577:I1578" si="3850">IF(F1577="Qty=",(E1577*G1577),((E1577*(1-F1577))*G1577))</f>
        <v>0</v>
      </c>
      <c r="J1577" s="98">
        <f>IF(H1577="warranty",0,(I1577*($J$1782)))</f>
        <v>0</v>
      </c>
      <c r="K1577" s="831">
        <f t="shared" ref="K1577:K1578" si="3851">I1577+J1577</f>
        <v>0</v>
      </c>
      <c r="L1577" s="831"/>
      <c r="M1577" s="832" t="str">
        <f>IF($H$1784=0,"",IF(G1577=0,"",IF(F1577="Qty=",CONCATENATE("$",ROUND(K1577*(1-$H$1784),2)," with ",($H$1784*100),"% discount"),CONCATENATE("$",ROUND(K1577*(1-$H$1784),2)," with ",(($H$1784*100+F1577*100)-($H$1784*100*F1577)),IF(F1577&gt;0,"% discounts",IF($H$1781&gt;0,"% discounts","% discount"))))))</f>
        <v/>
      </c>
      <c r="N1577" s="832"/>
      <c r="O1577" s="832"/>
      <c r="P1577" s="832"/>
      <c r="Q1577" s="832"/>
      <c r="R1577" s="832"/>
      <c r="S1577" s="303">
        <f t="shared" ref="S1577" si="3852">E1577*G1577</f>
        <v>0</v>
      </c>
      <c r="T1577" s="541">
        <f>VLOOKUP(A1577,'Discount Lookup'!D:E,2,FALSE)*G1577</f>
        <v>0</v>
      </c>
      <c r="U1577" s="83">
        <f>VLOOKUP(A1577,'Discount Lookup'!G:H,2,FALSE)*G1577</f>
        <v>0</v>
      </c>
      <c r="V1577" s="100">
        <f>E1577*($J$1782)*G1577</f>
        <v>0</v>
      </c>
      <c r="W1577" s="100">
        <f t="shared" ref="W1577" si="3853">I1577</f>
        <v>0</v>
      </c>
      <c r="X1577" s="100" t="b">
        <f>IF(G1577&gt;0,IF(AD1577="me","",G1577))</f>
        <v>0</v>
      </c>
      <c r="Y1577" s="201"/>
      <c r="Z1577" s="829" t="str">
        <f t="shared" si="3759"/>
        <v/>
      </c>
      <c r="AA1577" s="829"/>
      <c r="AB1577" s="830" t="str">
        <f>IF(G1577=0,"",IF(AD1577="free","re-planting",IF(AD1577="me","not NVP, by",IF($AD$8="yes",(VLOOKUP(A1577,'Discount Lookup'!J:K,2)*G1577*(1-$AC$1786)*(1+$AC$1788)),IF(AD1577="NVP",(VLOOKUP(A1577,'Discount Lookup'!J:K,2)*G1577*(1-$AC$1786)*(1+$AC$1788)),IF(AD1577="free","re-planting",IF(G1577=0,"",IF($AD$8="",IF(AD1577="me","not NVP, by",IF(AD1577="",IF(G1577&gt;0,(VLOOKUP(A1577,'Discount Lookup'!J:K,2)*G1577*(1-$AC$1786)*(1+$AC$1788)),""),"")),"not NVP, by"))))))))</f>
        <v/>
      </c>
      <c r="AC1577" s="830"/>
      <c r="AD1577" s="375" t="str">
        <f t="shared" si="3843"/>
        <v/>
      </c>
      <c r="AE1577" s="833" t="str">
        <f t="shared" ref="AE1577" si="3854">IF(G1577&gt;0,(CONCATENATE((G1577)," quantity, ",(A1577)," ",B1577)),"")</f>
        <v/>
      </c>
      <c r="AF1577" s="833"/>
      <c r="AG1577" s="833"/>
      <c r="AH1577" s="91">
        <f>IF(AD1577="free",0,IF(AD1577="me",0,IF(G1577&gt;0,(VLOOKUP(A1577,'Discount Lookup'!J:K,2)*G1577),0)))</f>
        <v>0</v>
      </c>
      <c r="AI1577" s="92" t="str">
        <f t="shared" si="3771"/>
        <v/>
      </c>
      <c r="AJ1577" s="828" t="str">
        <f t="shared" si="3760"/>
        <v/>
      </c>
      <c r="AK1577" s="828"/>
      <c r="AL1577" s="313" t="str">
        <f t="shared" si="3793"/>
        <v/>
      </c>
      <c r="AM1577" s="312"/>
      <c r="AN1577" s="101"/>
      <c r="AO1577" s="101"/>
      <c r="AP1577" s="101"/>
      <c r="AQ1577" s="101"/>
      <c r="AR1577" s="101"/>
      <c r="AS1577" s="101"/>
      <c r="AT1577" s="101"/>
    </row>
    <row r="1578" spans="1:46" ht="12.95" customHeight="1">
      <c r="A1578" s="419">
        <v>3</v>
      </c>
      <c r="B1578" s="87" t="s">
        <v>50</v>
      </c>
      <c r="C1578" s="399" t="s">
        <v>136</v>
      </c>
      <c r="D1578" s="129" t="s">
        <v>52</v>
      </c>
      <c r="E1578" s="98">
        <v>33.950000000000003</v>
      </c>
      <c r="F1578" s="705" t="s">
        <v>1306</v>
      </c>
      <c r="G1578" s="357">
        <v>0</v>
      </c>
      <c r="H1578" s="704" t="str">
        <f t="shared" si="3849"/>
        <v/>
      </c>
      <c r="I1578" s="98">
        <f t="shared" si="3850"/>
        <v>0</v>
      </c>
      <c r="J1578" s="98">
        <f>IF(H1578="warranty",0,(I1578*($J$1782)))</f>
        <v>0</v>
      </c>
      <c r="K1578" s="831">
        <f t="shared" si="3851"/>
        <v>0</v>
      </c>
      <c r="L1578" s="831"/>
      <c r="M1578" s="832" t="str">
        <f>IF($H$1784=0,"",IF(G1578=0,"",IF(F1578="Qty=",CONCATENATE("$",ROUND(K1578*(1-$H$1784),2)," with ",($H$1784*100),"% discount"),CONCATENATE("$",ROUND(K1578*(1-$H$1784),2)," with ",(($H$1784*100+F1578*100)-($H$1784*100*F1578)),IF(F1578&gt;0,"% discounts",IF($H$1781&gt;0,"% discounts","% discount"))))))</f>
        <v/>
      </c>
      <c r="N1578" s="832"/>
      <c r="O1578" s="832"/>
      <c r="P1578" s="832"/>
      <c r="Q1578" s="832"/>
      <c r="R1578" s="832"/>
      <c r="S1578" s="303">
        <f t="shared" ref="S1578" si="3855">E1578*G1578</f>
        <v>0</v>
      </c>
      <c r="T1578" s="541">
        <f>VLOOKUP(A1578,'Discount Lookup'!D:E,2,FALSE)*G1578</f>
        <v>0</v>
      </c>
      <c r="U1578" s="83">
        <f>VLOOKUP(A1578,'Discount Lookup'!G:H,2,FALSE)*G1578</f>
        <v>0</v>
      </c>
      <c r="V1578" s="100">
        <f>E1578*($J$1782)*G1578</f>
        <v>0</v>
      </c>
      <c r="W1578" s="100">
        <f t="shared" ref="W1578" si="3856">I1578</f>
        <v>0</v>
      </c>
      <c r="X1578" s="100" t="b">
        <f>IF(G1578&gt;0,IF(AD1578="me","",G1578))</f>
        <v>0</v>
      </c>
      <c r="Y1578" s="201"/>
      <c r="Z1578" s="829" t="str">
        <f t="shared" si="3759"/>
        <v/>
      </c>
      <c r="AA1578" s="829"/>
      <c r="AB1578" s="830" t="str">
        <f>IF(G1578=0,"",IF(AD1578="free","re-planting",IF(AD1578="me","not NVP, by",IF($AD$8="yes",(VLOOKUP(A1578,'Discount Lookup'!J:K,2)*G1578*(1-$AC$1786)*(1+$AC$1788)),IF(AD1578="NVP",(VLOOKUP(A1578,'Discount Lookup'!J:K,2)*G1578*(1-$AC$1786)*(1+$AC$1788)),IF(AD1578="free","re-planting",IF(G1578=0,"",IF($AD$8="",IF(AD1578="me","not NVP, by",IF(AD1578="",IF(G1578&gt;0,(VLOOKUP(A1578,'Discount Lookup'!J:K,2)*G1578*(1-$AC$1786)*(1+$AC$1788)),""),"")),"not NVP, by"))))))))</f>
        <v/>
      </c>
      <c r="AC1578" s="830"/>
      <c r="AD1578" s="375" t="str">
        <f t="shared" si="3843"/>
        <v/>
      </c>
      <c r="AE1578" s="833" t="str">
        <f t="shared" si="3772"/>
        <v/>
      </c>
      <c r="AF1578" s="833"/>
      <c r="AG1578" s="833"/>
      <c r="AH1578" s="91">
        <f>IF(AD1578="free",0,IF(AD1578="me",0,IF(G1578&gt;0,(VLOOKUP(A1578,'Discount Lookup'!J:K,2)*G1578),0)))</f>
        <v>0</v>
      </c>
      <c r="AI1578" s="92" t="str">
        <f t="shared" si="3771"/>
        <v/>
      </c>
      <c r="AJ1578" s="828" t="str">
        <f t="shared" si="3760"/>
        <v/>
      </c>
      <c r="AK1578" s="828"/>
      <c r="AL1578" s="313" t="str">
        <f t="shared" si="3793"/>
        <v/>
      </c>
      <c r="AM1578" s="312"/>
      <c r="AN1578" s="101"/>
      <c r="AO1578" s="101"/>
      <c r="AP1578" s="101"/>
      <c r="AQ1578" s="101"/>
      <c r="AR1578" s="101"/>
      <c r="AS1578" s="101"/>
      <c r="AT1578" s="101"/>
    </row>
    <row r="1579" spans="1:46" ht="12.95" customHeight="1">
      <c r="A1579" s="465"/>
      <c r="B1579" s="198" t="s">
        <v>830</v>
      </c>
      <c r="C1579" s="130"/>
      <c r="D1579" s="104"/>
      <c r="E1579" s="131"/>
      <c r="F1579" s="710"/>
      <c r="G1579" s="356"/>
      <c r="H1579" s="744"/>
      <c r="I1579" s="131"/>
      <c r="J1579" s="131"/>
      <c r="K1579" s="608"/>
      <c r="L1579" s="608"/>
      <c r="M1579" s="121"/>
      <c r="N1579" s="122" t="s">
        <v>82</v>
      </c>
      <c r="O1579" s="123"/>
      <c r="P1579" s="124"/>
      <c r="Q1579" s="124"/>
      <c r="R1579" s="83"/>
      <c r="S1579" s="82">
        <f>E1579*G1579</f>
        <v>0</v>
      </c>
      <c r="T1579" s="540"/>
      <c r="U1579" s="83"/>
      <c r="V1579" s="100" t="b">
        <f>IF(G1579&gt;0,IF(AD1579="me","",G1579))</f>
        <v>0</v>
      </c>
      <c r="W1579" s="100"/>
      <c r="X1579" s="100"/>
      <c r="Y1579" s="201"/>
      <c r="Z1579" s="829" t="str">
        <f t="shared" si="3759"/>
        <v/>
      </c>
      <c r="AA1579" s="829"/>
      <c r="AB1579" s="830" t="str">
        <f>IF(G1579=0,"",IF(AD1579="free","re-planting",IF(AD1579="me","not NVP, by",IF($AD$8="yes",(VLOOKUP(A1579,'Discount Lookup'!J:K,2)*G1579*(1-$AC$1786)*(1+$AC$1788)),IF(AD1579="NVP",(VLOOKUP(A1579,'Discount Lookup'!J:K,2)*G1579*(1-$AC$1786)*(1+$AC$1788)),IF(AD1579="free","re-planting",IF(G1579=0,"",IF($AD$8="",IF(AD1579="me","not NVP, by",IF(AD1579="",IF(G1579&gt;0,(VLOOKUP(A1579,'Discount Lookup'!J:K,2)*G1579*(1-$AC$1786)*(1+$AC$1788)),""),"")),"not NVP, by"))))))))</f>
        <v/>
      </c>
      <c r="AC1579" s="830"/>
      <c r="AD1579" s="375" t="str">
        <f t="shared" si="3843"/>
        <v/>
      </c>
      <c r="AE1579" s="833" t="str">
        <f t="shared" si="3772"/>
        <v/>
      </c>
      <c r="AF1579" s="833"/>
      <c r="AG1579" s="833"/>
      <c r="AH1579" s="91">
        <f>IF(AD1579="free",0,IF(AD1579="me",0,IF(G1579&gt;0,(VLOOKUP(A1579,'Discount Lookup'!J:K,2)*G1579),0)))</f>
        <v>0</v>
      </c>
      <c r="AI1579" s="92" t="str">
        <f t="shared" si="3771"/>
        <v/>
      </c>
      <c r="AJ1579" s="828" t="str">
        <f t="shared" si="3760"/>
        <v/>
      </c>
      <c r="AK1579" s="828"/>
      <c r="AL1579" s="313" t="str">
        <f t="shared" si="3793"/>
        <v/>
      </c>
      <c r="AM1579" s="312"/>
      <c r="AN1579" s="101"/>
      <c r="AO1579" s="101"/>
      <c r="AP1579" s="101"/>
      <c r="AQ1579" s="101"/>
      <c r="AR1579" s="101"/>
      <c r="AS1579" s="101"/>
      <c r="AT1579" s="101"/>
    </row>
    <row r="1580" spans="1:46" ht="12.95" customHeight="1">
      <c r="A1580" s="929" t="s">
        <v>1639</v>
      </c>
      <c r="B1580" s="902"/>
      <c r="C1580" s="902"/>
      <c r="D1580" s="902"/>
      <c r="E1580" s="902"/>
      <c r="F1580" s="902"/>
      <c r="G1580" s="902"/>
      <c r="H1580" s="776" t="s">
        <v>1638</v>
      </c>
      <c r="I1580" s="439" t="s">
        <v>280</v>
      </c>
      <c r="J1580" s="86"/>
      <c r="K1580" s="603" t="s">
        <v>45</v>
      </c>
      <c r="L1580" s="601" t="s">
        <v>46</v>
      </c>
      <c r="M1580" s="86"/>
      <c r="N1580" s="87" t="s">
        <v>69</v>
      </c>
      <c r="O1580" s="87"/>
      <c r="P1580" s="88"/>
      <c r="Q1580" s="88"/>
      <c r="R1580" s="86"/>
      <c r="S1580" s="125"/>
      <c r="T1580" s="543"/>
      <c r="U1580" s="112"/>
      <c r="V1580" s="100" t="b">
        <f>IF(G1580&gt;0,IF(AD1580="me","",G1580))</f>
        <v>0</v>
      </c>
      <c r="W1580" s="100"/>
      <c r="X1580" s="100"/>
      <c r="Y1580" s="790"/>
      <c r="Z1580" s="829" t="str">
        <f t="shared" ref="Z1580:Z1582" si="3857">IF(G1580=0,"",IF(AD1580="me","",IF($AD$8="me","",IF(AD1580="free","warranty",IF($AD$8="yes","NVP planting:","to NVP install:")))))</f>
        <v/>
      </c>
      <c r="AA1580" s="829"/>
      <c r="AB1580" s="830" t="str">
        <f>IF(G1580=0,"",IF(AD1580="free","re-planting",IF(AD1580="me","not NVP, by",IF($AD$8="yes",(VLOOKUP(A1580,'Discount Lookup'!J:K,2)*G1580*(1-$AC$1786)*(1+$AC$1788)),IF(AD1580="NVP",(VLOOKUP(A1580,'Discount Lookup'!J:K,2)*G1580*(1-$AC$1786)*(1+$AC$1788)),IF(AD1580="free","re-planting",IF(G1580=0,"",IF($AD$8="",IF(AD1580="me","not NVP, by",IF(AD1580="",IF(G1580&gt;0,(VLOOKUP(A1580,'Discount Lookup'!J:K,2)*G1580*(1-$AC$1786)*(1+$AC$1788)),""),"")),"not NVP, by"))))))))</f>
        <v/>
      </c>
      <c r="AC1580" s="830"/>
      <c r="AD1580" s="375" t="str">
        <f t="shared" ref="AD1580:AD1582" si="3858">IF(G1580=0,"",IF($AD$8="me","me",IF(H1580="warranty","free",IF($AD$8="yes","NVP",""))))</f>
        <v/>
      </c>
      <c r="AE1580" s="833" t="str">
        <f t="shared" ref="AE1580:AE1582" si="3859">IF(G1580&gt;0,(CONCATENATE((G1580)," quantity, ",(A1580)," ",B1580)),"")</f>
        <v/>
      </c>
      <c r="AF1580" s="833"/>
      <c r="AG1580" s="833"/>
      <c r="AH1580" s="91" t="str">
        <f>IF(AD1580="free",0,IF(AD1580="me","",IF(G1580&gt;0,(VLOOKUP(A1580,'Discount Lookup'!J:K,2)*G1580),"")))</f>
        <v/>
      </c>
      <c r="AI1580" s="92" t="str">
        <f t="shared" si="3771"/>
        <v/>
      </c>
      <c r="AJ1580" s="828" t="str">
        <f t="shared" ref="AJ1580:AJ1582" si="3860">IF(G1580=0,"",IF(AD1580="me","  delivery-only",IF($AD$8="me","  delivery-only",CONCATENATE(" $",ROUND(AI1580/G1580,2)," each"))))</f>
        <v/>
      </c>
      <c r="AK1580" s="828"/>
      <c r="AL1580" s="313" t="str">
        <f t="shared" si="3793"/>
        <v/>
      </c>
      <c r="AM1580" s="312"/>
      <c r="AN1580" s="101"/>
      <c r="AO1580" s="101"/>
      <c r="AP1580" s="101"/>
      <c r="AQ1580" s="101"/>
      <c r="AR1580" s="101"/>
      <c r="AS1580" s="101"/>
      <c r="AT1580" s="101"/>
    </row>
    <row r="1581" spans="1:46" ht="12.95" customHeight="1">
      <c r="A1581" s="419">
        <v>1</v>
      </c>
      <c r="B1581" s="87" t="s">
        <v>50</v>
      </c>
      <c r="C1581" s="399" t="s">
        <v>136</v>
      </c>
      <c r="D1581" s="129" t="s">
        <v>87</v>
      </c>
      <c r="E1581" s="98">
        <v>12.95</v>
      </c>
      <c r="F1581" s="705" t="s">
        <v>1306</v>
      </c>
      <c r="G1581" s="357">
        <v>0</v>
      </c>
      <c r="H1581" s="704" t="str">
        <f t="shared" ref="H1581" si="3861">IF(G1581=0,"",IF(F1581="Qty=",IF(G1581=1,"plant","plants"),IF(F1581&gt;0.0001,"warranty","Error")))</f>
        <v/>
      </c>
      <c r="I1581" s="98">
        <f t="shared" ref="I1581" si="3862">IF(F1581="Qty=",(E1581*G1581),((E1581*(1-F1581))*G1581))</f>
        <v>0</v>
      </c>
      <c r="J1581" s="98">
        <f>IF(H1581="warranty",0,(I1581*($J$1782)))</f>
        <v>0</v>
      </c>
      <c r="K1581" s="831">
        <f t="shared" ref="K1581" si="3863">I1581+J1581</f>
        <v>0</v>
      </c>
      <c r="L1581" s="831"/>
      <c r="M1581" s="832" t="str">
        <f>IF($H$1784=0,"",IF(G1581=0,"",IF(F1581="Qty=",CONCATENATE("$",ROUND(K1581*(1-$H$1784),2)," with ",($H$1784*100),"% discount"),CONCATENATE("$",ROUND(K1581*(1-$H$1784),2)," with ",(($H$1784*100+F1581*100)-($H$1784*100*F1581)),IF(F1581&gt;0,"% discounts",IF($H$1781&gt;0,"% discounts","% discount"))))))</f>
        <v/>
      </c>
      <c r="N1581" s="832"/>
      <c r="O1581" s="832"/>
      <c r="P1581" s="832"/>
      <c r="Q1581" s="832"/>
      <c r="R1581" s="832"/>
      <c r="S1581" s="303">
        <f t="shared" ref="S1581" si="3864">E1581*G1581</f>
        <v>0</v>
      </c>
      <c r="T1581" s="541">
        <f>VLOOKUP(A1581,'Discount Lookup'!D:E,2,FALSE)*G1581</f>
        <v>0</v>
      </c>
      <c r="U1581" s="83">
        <f>VLOOKUP(A1581,'Discount Lookup'!G:H,2,FALSE)*G1581</f>
        <v>0</v>
      </c>
      <c r="V1581" s="100">
        <f>E1581*($J$1782)*G1581</f>
        <v>0</v>
      </c>
      <c r="W1581" s="100">
        <f t="shared" ref="W1581" si="3865">I1581</f>
        <v>0</v>
      </c>
      <c r="X1581" s="100" t="b">
        <f>IF(G1581&gt;0,IF(AD1581="me","",G1581))</f>
        <v>0</v>
      </c>
      <c r="Y1581" s="790"/>
      <c r="Z1581" s="829" t="str">
        <f t="shared" si="3857"/>
        <v/>
      </c>
      <c r="AA1581" s="829"/>
      <c r="AB1581" s="830" t="str">
        <f>IF(G1581=0,"",IF(AD1581="free","re-planting",IF(AD1581="me","not NVP, by",IF($AD$8="yes",(VLOOKUP(A1581,'Discount Lookup'!J:K,2)*G1581*(1-$AC$1786)*(1+$AC$1788)),IF(AD1581="NVP",(VLOOKUP(A1581,'Discount Lookup'!J:K,2)*G1581*(1-$AC$1786)*(1+$AC$1788)),IF(AD1581="free","re-planting",IF(G1581=0,"",IF($AD$8="",IF(AD1581="me","not NVP, by",IF(AD1581="",IF(G1581&gt;0,(VLOOKUP(A1581,'Discount Lookup'!J:K,2)*G1581*(1-$AC$1786)*(1+$AC$1788)),""),"")),"not NVP, by"))))))))</f>
        <v/>
      </c>
      <c r="AC1581" s="830"/>
      <c r="AD1581" s="375" t="str">
        <f t="shared" si="3858"/>
        <v/>
      </c>
      <c r="AE1581" s="833" t="str">
        <f t="shared" si="3859"/>
        <v/>
      </c>
      <c r="AF1581" s="833"/>
      <c r="AG1581" s="833"/>
      <c r="AH1581" s="91" t="str">
        <f>IF(AD1581="free",0,IF(AD1581="me","",IF(G1581&gt;0,(VLOOKUP(A1581,'Discount Lookup'!J:K,2)*G1581),"")))</f>
        <v/>
      </c>
      <c r="AI1581" s="92" t="str">
        <f t="shared" si="3771"/>
        <v/>
      </c>
      <c r="AJ1581" s="828" t="str">
        <f t="shared" si="3860"/>
        <v/>
      </c>
      <c r="AK1581" s="828"/>
      <c r="AL1581" s="313" t="str">
        <f t="shared" si="3793"/>
        <v/>
      </c>
      <c r="AM1581" s="312"/>
      <c r="AN1581" s="101"/>
      <c r="AO1581" s="101"/>
      <c r="AP1581" s="101"/>
      <c r="AQ1581" s="101"/>
      <c r="AR1581" s="101"/>
      <c r="AS1581" s="101"/>
      <c r="AT1581" s="101"/>
    </row>
    <row r="1582" spans="1:46" ht="12.95" customHeight="1">
      <c r="A1582" s="482"/>
      <c r="B1582" s="103" t="s">
        <v>1640</v>
      </c>
      <c r="C1582" s="147"/>
      <c r="D1582" s="147"/>
      <c r="E1582" s="169"/>
      <c r="F1582" s="717"/>
      <c r="G1582" s="363"/>
      <c r="H1582" s="749"/>
      <c r="I1582" s="169"/>
      <c r="J1582" s="169"/>
      <c r="K1582" s="586"/>
      <c r="L1582" s="586"/>
      <c r="M1582" s="212"/>
      <c r="N1582" s="122" t="s">
        <v>115</v>
      </c>
      <c r="O1582" s="123"/>
      <c r="P1582" s="124"/>
      <c r="Q1582" s="124"/>
      <c r="R1582" s="83"/>
      <c r="S1582" s="82"/>
      <c r="T1582" s="540"/>
      <c r="U1582" s="83"/>
      <c r="V1582" s="100" t="b">
        <f>IF(G1582&gt;0,IF(AD1582="me","",G1582))</f>
        <v>0</v>
      </c>
      <c r="W1582" s="100"/>
      <c r="X1582" s="100"/>
      <c r="Y1582" s="790"/>
      <c r="Z1582" s="829" t="str">
        <f t="shared" si="3857"/>
        <v/>
      </c>
      <c r="AA1582" s="829"/>
      <c r="AB1582" s="830" t="str">
        <f>IF(G1582=0,"",IF(AD1582="free","re-planting",IF(AD1582="me","not NVP, by",IF($AD$8="yes",(VLOOKUP(A1582,'Discount Lookup'!J:K,2)*G1582*(1-$AC$1786)*(1+$AC$1788)),IF(AD1582="NVP",(VLOOKUP(A1582,'Discount Lookup'!J:K,2)*G1582*(1-$AC$1786)*(1+$AC$1788)),IF(AD1582="free","re-planting",IF(G1582=0,"",IF($AD$8="",IF(AD1582="me","not NVP, by",IF(AD1582="",IF(G1582&gt;0,(VLOOKUP(A1582,'Discount Lookup'!J:K,2)*G1582*(1-$AC$1786)*(1+$AC$1788)),""),"")),"not NVP, by"))))))))</f>
        <v/>
      </c>
      <c r="AC1582" s="830"/>
      <c r="AD1582" s="375" t="str">
        <f t="shared" si="3858"/>
        <v/>
      </c>
      <c r="AE1582" s="833" t="str">
        <f t="shared" si="3859"/>
        <v/>
      </c>
      <c r="AF1582" s="833"/>
      <c r="AG1582" s="833"/>
      <c r="AH1582" s="91" t="str">
        <f>IF(AD1582="free",0,IF(AD1582="me","",IF(G1582&gt;0,(VLOOKUP(A1582,'Discount Lookup'!J:K,2)*G1582),"")))</f>
        <v/>
      </c>
      <c r="AI1582" s="92" t="str">
        <f t="shared" si="3771"/>
        <v/>
      </c>
      <c r="AJ1582" s="828" t="str">
        <f t="shared" si="3860"/>
        <v/>
      </c>
      <c r="AK1582" s="828"/>
      <c r="AL1582" s="313" t="str">
        <f t="shared" si="3793"/>
        <v/>
      </c>
      <c r="AM1582" s="312"/>
      <c r="AN1582" s="101"/>
      <c r="AO1582" s="101"/>
      <c r="AP1582" s="101"/>
      <c r="AQ1582" s="101"/>
      <c r="AR1582" s="101"/>
      <c r="AS1582" s="101"/>
      <c r="AT1582" s="101"/>
    </row>
    <row r="1583" spans="1:46" ht="12.95" customHeight="1">
      <c r="A1583" s="863" t="s">
        <v>831</v>
      </c>
      <c r="B1583" s="864"/>
      <c r="C1583" s="864"/>
      <c r="D1583" s="864"/>
      <c r="E1583" s="864"/>
      <c r="F1583" s="864"/>
      <c r="G1583" s="864"/>
      <c r="H1583" s="776" t="s">
        <v>832</v>
      </c>
      <c r="I1583" s="439" t="s">
        <v>280</v>
      </c>
      <c r="J1583" s="93"/>
      <c r="K1583" s="603" t="s">
        <v>45</v>
      </c>
      <c r="L1583" s="601" t="s">
        <v>46</v>
      </c>
      <c r="M1583" s="86"/>
      <c r="N1583" s="87" t="s">
        <v>69</v>
      </c>
      <c r="O1583" s="87"/>
      <c r="P1583" s="87"/>
      <c r="Q1583" s="87"/>
      <c r="R1583" s="86"/>
      <c r="S1583" s="125"/>
      <c r="T1583" s="543"/>
      <c r="U1583" s="89" t="s">
        <v>48</v>
      </c>
      <c r="V1583" s="100" t="b">
        <f>IF(G1583&gt;0,IF(AD1583="me","",G1583))</f>
        <v>0</v>
      </c>
      <c r="W1583" s="100"/>
      <c r="X1583" s="100"/>
      <c r="Y1583" s="201"/>
      <c r="Z1583" s="829" t="str">
        <f t="shared" si="3759"/>
        <v/>
      </c>
      <c r="AA1583" s="829"/>
      <c r="AB1583" s="830" t="str">
        <f>IF(G1583=0,"",IF(AD1583="free","re-planting",IF(AD1583="me","not NVP, by",IF($AD$8="yes",(VLOOKUP(A1583,'Discount Lookup'!J:K,2)*G1583*(1-$AC$1786)*(1+$AC$1788)),IF(AD1583="NVP",(VLOOKUP(A1583,'Discount Lookup'!J:K,2)*G1583*(1-$AC$1786)*(1+$AC$1788)),IF(AD1583="free","re-planting",IF(G1583=0,"",IF($AD$8="",IF(AD1583="me","not NVP, by",IF(AD1583="",IF(G1583&gt;0,(VLOOKUP(A1583,'Discount Lookup'!J:K,2)*G1583*(1-$AC$1786)*(1+$AC$1788)),""),"")),"not NVP, by"))))))))</f>
        <v/>
      </c>
      <c r="AC1583" s="830"/>
      <c r="AD1583" s="375" t="str">
        <f t="shared" si="3843"/>
        <v/>
      </c>
      <c r="AE1583" s="833" t="str">
        <f t="shared" si="3772"/>
        <v/>
      </c>
      <c r="AF1583" s="833"/>
      <c r="AG1583" s="833"/>
      <c r="AH1583" s="91">
        <f>IF(AD1583="free",0,IF(AD1583="me",0,IF(G1583&gt;0,(VLOOKUP(A1583,'Discount Lookup'!J:K,2)*G1583),0)))</f>
        <v>0</v>
      </c>
      <c r="AI1583" s="92" t="str">
        <f t="shared" si="3771"/>
        <v/>
      </c>
      <c r="AJ1583" s="828" t="str">
        <f t="shared" si="3760"/>
        <v/>
      </c>
      <c r="AK1583" s="828"/>
      <c r="AL1583" s="313" t="str">
        <f t="shared" si="3793"/>
        <v/>
      </c>
      <c r="AM1583" s="312"/>
      <c r="AN1583" s="101"/>
      <c r="AO1583" s="101"/>
      <c r="AP1583" s="101"/>
      <c r="AQ1583" s="101"/>
      <c r="AR1583" s="101"/>
      <c r="AS1583" s="101"/>
      <c r="AT1583" s="101"/>
    </row>
    <row r="1584" spans="1:46" ht="12.95" customHeight="1">
      <c r="A1584" s="419">
        <v>3</v>
      </c>
      <c r="B1584" s="87" t="s">
        <v>50</v>
      </c>
      <c r="C1584" s="399" t="s">
        <v>136</v>
      </c>
      <c r="D1584" s="129" t="s">
        <v>86</v>
      </c>
      <c r="E1584" s="98">
        <v>24.95</v>
      </c>
      <c r="F1584" s="705" t="s">
        <v>1306</v>
      </c>
      <c r="G1584" s="357">
        <v>0</v>
      </c>
      <c r="H1584" s="704" t="str">
        <f t="shared" ref="H1584:H1585" si="3866">IF(G1584=0,"",IF(F1584="Qty=",IF(G1584=1,"plant","plants"),IF(F1584&gt;0.0001,"warranty","Error")))</f>
        <v/>
      </c>
      <c r="I1584" s="98">
        <f t="shared" ref="I1584:I1585" si="3867">IF(F1584="Qty=",(E1584*G1584),((E1584*(1-F1584))*G1584))</f>
        <v>0</v>
      </c>
      <c r="J1584" s="98">
        <f>IF(H1584="warranty",0,(I1584*($J$1782)))</f>
        <v>0</v>
      </c>
      <c r="K1584" s="831">
        <f t="shared" ref="K1584:K1585" si="3868">I1584+J1584</f>
        <v>0</v>
      </c>
      <c r="L1584" s="831"/>
      <c r="M1584" s="832" t="str">
        <f>IF($H$1784=0,"",IF(G1584=0,"",IF(F1584="Qty=",CONCATENATE("$",ROUND(K1584*(1-$H$1784),2)," with ",($H$1784*100),"% discount"),CONCATENATE("$",ROUND(K1584*(1-$H$1784),2)," with ",(($H$1784*100+F1584*100)-($H$1784*100*F1584)),IF(F1584&gt;0,"% discounts",IF($H$1781&gt;0,"% discounts","% discount"))))))</f>
        <v/>
      </c>
      <c r="N1584" s="832"/>
      <c r="O1584" s="832"/>
      <c r="P1584" s="832"/>
      <c r="Q1584" s="832"/>
      <c r="R1584" s="832"/>
      <c r="S1584" s="303">
        <f t="shared" ref="S1584" si="3869">E1584*G1584</f>
        <v>0</v>
      </c>
      <c r="T1584" s="541">
        <f>VLOOKUP(A1584,'Discount Lookup'!D:E,2,FALSE)*G1584</f>
        <v>0</v>
      </c>
      <c r="U1584" s="83">
        <f>VLOOKUP(A1584,'Discount Lookup'!G:H,2,FALSE)*G1584</f>
        <v>0</v>
      </c>
      <c r="V1584" s="100">
        <f>E1584*($J$1782)*G1584</f>
        <v>0</v>
      </c>
      <c r="W1584" s="100">
        <f t="shared" ref="W1584" si="3870">I1584</f>
        <v>0</v>
      </c>
      <c r="X1584" s="100" t="b">
        <f>IF(G1584&gt;0,IF(AD1584="me","",G1584))</f>
        <v>0</v>
      </c>
      <c r="Y1584" s="201"/>
      <c r="Z1584" s="829" t="str">
        <f t="shared" si="3759"/>
        <v/>
      </c>
      <c r="AA1584" s="829"/>
      <c r="AB1584" s="830" t="str">
        <f>IF(G1584=0,"",IF(AD1584="free","re-planting",IF(AD1584="me","not NVP, by",IF($AD$8="yes",(VLOOKUP(A1584,'Discount Lookup'!J:K,2)*G1584*(1-$AC$1786)*(1+$AC$1788)),IF(AD1584="NVP",(VLOOKUP(A1584,'Discount Lookup'!J:K,2)*G1584*(1-$AC$1786)*(1+$AC$1788)),IF(AD1584="free","re-planting",IF(G1584=0,"",IF($AD$8="",IF(AD1584="me","not NVP, by",IF(AD1584="",IF(G1584&gt;0,(VLOOKUP(A1584,'Discount Lookup'!J:K,2)*G1584*(1-$AC$1786)*(1+$AC$1788)),""),"")),"not NVP, by"))))))))</f>
        <v/>
      </c>
      <c r="AC1584" s="830"/>
      <c r="AD1584" s="375" t="str">
        <f t="shared" si="3843"/>
        <v/>
      </c>
      <c r="AE1584" s="833" t="str">
        <f t="shared" si="3772"/>
        <v/>
      </c>
      <c r="AF1584" s="833"/>
      <c r="AG1584" s="833"/>
      <c r="AH1584" s="91">
        <f>IF(AD1584="free",0,IF(AD1584="me",0,IF(G1584&gt;0,(VLOOKUP(A1584,'Discount Lookup'!J:K,2)*G1584),0)))</f>
        <v>0</v>
      </c>
      <c r="AI1584" s="92" t="str">
        <f t="shared" si="3771"/>
        <v/>
      </c>
      <c r="AJ1584" s="828" t="str">
        <f t="shared" si="3760"/>
        <v/>
      </c>
      <c r="AK1584" s="828"/>
      <c r="AL1584" s="313" t="str">
        <f t="shared" si="3793"/>
        <v/>
      </c>
      <c r="AM1584" s="312"/>
      <c r="AN1584" s="101"/>
      <c r="AO1584" s="101"/>
      <c r="AP1584" s="101"/>
      <c r="AQ1584" s="101"/>
      <c r="AR1584" s="101"/>
      <c r="AS1584" s="101"/>
      <c r="AT1584" s="101"/>
    </row>
    <row r="1585" spans="1:46" ht="12.95" customHeight="1">
      <c r="A1585" s="419">
        <v>3</v>
      </c>
      <c r="B1585" s="87" t="s">
        <v>50</v>
      </c>
      <c r="C1585" s="399" t="s">
        <v>136</v>
      </c>
      <c r="D1585" s="129" t="s">
        <v>94</v>
      </c>
      <c r="E1585" s="98">
        <v>23.95</v>
      </c>
      <c r="F1585" s="705" t="s">
        <v>1306</v>
      </c>
      <c r="G1585" s="357">
        <v>0</v>
      </c>
      <c r="H1585" s="704" t="str">
        <f t="shared" si="3866"/>
        <v/>
      </c>
      <c r="I1585" s="98">
        <f t="shared" si="3867"/>
        <v>0</v>
      </c>
      <c r="J1585" s="98">
        <f>IF(H1585="warranty",0,(I1585*($J$1782)))</f>
        <v>0</v>
      </c>
      <c r="K1585" s="831">
        <f t="shared" si="3868"/>
        <v>0</v>
      </c>
      <c r="L1585" s="831"/>
      <c r="M1585" s="832" t="str">
        <f>IF($H$1784=0,"",IF(G1585=0,"",IF(F1585="Qty=",CONCATENATE("$",ROUND(K1585*(1-$H$1784),2)," with ",($H$1784*100),"% discount"),CONCATENATE("$",ROUND(K1585*(1-$H$1784),2)," with ",(($H$1784*100+F1585*100)-($H$1784*100*F1585)),IF(F1585&gt;0,"% discounts",IF($H$1781&gt;0,"% discounts","% discount"))))))</f>
        <v/>
      </c>
      <c r="N1585" s="832"/>
      <c r="O1585" s="832"/>
      <c r="P1585" s="832"/>
      <c r="Q1585" s="832"/>
      <c r="R1585" s="832"/>
      <c r="S1585" s="303">
        <f t="shared" ref="S1585" si="3871">E1585*G1585</f>
        <v>0</v>
      </c>
      <c r="T1585" s="541">
        <f>VLOOKUP(A1585,'Discount Lookup'!D:E,2,FALSE)*G1585</f>
        <v>0</v>
      </c>
      <c r="U1585" s="83">
        <f>VLOOKUP(A1585,'Discount Lookup'!G:H,2,FALSE)*G1585</f>
        <v>0</v>
      </c>
      <c r="V1585" s="100">
        <f>E1585*($J$1782)*G1585</f>
        <v>0</v>
      </c>
      <c r="W1585" s="100">
        <f t="shared" ref="W1585" si="3872">I1585</f>
        <v>0</v>
      </c>
      <c r="X1585" s="100" t="b">
        <f>IF(G1585&gt;0,IF(AD1585="me","",G1585))</f>
        <v>0</v>
      </c>
      <c r="Y1585" s="201"/>
      <c r="Z1585" s="829" t="str">
        <f t="shared" si="3759"/>
        <v/>
      </c>
      <c r="AA1585" s="829"/>
      <c r="AB1585" s="830" t="str">
        <f>IF(G1585=0,"",IF(AD1585="free","re-planting",IF(AD1585="me","not NVP, by",IF($AD$8="yes",(VLOOKUP(A1585,'Discount Lookup'!J:K,2)*G1585*(1-$AC$1786)*(1+$AC$1788)),IF(AD1585="NVP",(VLOOKUP(A1585,'Discount Lookup'!J:K,2)*G1585*(1-$AC$1786)*(1+$AC$1788)),IF(AD1585="free","re-planting",IF(G1585=0,"",IF($AD$8="",IF(AD1585="me","not NVP, by",IF(AD1585="",IF(G1585&gt;0,(VLOOKUP(A1585,'Discount Lookup'!J:K,2)*G1585*(1-$AC$1786)*(1+$AC$1788)),""),"")),"not NVP, by"))))))))</f>
        <v/>
      </c>
      <c r="AC1585" s="830"/>
      <c r="AD1585" s="375" t="str">
        <f t="shared" si="3843"/>
        <v/>
      </c>
      <c r="AE1585" s="833" t="str">
        <f t="shared" si="3772"/>
        <v/>
      </c>
      <c r="AF1585" s="833"/>
      <c r="AG1585" s="833"/>
      <c r="AH1585" s="91">
        <f>IF(AD1585="free",0,IF(AD1585="me",0,IF(G1585&gt;0,(VLOOKUP(A1585,'Discount Lookup'!J:K,2)*G1585),0)))</f>
        <v>0</v>
      </c>
      <c r="AI1585" s="92" t="str">
        <f t="shared" si="3771"/>
        <v/>
      </c>
      <c r="AJ1585" s="828" t="str">
        <f t="shared" si="3760"/>
        <v/>
      </c>
      <c r="AK1585" s="828"/>
      <c r="AL1585" s="313" t="str">
        <f t="shared" si="3793"/>
        <v/>
      </c>
      <c r="AM1585" s="312"/>
      <c r="AN1585" s="101"/>
      <c r="AO1585" s="101"/>
      <c r="AP1585" s="101"/>
      <c r="AQ1585" s="101"/>
      <c r="AR1585" s="101"/>
      <c r="AS1585" s="101"/>
      <c r="AT1585" s="101"/>
    </row>
    <row r="1586" spans="1:46" ht="12.95" customHeight="1">
      <c r="A1586" s="469"/>
      <c r="B1586" s="103" t="s">
        <v>833</v>
      </c>
      <c r="G1586" s="361"/>
      <c r="H1586" s="749"/>
      <c r="M1586" s="110"/>
      <c r="N1586" s="110"/>
      <c r="O1586" s="48"/>
      <c r="P1586" s="111"/>
      <c r="Q1586" s="111"/>
      <c r="R1586" s="48"/>
      <c r="S1586" s="82">
        <f>E1586*G1586</f>
        <v>0</v>
      </c>
      <c r="T1586" s="540"/>
      <c r="U1586" s="83"/>
      <c r="V1586" s="100" t="b">
        <f>IF(G1586&gt;0,IF(AD1586="me","",G1586))</f>
        <v>0</v>
      </c>
      <c r="W1586" s="100"/>
      <c r="X1586" s="100"/>
      <c r="Y1586" s="201"/>
      <c r="Z1586" s="829" t="str">
        <f t="shared" si="3759"/>
        <v/>
      </c>
      <c r="AA1586" s="829"/>
      <c r="AB1586" s="830" t="str">
        <f>IF(G1586=0,"",IF(AD1586="free","re-planting",IF(AD1586="me","not NVP, by",IF($AD$8="yes",(VLOOKUP(A1586,'Discount Lookup'!J:K,2)*G1586*(1-$AC$1786)*(1+$AC$1788)),IF(AD1586="NVP",(VLOOKUP(A1586,'Discount Lookup'!J:K,2)*G1586*(1-$AC$1786)*(1+$AC$1788)),IF(AD1586="free","re-planting",IF(G1586=0,"",IF($AD$8="",IF(AD1586="me","not NVP, by",IF(AD1586="",IF(G1586&gt;0,(VLOOKUP(A1586,'Discount Lookup'!J:K,2)*G1586*(1-$AC$1786)*(1+$AC$1788)),""),"")),"not NVP, by"))))))))</f>
        <v/>
      </c>
      <c r="AC1586" s="830"/>
      <c r="AD1586" s="375" t="str">
        <f t="shared" si="3843"/>
        <v/>
      </c>
      <c r="AE1586" s="833" t="str">
        <f t="shared" si="3772"/>
        <v/>
      </c>
      <c r="AF1586" s="833"/>
      <c r="AG1586" s="833"/>
      <c r="AH1586" s="91">
        <f>IF(AD1586="free",0,IF(AD1586="me",0,IF(G1586&gt;0,(VLOOKUP(A1586,'Discount Lookup'!J:K,2)*G1586),0)))</f>
        <v>0</v>
      </c>
      <c r="AI1586" s="92" t="str">
        <f t="shared" si="3771"/>
        <v/>
      </c>
      <c r="AJ1586" s="828" t="str">
        <f t="shared" si="3760"/>
        <v/>
      </c>
      <c r="AK1586" s="828"/>
      <c r="AL1586" s="313" t="str">
        <f t="shared" si="3793"/>
        <v/>
      </c>
      <c r="AM1586" s="312"/>
      <c r="AN1586" s="101"/>
      <c r="AO1586" s="101"/>
      <c r="AP1586" s="101"/>
      <c r="AQ1586" s="101"/>
      <c r="AR1586" s="101"/>
      <c r="AS1586" s="101"/>
      <c r="AT1586" s="101"/>
    </row>
    <row r="1587" spans="1:46" ht="12.95" customHeight="1">
      <c r="A1587" s="920" t="s">
        <v>834</v>
      </c>
      <c r="B1587" s="921"/>
      <c r="C1587" s="921"/>
      <c r="D1587" s="921"/>
      <c r="E1587" s="921"/>
      <c r="F1587" s="921"/>
      <c r="G1587" s="921"/>
      <c r="H1587" s="776" t="s">
        <v>835</v>
      </c>
      <c r="I1587" s="88" t="s">
        <v>79</v>
      </c>
      <c r="J1587" s="86"/>
      <c r="K1587" s="603" t="s">
        <v>45</v>
      </c>
      <c r="L1587" s="601" t="s">
        <v>46</v>
      </c>
      <c r="M1587" s="127"/>
      <c r="N1587" s="87" t="s">
        <v>128</v>
      </c>
      <c r="O1587" s="87"/>
      <c r="P1587" s="88"/>
      <c r="Q1587" s="89" t="s">
        <v>48</v>
      </c>
      <c r="R1587" s="835" t="s">
        <v>49</v>
      </c>
      <c r="S1587" s="835"/>
      <c r="T1587" s="835"/>
      <c r="U1587" s="842"/>
      <c r="V1587" s="90" t="b">
        <f>IF(G1587&gt;0,IF(AD1587="me","",G1587))</f>
        <v>0</v>
      </c>
      <c r="W1587" s="100"/>
      <c r="X1587" s="100"/>
      <c r="Y1587" s="790"/>
      <c r="Z1587" s="829" t="str">
        <f t="shared" ref="Z1587:Z1589" si="3873">IF(G1587=0,"",IF(AD1587="me","",IF($AD$8="me","",IF(AD1587="free","warranty",IF($AD$8="yes","NVP planting:","to NVP install:")))))</f>
        <v/>
      </c>
      <c r="AA1587" s="829"/>
      <c r="AB1587" s="830" t="str">
        <f>IF(G1587=0,"",IF(AD1587="free","re-planting",IF(AD1587="me","not NVP, by",IF($AD$8="yes",(VLOOKUP(A1587,'Discount Lookup'!J:K,2)*G1587*(1-$AC$1786)*(1+$AC$1788)),IF(AD1587="NVP",(VLOOKUP(A1587,'Discount Lookup'!J:K,2)*G1587*(1-$AC$1786)*(1+$AC$1788)),IF(AD1587="free","re-planting",IF(G1587=0,"",IF($AD$8="",IF(AD1587="me","not NVP, by",IF(AD1587="",IF(G1587&gt;0,(VLOOKUP(A1587,'Discount Lookup'!J:K,2)*G1587*(1-$AC$1786)*(1+$AC$1788)),""),"")),"not NVP, by"))))))))</f>
        <v/>
      </c>
      <c r="AC1587" s="830"/>
      <c r="AD1587" s="375" t="str">
        <f t="shared" ref="AD1587:AD1595" si="3874">IF(G1587=0,"",IF($AD$8="me","me",IF(H1587="warranty","free",IF($AD$8="yes","NVP",""))))</f>
        <v/>
      </c>
      <c r="AE1587" s="833" t="str">
        <f t="shared" ref="AE1587:AE1589" si="3875">IF(G1587&gt;0,(CONCATENATE((G1587)," quantity, ",(A1587)," ",B1587)),"")</f>
        <v/>
      </c>
      <c r="AF1587" s="833"/>
      <c r="AG1587" s="833"/>
      <c r="AH1587" s="91">
        <f>IF(AD1587="free",0,IF(AD1587="me",0,IF(G1587&gt;0,(VLOOKUP(A1587,'Discount Lookup'!J:K,2)*G1587),0)))</f>
        <v>0</v>
      </c>
      <c r="AI1587" s="92" t="str">
        <f t="shared" si="3771"/>
        <v/>
      </c>
      <c r="AJ1587" s="828" t="str">
        <f>IF(G1587=0,"",IF(AD1587="me","  delivery-only",IF($AD$8="me","  delivery-only",CONCATENATE(" $",ROUND(AI1587/G1587,2)," each"))))</f>
        <v/>
      </c>
      <c r="AK1587" s="828"/>
      <c r="AL1587" s="313" t="str">
        <f t="shared" si="3793"/>
        <v/>
      </c>
      <c r="AM1587" s="312"/>
      <c r="AN1587" s="101"/>
      <c r="AO1587" s="101"/>
      <c r="AP1587" s="101"/>
      <c r="AQ1587" s="101"/>
      <c r="AR1587" s="101"/>
      <c r="AS1587" s="101"/>
      <c r="AT1587" s="101"/>
    </row>
    <row r="1588" spans="1:46" ht="12.95" customHeight="1">
      <c r="A1588" s="447">
        <v>1</v>
      </c>
      <c r="B1588" s="87" t="s">
        <v>50</v>
      </c>
      <c r="C1588" s="399" t="s">
        <v>136</v>
      </c>
      <c r="D1588" s="129" t="s">
        <v>87</v>
      </c>
      <c r="E1588" s="98">
        <v>10.95</v>
      </c>
      <c r="F1588" s="705" t="s">
        <v>1306</v>
      </c>
      <c r="G1588" s="357">
        <v>0</v>
      </c>
      <c r="H1588" s="704" t="str">
        <f t="shared" ref="H1588" si="3876">IF(G1588=0,"",IF(F1588="Qty=",IF(G1588=1,"plant","plants"),IF(F1588&gt;0.0001,"warranty","Error")))</f>
        <v/>
      </c>
      <c r="I1588" s="98">
        <f t="shared" ref="I1588" si="3877">IF(F1588="Qty=",(E1588*G1588),((E1588*(1-F1588))*G1588))</f>
        <v>0</v>
      </c>
      <c r="J1588" s="98">
        <f>IF(H1588="warranty",0,(I1588*($J$1782)))</f>
        <v>0</v>
      </c>
      <c r="K1588" s="831">
        <f t="shared" ref="K1588" si="3878">I1588+J1588</f>
        <v>0</v>
      </c>
      <c r="L1588" s="831"/>
      <c r="M1588" s="832" t="str">
        <f>IF($H$1784=0,"",IF(G1588=0,"",IF(F1588="Qty=",CONCATENATE("$",ROUND(K1588*(1-$H$1784),2)," with ",($H$1784*100),"% discount"),CONCATENATE("$",ROUND(K1588*(1-$H$1784),2)," with ",(($H$1784*100+F1588*100)-($H$1784*100*F1588)),IF(F1588&gt;0,"% discounts",IF($H$1781&gt;0,"% discounts","% discount"))))))</f>
        <v/>
      </c>
      <c r="N1588" s="832"/>
      <c r="O1588" s="832"/>
      <c r="P1588" s="832"/>
      <c r="Q1588" s="832"/>
      <c r="R1588" s="832"/>
      <c r="S1588" s="303">
        <f t="shared" ref="S1588" si="3879">E1588*G1588</f>
        <v>0</v>
      </c>
      <c r="T1588" s="541">
        <f>VLOOKUP(A1588,'Discount Lookup'!D:E,2,FALSE)*G1588</f>
        <v>0</v>
      </c>
      <c r="U1588" s="83">
        <f>VLOOKUP(A1588,'Discount Lookup'!G:H,2,FALSE)*G1588</f>
        <v>0</v>
      </c>
      <c r="V1588" s="100">
        <f>E1588*($J$1782)*G1588</f>
        <v>0</v>
      </c>
      <c r="W1588" s="100">
        <f t="shared" ref="W1588" si="3880">I1588</f>
        <v>0</v>
      </c>
      <c r="X1588" s="100" t="b">
        <f>IF(G1588&gt;0,IF(AD1588="me","",G1588))</f>
        <v>0</v>
      </c>
      <c r="Y1588" s="790"/>
      <c r="Z1588" s="829" t="str">
        <f t="shared" si="3873"/>
        <v/>
      </c>
      <c r="AA1588" s="829"/>
      <c r="AB1588" s="830" t="str">
        <f>IF(G1588=0,"",IF(AD1588="free","re-planting",IF(AD1588="me","not NVP, by",IF($AD$8="yes",(VLOOKUP(A1588,'Discount Lookup'!J:K,2)*G1588*(1-$AC$1786)*(1+$AC$1788)),IF(AD1588="NVP",(VLOOKUP(A1588,'Discount Lookup'!J:K,2)*G1588*(1-$AC$1786)*(1+$AC$1788)),IF(AD1588="free","re-planting",IF(G1588=0,"",IF($AD$8="",IF(AD1588="me","not NVP, by",IF(AD1588="",IF(G1588&gt;0,(VLOOKUP(A1588,'Discount Lookup'!J:K,2)*G1588*(1-$AC$1786)*(1+$AC$1788)),""),"")),"not NVP, by"))))))))</f>
        <v/>
      </c>
      <c r="AC1588" s="830"/>
      <c r="AD1588" s="375" t="str">
        <f t="shared" si="3874"/>
        <v/>
      </c>
      <c r="AE1588" s="833" t="str">
        <f t="shared" si="3875"/>
        <v/>
      </c>
      <c r="AF1588" s="833"/>
      <c r="AG1588" s="833"/>
      <c r="AH1588" s="91">
        <f>IF(AD1588="free",0,IF(AD1588="me",0,IF(G1588&gt;0,(VLOOKUP(A1588,'Discount Lookup'!J:K,2)*G1588),0)))</f>
        <v>0</v>
      </c>
      <c r="AI1588" s="92" t="str">
        <f t="shared" si="3771"/>
        <v/>
      </c>
      <c r="AJ1588" s="828" t="str">
        <f>IF(G1588=0,"",IF(AD1588="me","  delivery-only",IF($AD$8="me","  delivery-only",CONCATENATE(" $",ROUND(AI1588/G1588,2)," each"))))</f>
        <v/>
      </c>
      <c r="AK1588" s="828"/>
      <c r="AL1588" s="313" t="str">
        <f t="shared" si="3793"/>
        <v/>
      </c>
      <c r="AM1588" s="312"/>
      <c r="AN1588" s="101"/>
      <c r="AO1588" s="101"/>
      <c r="AP1588" s="101"/>
      <c r="AQ1588" s="101"/>
      <c r="AR1588" s="101"/>
      <c r="AS1588" s="101"/>
      <c r="AT1588" s="101"/>
    </row>
    <row r="1589" spans="1:46" ht="12.95" customHeight="1">
      <c r="A1589" s="469"/>
      <c r="B1589" s="103" t="s">
        <v>836</v>
      </c>
      <c r="G1589" s="361"/>
      <c r="H1589" s="749"/>
      <c r="M1589" s="110"/>
      <c r="N1589" s="122" t="s">
        <v>331</v>
      </c>
      <c r="O1589" s="123"/>
      <c r="P1589" s="124"/>
      <c r="Q1589" s="124"/>
      <c r="R1589" s="83"/>
      <c r="S1589" s="82"/>
      <c r="T1589" s="540"/>
      <c r="U1589" s="83"/>
      <c r="V1589" s="100"/>
      <c r="W1589" s="100"/>
      <c r="X1589" s="100"/>
      <c r="Y1589" s="790"/>
      <c r="Z1589" s="829" t="str">
        <f t="shared" si="3873"/>
        <v/>
      </c>
      <c r="AA1589" s="829"/>
      <c r="AB1589" s="830" t="str">
        <f>IF(G1589=0,"",IF(AD1589="free","re-planting",IF(AD1589="me","not NVP, by",IF($AD$8="yes",(VLOOKUP(A1589,'Discount Lookup'!J:K,2)*G1589*(1-$AC$1786)*(1+$AC$1788)),IF(AD1589="NVP",(VLOOKUP(A1589,'Discount Lookup'!J:K,2)*G1589*(1-$AC$1786)*(1+$AC$1788)),IF(AD1589="free","re-planting",IF(G1589=0,"",IF($AD$8="",IF(AD1589="me","not NVP, by",IF(AD1589="",IF(G1589&gt;0,(VLOOKUP(A1589,'Discount Lookup'!J:K,2)*G1589*(1-$AC$1786)*(1+$AC$1788)),""),"")),"not NVP, by"))))))))</f>
        <v/>
      </c>
      <c r="AC1589" s="830"/>
      <c r="AD1589" s="375" t="str">
        <f t="shared" si="3874"/>
        <v/>
      </c>
      <c r="AE1589" s="833" t="str">
        <f t="shared" si="3875"/>
        <v/>
      </c>
      <c r="AF1589" s="833"/>
      <c r="AG1589" s="833"/>
      <c r="AH1589" s="91">
        <f>IF(AD1589="free",0,IF(AD1589="me",0,IF(G1589&gt;0,(VLOOKUP(A1589,'Discount Lookup'!J:K,2)*G1589),0)))</f>
        <v>0</v>
      </c>
      <c r="AI1589" s="92" t="str">
        <f t="shared" si="3771"/>
        <v/>
      </c>
      <c r="AJ1589" s="828" t="str">
        <f>IF(G1589=0,"",IF(AD1589="me","  delivery-only",IF($AD$8="me","  delivery-only",CONCATENATE(" $",ROUND(AI1589/G1589,2)," each"))))</f>
        <v/>
      </c>
      <c r="AK1589" s="828"/>
      <c r="AL1589" s="313" t="str">
        <f t="shared" si="3793"/>
        <v/>
      </c>
      <c r="AM1589" s="312"/>
      <c r="AN1589" s="101"/>
      <c r="AO1589" s="101"/>
      <c r="AP1589" s="101"/>
      <c r="AQ1589" s="101"/>
      <c r="AR1589" s="101"/>
      <c r="AS1589" s="101"/>
      <c r="AT1589" s="101"/>
    </row>
    <row r="1590" spans="1:46" ht="12.95" customHeight="1">
      <c r="A1590" s="920" t="s">
        <v>837</v>
      </c>
      <c r="B1590" s="921"/>
      <c r="C1590" s="921"/>
      <c r="D1590" s="921"/>
      <c r="E1590" s="921"/>
      <c r="F1590" s="921"/>
      <c r="G1590" s="921"/>
      <c r="H1590" s="776" t="s">
        <v>835</v>
      </c>
      <c r="I1590" s="88" t="s">
        <v>79</v>
      </c>
      <c r="J1590" s="86"/>
      <c r="K1590" s="603" t="s">
        <v>45</v>
      </c>
      <c r="L1590" s="601" t="s">
        <v>46</v>
      </c>
      <c r="M1590" s="86"/>
      <c r="N1590" s="87" t="s">
        <v>128</v>
      </c>
      <c r="O1590" s="87"/>
      <c r="P1590" s="88"/>
      <c r="Q1590" s="89" t="s">
        <v>48</v>
      </c>
      <c r="R1590" s="835" t="s">
        <v>49</v>
      </c>
      <c r="S1590" s="835"/>
      <c r="T1590" s="835"/>
      <c r="U1590" s="842"/>
      <c r="V1590" s="90" t="b">
        <f>IF(G1590&gt;0,IF(AD1590="me","",G1590))</f>
        <v>0</v>
      </c>
      <c r="W1590" s="100"/>
      <c r="X1590" s="100"/>
      <c r="Y1590" s="790"/>
      <c r="Z1590" s="838" t="str">
        <f t="shared" ref="Z1590:Z1592" si="3881">IF(G1590=0,"",IF(AD1590="me","",IF($AD$8="me","",IF(AD1590="free","warranty",IF($AD$8="yes","NVP planting:","to NVP install:")))))</f>
        <v/>
      </c>
      <c r="AA1590" s="838"/>
      <c r="AB1590" s="830" t="str">
        <f>IF(G1590=0,"",IF(AD1590="free","re-planting",IF(AD1590="me","not NVP, by",IF($AD$8="yes",(VLOOKUP(A1590,'Discount Lookup'!J:K,2)*G1590*(1-$AC$1786)*(1+$AC$1788)),IF(AD1590="NVP",(VLOOKUP(A1590,'Discount Lookup'!J:K,2)*G1590*(1-$AC$1786)*(1+$AC$1788)),IF(AD1590="free","re-planting",IF(G1590=0,"",IF($AD$8="",IF(AD1590="me","not NVP, by",IF(AD1590="",IF(G1590&gt;0,(VLOOKUP(A1590,'Discount Lookup'!J:K,2)*G1590*(1-$AC$1786)*(1+$AC$1788)),""),"")),"not NVP, by"))))))))</f>
        <v/>
      </c>
      <c r="AC1590" s="830"/>
      <c r="AD1590" s="375" t="str">
        <f t="shared" si="3874"/>
        <v/>
      </c>
      <c r="AE1590" s="833" t="str">
        <f t="shared" ref="AE1590:AE1592" si="3882">IF(G1590&gt;0,(CONCATENATE((G1590)," quantity, ",(A1590)," ",B1590)),"")</f>
        <v/>
      </c>
      <c r="AF1590" s="833"/>
      <c r="AG1590" s="833"/>
      <c r="AH1590" s="91">
        <f>IF(AD1590="free",0,IF(AD1590="me",0,IF(G1590&gt;0,(VLOOKUP(A1590,'Discount Lookup'!J:K,2)*G1590),0)))</f>
        <v>0</v>
      </c>
      <c r="AI1590" s="92" t="str">
        <f t="shared" si="3771"/>
        <v/>
      </c>
      <c r="AJ1590" s="828" t="str">
        <f t="shared" ref="AJ1590:AJ1592" si="3883">IF(G1590=0,"",IF(AD1590="me","  delivery-only",IF($AD$8="me","  delivery-only",CONCATENATE(" $",ROUND(AI1590/G1590,2)," each"))))</f>
        <v/>
      </c>
      <c r="AK1590" s="828"/>
      <c r="AL1590" s="313" t="str">
        <f t="shared" si="3793"/>
        <v/>
      </c>
      <c r="AM1590" s="312"/>
      <c r="AN1590" s="101"/>
      <c r="AO1590" s="101"/>
      <c r="AP1590" s="101"/>
      <c r="AQ1590" s="101"/>
      <c r="AR1590" s="101"/>
      <c r="AS1590" s="101"/>
      <c r="AT1590" s="101"/>
    </row>
    <row r="1591" spans="1:46" ht="12.95" customHeight="1">
      <c r="A1591" s="419">
        <v>1</v>
      </c>
      <c r="B1591" s="87" t="s">
        <v>50</v>
      </c>
      <c r="C1591" s="399" t="s">
        <v>136</v>
      </c>
      <c r="D1591" s="129" t="s">
        <v>87</v>
      </c>
      <c r="E1591" s="98">
        <v>10.95</v>
      </c>
      <c r="F1591" s="705" t="s">
        <v>1306</v>
      </c>
      <c r="G1591" s="357">
        <v>0</v>
      </c>
      <c r="H1591" s="704" t="str">
        <f t="shared" ref="H1591" si="3884">IF(G1591=0,"",IF(F1591="Qty=",IF(G1591=1,"plant","plants"),IF(F1591&gt;0.0001,"warranty","Error")))</f>
        <v/>
      </c>
      <c r="I1591" s="98">
        <f t="shared" ref="I1591" si="3885">IF(F1591="Qty=",(E1591*G1591),((E1591*(1-F1591))*G1591))</f>
        <v>0</v>
      </c>
      <c r="J1591" s="98">
        <f>IF(H1591="warranty",0,(I1591*($J$1782)))</f>
        <v>0</v>
      </c>
      <c r="K1591" s="831">
        <f t="shared" ref="K1591" si="3886">I1591+J1591</f>
        <v>0</v>
      </c>
      <c r="L1591" s="831"/>
      <c r="M1591" s="832" t="str">
        <f>IF($H$1784=0,"",IF(G1591=0,"",IF(F1591="Qty=",CONCATENATE("$",ROUND(K1591*(1-$H$1784),2)," with ",($H$1784*100),"% discount"),CONCATENATE("$",ROUND(K1591*(1-$H$1784),2)," with ",(($H$1784*100+F1591*100)-($H$1784*100*F1591)),IF(F1591&gt;0,"% discounts",IF($H$1781&gt;0,"% discounts","% discount"))))))</f>
        <v/>
      </c>
      <c r="N1591" s="832"/>
      <c r="O1591" s="832"/>
      <c r="P1591" s="832"/>
      <c r="Q1591" s="832"/>
      <c r="R1591" s="832"/>
      <c r="S1591" s="303">
        <f t="shared" ref="S1591" si="3887">E1591*G1591</f>
        <v>0</v>
      </c>
      <c r="T1591" s="541">
        <f>VLOOKUP(A1591,'Discount Lookup'!D:E,2,FALSE)*G1591</f>
        <v>0</v>
      </c>
      <c r="U1591" s="83">
        <f>VLOOKUP(A1591,'Discount Lookup'!G:H,2,FALSE)*G1591</f>
        <v>0</v>
      </c>
      <c r="V1591" s="100">
        <f>E1591*($J$1782)*G1591</f>
        <v>0</v>
      </c>
      <c r="W1591" s="100">
        <f t="shared" ref="W1591" si="3888">I1591</f>
        <v>0</v>
      </c>
      <c r="X1591" s="100" t="b">
        <f>IF(G1591&gt;0,IF(AD1591="me","",G1591))</f>
        <v>0</v>
      </c>
      <c r="Y1591" s="790"/>
      <c r="Z1591" s="838" t="str">
        <f t="shared" si="3881"/>
        <v/>
      </c>
      <c r="AA1591" s="838"/>
      <c r="AB1591" s="830" t="str">
        <f>IF(G1591=0,"",IF(AD1591="free","re-planting",IF(AD1591="me","not NVP, by",IF($AD$8="yes",(VLOOKUP(A1591,'Discount Lookup'!J:K,2)*G1591*(1-$AC$1786)*(1+$AC$1788)),IF(AD1591="NVP",(VLOOKUP(A1591,'Discount Lookup'!J:K,2)*G1591*(1-$AC$1786)*(1+$AC$1788)),IF(AD1591="free","re-planting",IF(G1591=0,"",IF($AD$8="",IF(AD1591="me","not NVP, by",IF(AD1591="",IF(G1591&gt;0,(VLOOKUP(A1591,'Discount Lookup'!J:K,2)*G1591*(1-$AC$1786)*(1+$AC$1788)),""),"")),"not NVP, by"))))))))</f>
        <v/>
      </c>
      <c r="AC1591" s="830"/>
      <c r="AD1591" s="375" t="str">
        <f t="shared" si="3874"/>
        <v/>
      </c>
      <c r="AE1591" s="833" t="str">
        <f t="shared" si="3882"/>
        <v/>
      </c>
      <c r="AF1591" s="833"/>
      <c r="AG1591" s="833"/>
      <c r="AH1591" s="91">
        <f>IF(AD1591="free",0,IF(AD1591="me",0,IF(G1591&gt;0,(VLOOKUP(A1591,'Discount Lookup'!J:K,2)*G1591),0)))</f>
        <v>0</v>
      </c>
      <c r="AI1591" s="92" t="str">
        <f t="shared" si="3771"/>
        <v/>
      </c>
      <c r="AJ1591" s="828" t="str">
        <f t="shared" si="3883"/>
        <v/>
      </c>
      <c r="AK1591" s="828"/>
      <c r="AL1591" s="313" t="str">
        <f t="shared" si="3793"/>
        <v/>
      </c>
      <c r="AM1591" s="312"/>
      <c r="AN1591" s="101"/>
      <c r="AO1591" s="101"/>
      <c r="AP1591" s="101"/>
      <c r="AQ1591" s="101"/>
      <c r="AR1591" s="101"/>
      <c r="AS1591" s="101"/>
      <c r="AT1591" s="101"/>
    </row>
    <row r="1592" spans="1:46" ht="12.95" customHeight="1">
      <c r="A1592" s="469"/>
      <c r="B1592" s="103" t="s">
        <v>838</v>
      </c>
      <c r="G1592" s="361"/>
      <c r="H1592" s="749"/>
      <c r="M1592" s="110"/>
      <c r="N1592" s="122" t="s">
        <v>331</v>
      </c>
      <c r="O1592" s="123"/>
      <c r="P1592" s="124"/>
      <c r="Q1592" s="124"/>
      <c r="R1592" s="83"/>
      <c r="S1592" s="82"/>
      <c r="T1592" s="540"/>
      <c r="U1592" s="83"/>
      <c r="V1592" s="100"/>
      <c r="W1592" s="100"/>
      <c r="X1592" s="100"/>
      <c r="Y1592" s="790"/>
      <c r="Z1592" s="838" t="str">
        <f t="shared" si="3881"/>
        <v/>
      </c>
      <c r="AA1592" s="838"/>
      <c r="AB1592" s="830" t="str">
        <f>IF(G1592=0,"",IF(AD1592="free","re-planting",IF(AD1592="me","not NVP, by",IF($AD$8="yes",(VLOOKUP(A1592,'Discount Lookup'!J:K,2)*G1592*(1-$AC$1786)*(1+$AC$1788)),IF(AD1592="NVP",(VLOOKUP(A1592,'Discount Lookup'!J:K,2)*G1592*(1-$AC$1786)*(1+$AC$1788)),IF(AD1592="free","re-planting",IF(G1592=0,"",IF($AD$8="",IF(AD1592="me","not NVP, by",IF(AD1592="",IF(G1592&gt;0,(VLOOKUP(A1592,'Discount Lookup'!J:K,2)*G1592*(1-$AC$1786)*(1+$AC$1788)),""),"")),"not NVP, by"))))))))</f>
        <v/>
      </c>
      <c r="AC1592" s="830"/>
      <c r="AD1592" s="375" t="str">
        <f t="shared" si="3874"/>
        <v/>
      </c>
      <c r="AE1592" s="833" t="str">
        <f t="shared" si="3882"/>
        <v/>
      </c>
      <c r="AF1592" s="833"/>
      <c r="AG1592" s="833"/>
      <c r="AH1592" s="91">
        <f>IF(AD1592="free",0,IF(AD1592="me",0,IF(G1592&gt;0,(VLOOKUP(A1592,'Discount Lookup'!J:K,2)*G1592),0)))</f>
        <v>0</v>
      </c>
      <c r="AI1592" s="92" t="str">
        <f t="shared" si="3771"/>
        <v/>
      </c>
      <c r="AJ1592" s="828" t="str">
        <f t="shared" si="3883"/>
        <v/>
      </c>
      <c r="AK1592" s="828"/>
      <c r="AL1592" s="313" t="str">
        <f t="shared" si="3793"/>
        <v/>
      </c>
      <c r="AM1592" s="312"/>
      <c r="AN1592" s="101"/>
      <c r="AO1592" s="101"/>
      <c r="AP1592" s="101"/>
      <c r="AQ1592" s="101"/>
      <c r="AR1592" s="101"/>
      <c r="AS1592" s="101"/>
      <c r="AT1592" s="101"/>
    </row>
    <row r="1593" spans="1:46" ht="12.95" customHeight="1">
      <c r="A1593" s="923" t="s">
        <v>1000</v>
      </c>
      <c r="B1593" s="921"/>
      <c r="C1593" s="921"/>
      <c r="D1593" s="921"/>
      <c r="E1593" s="921"/>
      <c r="F1593" s="921"/>
      <c r="G1593" s="921"/>
      <c r="H1593" s="776" t="s">
        <v>835</v>
      </c>
      <c r="I1593" s="88" t="s">
        <v>79</v>
      </c>
      <c r="J1593" s="86"/>
      <c r="K1593" s="603" t="s">
        <v>45</v>
      </c>
      <c r="L1593" s="601" t="s">
        <v>46</v>
      </c>
      <c r="M1593" s="86"/>
      <c r="N1593" s="87" t="s">
        <v>128</v>
      </c>
      <c r="O1593" s="87"/>
      <c r="P1593" s="87"/>
      <c r="Q1593" s="89" t="s">
        <v>221</v>
      </c>
      <c r="R1593" s="835" t="s">
        <v>49</v>
      </c>
      <c r="S1593" s="835"/>
      <c r="T1593" s="835"/>
      <c r="U1593" s="842"/>
      <c r="V1593" s="90" t="b">
        <f>IF(G1593&gt;0,IF(AD1593="me","",G1593))</f>
        <v>0</v>
      </c>
      <c r="W1593" s="100"/>
      <c r="X1593" s="100"/>
      <c r="Y1593" s="790"/>
      <c r="Z1593" s="838" t="str">
        <f>IF(G1593=0,"",IF(AD1593="me","",IF($AD$8="me","",IF(AD1593="free","warranty",IF($AD$8="yes","NVP planting:","to NVP install:")))))</f>
        <v/>
      </c>
      <c r="AA1593" s="838"/>
      <c r="AB1593" s="830" t="str">
        <f>IF(G1593=0,"",IF(AD1593="free","re-planting",IF(AD1593="me","not NVP, by",IF($AD$8="yes",(VLOOKUP(A1593,'Discount Lookup'!J:K,2)*G1593*(1-$AC$1786)*(1+$AC$1788)),IF(AD1593="NVP",(VLOOKUP(A1593,'Discount Lookup'!J:K,2)*G1593*(1-$AC$1786)*(1+$AC$1788)),IF(AD1593="free","re-planting",IF(G1593=0,"",IF($AD$8="",IF(AD1593="me","not NVP, by",IF(AD1593="",IF(G1593&gt;0,(VLOOKUP(A1593,'Discount Lookup'!J:K,2)*G1593*(1-$AC$1786)*(1+$AC$1788)),""),"")),"not NVP, by"))))))))</f>
        <v/>
      </c>
      <c r="AC1593" s="830"/>
      <c r="AD1593" s="375" t="str">
        <f t="shared" si="3874"/>
        <v/>
      </c>
      <c r="AE1593" s="833" t="str">
        <f>IF(G1593&gt;0,(CONCATENATE((G1593)," quantity, ",(A1593)," ",B1593)),"")</f>
        <v/>
      </c>
      <c r="AF1593" s="833"/>
      <c r="AG1593" s="833"/>
      <c r="AH1593" s="91" t="s">
        <v>109</v>
      </c>
      <c r="AI1593" s="92" t="str">
        <f t="shared" si="3771"/>
        <v/>
      </c>
      <c r="AJ1593" s="828" t="str">
        <f>IF(G1593=0,"",IF(AD1593="me","  delivery-only",CONCATENATE(" $",ROUND(AI1593/G1593,2)," each")))</f>
        <v/>
      </c>
      <c r="AK1593" s="828"/>
      <c r="AL1593" s="313" t="str">
        <f t="shared" si="3793"/>
        <v/>
      </c>
      <c r="AM1593" s="312"/>
      <c r="AN1593" s="101"/>
      <c r="AO1593" s="101"/>
      <c r="AP1593" s="101"/>
      <c r="AQ1593" s="101"/>
      <c r="AR1593" s="101"/>
      <c r="AS1593" s="101"/>
      <c r="AT1593" s="101"/>
    </row>
    <row r="1594" spans="1:46" ht="12.95" customHeight="1">
      <c r="A1594" s="447">
        <v>1</v>
      </c>
      <c r="B1594" s="87" t="s">
        <v>50</v>
      </c>
      <c r="C1594" s="128"/>
      <c r="D1594" s="129" t="s">
        <v>87</v>
      </c>
      <c r="E1594" s="98">
        <v>10.95</v>
      </c>
      <c r="F1594" s="705" t="s">
        <v>1306</v>
      </c>
      <c r="G1594" s="357">
        <v>0</v>
      </c>
      <c r="H1594" s="704" t="str">
        <f t="shared" ref="H1594" si="3889">IF(G1594=0,"",IF(F1594="Qty=",IF(G1594=1,"plant","plants"),IF(F1594&gt;0.0001,"warranty","Error")))</f>
        <v/>
      </c>
      <c r="I1594" s="98">
        <f t="shared" ref="I1594" si="3890">IF(F1594="Qty=",(E1594*G1594),((E1594*(1-F1594))*G1594))</f>
        <v>0</v>
      </c>
      <c r="J1594" s="98">
        <f>IF(H1594="warranty",0,(I1594*($J$1782)))</f>
        <v>0</v>
      </c>
      <c r="K1594" s="831">
        <f t="shared" ref="K1594" si="3891">I1594+J1594</f>
        <v>0</v>
      </c>
      <c r="L1594" s="831"/>
      <c r="M1594" s="832" t="str">
        <f>IF($H$1784=0,"",IF(G1594=0,"",IF(F1594="Qty=",CONCATENATE("$",ROUND(K1594*(1-$H$1784),2)," with ",($H$1784*100),"% discount"),CONCATENATE("$",ROUND(K1594*(1-$H$1784),2)," with ",(($H$1784*100+F1594*100)-($H$1784*100*F1594)),IF(F1594&gt;0,"% discounts",IF($H$1781&gt;0,"% discounts","% discount"))))))</f>
        <v/>
      </c>
      <c r="N1594" s="832"/>
      <c r="O1594" s="832"/>
      <c r="P1594" s="832"/>
      <c r="Q1594" s="832"/>
      <c r="R1594" s="832"/>
      <c r="S1594" s="303">
        <f t="shared" ref="S1594" si="3892">E1594*G1594</f>
        <v>0</v>
      </c>
      <c r="T1594" s="541">
        <f>VLOOKUP(A1594,'Discount Lookup'!D:E,2,FALSE)*G1594</f>
        <v>0</v>
      </c>
      <c r="U1594" s="83">
        <f>VLOOKUP(A1594,'Discount Lookup'!G:H,2,FALSE)*G1594</f>
        <v>0</v>
      </c>
      <c r="V1594" s="100">
        <f>E1594*($J$1782)*G1594</f>
        <v>0</v>
      </c>
      <c r="W1594" s="100">
        <f t="shared" ref="W1594" si="3893">I1594</f>
        <v>0</v>
      </c>
      <c r="X1594" s="100" t="b">
        <f>IF(G1594&gt;0,IF(AD1594="me","",G1594))</f>
        <v>0</v>
      </c>
      <c r="Y1594" s="790"/>
      <c r="Z1594" s="838" t="str">
        <f>IF(G1594=0,"",IF(AD1594="me","",IF($AD$8="me","",IF(AD1594="free","warranty",IF($AD$8="yes","NVP planting:","to NVP install:")))))</f>
        <v/>
      </c>
      <c r="AA1594" s="838"/>
      <c r="AB1594" s="830" t="str">
        <f>IF(G1594=0,"",IF(AD1594="free","re-planting",IF(AD1594="me","not NVP, by",IF($AD$8="yes",(VLOOKUP(A1594,'Discount Lookup'!J:K,2)*G1594*(1-$AC$1786)*(1+$AC$1788)),IF(AD1594="NVP",(VLOOKUP(A1594,'Discount Lookup'!J:K,2)*G1594*(1-$AC$1786)*(1+$AC$1788)),IF(AD1594="free","re-planting",IF(G1594=0,"",IF($AD$8="",IF(AD1594="me","not NVP, by",IF(AD1594="",IF(G1594&gt;0,(VLOOKUP(A1594,'Discount Lookup'!J:K,2)*G1594*(1-$AC$1786)*(1+$AC$1788)),""),"")),"not NVP, by"))))))))</f>
        <v/>
      </c>
      <c r="AC1594" s="830"/>
      <c r="AD1594" s="375" t="str">
        <f t="shared" si="3874"/>
        <v/>
      </c>
      <c r="AE1594" s="833" t="str">
        <f>IF(G1594&gt;0,(CONCATENATE((G1594)," quantity, ",(A1594)," ",B1594)),"")</f>
        <v/>
      </c>
      <c r="AF1594" s="833"/>
      <c r="AG1594" s="833"/>
      <c r="AH1594" s="91" t="str">
        <f>IF(AD1594="free",0,IF(AD1594="me","",IF(G1594&gt;0,(VLOOKUP(A1594,'Discount Lookup'!J:K,2)*G1594),"")))</f>
        <v/>
      </c>
      <c r="AI1594" s="92" t="str">
        <f t="shared" si="3771"/>
        <v/>
      </c>
      <c r="AJ1594" s="828" t="str">
        <f>IF(G1594=0,"",IF(AD1594="me","  delivery-only",CONCATENATE(" $",ROUND(AI1594/G1594,2)," each")))</f>
        <v/>
      </c>
      <c r="AK1594" s="828"/>
      <c r="AL1594" s="313" t="str">
        <f t="shared" si="3793"/>
        <v/>
      </c>
      <c r="AM1594" s="312"/>
      <c r="AN1594" s="101"/>
      <c r="AO1594" s="101"/>
      <c r="AP1594" s="101"/>
      <c r="AQ1594" s="101"/>
      <c r="AR1594" s="101"/>
      <c r="AS1594" s="101"/>
      <c r="AT1594" s="101"/>
    </row>
    <row r="1595" spans="1:46" ht="12.95" customHeight="1">
      <c r="A1595" s="506"/>
      <c r="B1595" s="103" t="s">
        <v>1001</v>
      </c>
      <c r="G1595" s="361"/>
      <c r="H1595" s="749"/>
      <c r="M1595" s="110"/>
      <c r="N1595" s="122" t="s">
        <v>450</v>
      </c>
      <c r="O1595" s="48"/>
      <c r="P1595" s="48"/>
      <c r="Q1595" s="48"/>
      <c r="R1595" s="48"/>
      <c r="S1595" s="82"/>
      <c r="T1595" s="540"/>
      <c r="U1595" s="83"/>
      <c r="V1595" s="100"/>
      <c r="W1595" s="100"/>
      <c r="X1595" s="100"/>
      <c r="Y1595" s="790"/>
      <c r="Z1595" s="838" t="str">
        <f>IF(G1595=0,"",IF(AD1595="me","",IF($AD$8="me","",IF(AD1595="free","warranty",IF($AD$8="yes","NVP planting:","to NVP install:")))))</f>
        <v/>
      </c>
      <c r="AA1595" s="838"/>
      <c r="AB1595" s="830" t="str">
        <f>IF(G1595=0,"",IF(AD1595="free","re-planting",IF(AD1595="me","not NVP, by",IF($AD$8="yes",(VLOOKUP(A1595,'Discount Lookup'!J:K,2)*G1595*(1-$AC$1786)*(1+$AC$1788)),IF(AD1595="NVP",(VLOOKUP(A1595,'Discount Lookup'!J:K,2)*G1595*(1-$AC$1786)*(1+$AC$1788)),IF(AD1595="free","re-planting",IF(G1595=0,"",IF($AD$8="",IF(AD1595="me","not NVP, by",IF(AD1595="",IF(G1595&gt;0,(VLOOKUP(A1595,'Discount Lookup'!J:K,2)*G1595*(1-$AC$1786)*(1+$AC$1788)),""),"")),"not NVP, by"))))))))</f>
        <v/>
      </c>
      <c r="AC1595" s="830"/>
      <c r="AD1595" s="375" t="str">
        <f t="shared" si="3874"/>
        <v/>
      </c>
      <c r="AE1595" s="833" t="str">
        <f>IF(G1595&gt;0,(CONCATENATE((G1595)," quantity, ",(A1595)," ",B1595)),"")</f>
        <v/>
      </c>
      <c r="AF1595" s="833"/>
      <c r="AG1595" s="833"/>
      <c r="AH1595" s="91" t="s">
        <v>109</v>
      </c>
      <c r="AI1595" s="92" t="str">
        <f t="shared" si="3771"/>
        <v/>
      </c>
      <c r="AJ1595" s="828" t="str">
        <f>IF(G1595=0,"",IF(AD1595="me","  delivery-only",CONCATENATE(" $",ROUND(AI1595/G1595,2)," each")))</f>
        <v/>
      </c>
      <c r="AK1595" s="828"/>
      <c r="AL1595" s="313" t="str">
        <f t="shared" si="3793"/>
        <v/>
      </c>
      <c r="AM1595" s="312"/>
      <c r="AN1595" s="101"/>
      <c r="AO1595" s="101"/>
      <c r="AP1595" s="101"/>
      <c r="AQ1595" s="101"/>
      <c r="AR1595" s="101"/>
      <c r="AS1595" s="101"/>
      <c r="AT1595" s="101"/>
    </row>
    <row r="1596" spans="1:46" ht="12.95" customHeight="1">
      <c r="A1596" s="929" t="s">
        <v>1036</v>
      </c>
      <c r="B1596" s="902"/>
      <c r="C1596" s="902"/>
      <c r="D1596" s="902"/>
      <c r="E1596" s="902"/>
      <c r="F1596" s="902"/>
      <c r="G1596" s="902"/>
      <c r="H1596" s="776" t="s">
        <v>1037</v>
      </c>
      <c r="I1596" s="88" t="s">
        <v>79</v>
      </c>
      <c r="J1596" s="86"/>
      <c r="K1596" s="603" t="s">
        <v>45</v>
      </c>
      <c r="L1596" s="601" t="s">
        <v>46</v>
      </c>
      <c r="M1596" s="86"/>
      <c r="N1596" s="87" t="s">
        <v>128</v>
      </c>
      <c r="O1596" s="87"/>
      <c r="P1596" s="87"/>
      <c r="Q1596" s="89" t="s">
        <v>48</v>
      </c>
      <c r="R1596" s="835" t="s">
        <v>49</v>
      </c>
      <c r="S1596" s="835"/>
      <c r="T1596" s="835"/>
      <c r="U1596" s="842"/>
      <c r="V1596" s="90" t="b">
        <f>IF(G1596&gt;0,IF(AD1596="me","",G1596))</f>
        <v>0</v>
      </c>
      <c r="W1596" s="100"/>
      <c r="X1596" s="100"/>
      <c r="Y1596" s="201"/>
      <c r="Z1596" s="829" t="str">
        <f t="shared" ref="Z1596:Z1660" si="3894">IF(G1596=0,"",IF(AD1596="me","",IF($AD$8="me","",IF(AD1596="free","warranty",IF($AD$8="yes","NVP planting:","to NVP install:")))))</f>
        <v/>
      </c>
      <c r="AA1596" s="829"/>
      <c r="AB1596" s="830" t="str">
        <f>IF(G1596=0,"",IF(AD1596="free","re-planting",IF(AD1596="me","not NVP, by",IF($AD$8="yes",(VLOOKUP(A1596,'Discount Lookup'!J:K,2)*G1596*(1-$AC$1786)*(1+$AC$1788)),IF(AD1596="NVP",(VLOOKUP(A1596,'Discount Lookup'!J:K,2)*G1596*(1-$AC$1786)*(1+$AC$1788)),IF(AD1596="free","re-planting",IF(G1596=0,"",IF($AD$8="",IF(AD1596="me","not NVP, by",IF(AD1596="",IF(G1596&gt;0,(VLOOKUP(A1596,'Discount Lookup'!J:K,2)*G1596*(1-$AC$1786)*(1+$AC$1788)),""),"")),"not NVP, by"))))))))</f>
        <v/>
      </c>
      <c r="AC1596" s="830"/>
      <c r="AD1596" s="375" t="str">
        <f t="shared" si="3843"/>
        <v/>
      </c>
      <c r="AE1596" s="833" t="str">
        <f t="shared" ref="AE1596:AE1598" si="3895">IF(G1596&gt;0,(CONCATENATE((G1596)," quantity, ",(A1596)," ",B1596)),"")</f>
        <v/>
      </c>
      <c r="AF1596" s="833"/>
      <c r="AG1596" s="833"/>
      <c r="AH1596" s="91">
        <f>IF(AD1596="free",0,IF(AD1596="me",0,IF(G1596&gt;0,(VLOOKUP(A1596,'Discount Lookup'!J:K,2)*G1596),0)))</f>
        <v>0</v>
      </c>
      <c r="AI1596" s="92" t="str">
        <f t="shared" si="3771"/>
        <v/>
      </c>
      <c r="AJ1596" s="828" t="str">
        <f t="shared" ref="AJ1596:AJ1660" si="3896">IF(G1596=0,"",IF(AD1596="me","  delivery-only",IF($AD$8="me","  delivery-only",CONCATENATE(" $",ROUND(AI1596/G1596,2)," each"))))</f>
        <v/>
      </c>
      <c r="AK1596" s="828"/>
      <c r="AL1596" s="313" t="str">
        <f t="shared" si="3793"/>
        <v/>
      </c>
      <c r="AM1596" s="312"/>
      <c r="AN1596" s="101"/>
      <c r="AO1596" s="101"/>
      <c r="AP1596" s="101"/>
      <c r="AQ1596" s="101"/>
      <c r="AR1596" s="101"/>
      <c r="AS1596" s="101"/>
      <c r="AT1596" s="101"/>
    </row>
    <row r="1597" spans="1:46" ht="12.95" customHeight="1">
      <c r="A1597" s="419" t="s">
        <v>808</v>
      </c>
      <c r="B1597" s="87" t="s">
        <v>809</v>
      </c>
      <c r="C1597" s="399" t="s">
        <v>1437</v>
      </c>
      <c r="D1597" s="129" t="s">
        <v>90</v>
      </c>
      <c r="E1597" s="98">
        <v>153.94999999999999</v>
      </c>
      <c r="F1597" s="705" t="s">
        <v>1306</v>
      </c>
      <c r="G1597" s="357">
        <v>0</v>
      </c>
      <c r="H1597" s="704" t="str">
        <f t="shared" ref="H1597" si="3897">IF(G1597=0,"",IF(F1597="Qty=",IF(G1597=1,"plant","plants"),IF(F1597&gt;0.0001,"warranty","Error")))</f>
        <v/>
      </c>
      <c r="I1597" s="98">
        <f t="shared" ref="I1597" si="3898">IF(F1597="Qty=",(E1597*G1597),((E1597*(1-F1597))*G1597))</f>
        <v>0</v>
      </c>
      <c r="J1597" s="98">
        <f>IF(H1597="warranty",0,(I1597*($J$1782)))</f>
        <v>0</v>
      </c>
      <c r="K1597" s="831">
        <f t="shared" ref="K1597" si="3899">I1597+J1597</f>
        <v>0</v>
      </c>
      <c r="L1597" s="831"/>
      <c r="M1597" s="832" t="str">
        <f>IF($H$1784=0,"",IF(G1597=0,"",IF(F1597="Qty=",CONCATENATE("$",ROUND(K1597*(1-$H$1784),2)," with ",($H$1784*100),"% discount"),CONCATENATE("$",ROUND(K1597*(1-$H$1784),2)," with ",(($H$1784*100+F1597*100)-($H$1784*100*F1597)),IF(F1597&gt;0,"% discounts",IF($H$1781&gt;0,"% discounts","% discount"))))))</f>
        <v/>
      </c>
      <c r="N1597" s="832"/>
      <c r="O1597" s="832"/>
      <c r="P1597" s="832"/>
      <c r="Q1597" s="832"/>
      <c r="R1597" s="832"/>
      <c r="S1597" s="303">
        <f t="shared" ref="S1597" si="3900">E1597*G1597</f>
        <v>0</v>
      </c>
      <c r="T1597" s="541">
        <f>VLOOKUP(A1597,'Discount Lookup'!D:E,2,FALSE)*G1597</f>
        <v>0</v>
      </c>
      <c r="U1597" s="83">
        <f>VLOOKUP(A1597,'Discount Lookup'!G:H,2,FALSE)*G1597</f>
        <v>0</v>
      </c>
      <c r="V1597" s="100">
        <f>E1597*($J$1782)*G1597</f>
        <v>0</v>
      </c>
      <c r="W1597" s="100">
        <f t="shared" ref="W1597" si="3901">I1597</f>
        <v>0</v>
      </c>
      <c r="X1597" s="100" t="b">
        <f>IF(G1597&gt;0,IF(AD1597="me","",G1597))</f>
        <v>0</v>
      </c>
      <c r="Y1597" s="201"/>
      <c r="Z1597" s="829" t="str">
        <f t="shared" si="3894"/>
        <v/>
      </c>
      <c r="AA1597" s="829"/>
      <c r="AB1597" s="830" t="str">
        <f>IF(G1597=0,"",IF(AD1597="free","re-planting",IF(AD1597="me","not NVP, by",IF($AD$8="yes",(VLOOKUP(A1597,'Discount Lookup'!J:K,2)*G1597*(1-$AC$1786)*(1+$AC$1788)),IF(AD1597="NVP",(VLOOKUP(A1597,'Discount Lookup'!J:K,2)*G1597*(1-$AC$1786)*(1+$AC$1788)),IF(AD1597="free","re-planting",IF(G1597=0,"",IF($AD$8="",IF(AD1597="me","not NVP, by",IF(AD1597="",IF(G1597&gt;0,(VLOOKUP(A1597,'Discount Lookup'!J:K,2)*G1597*(1-$AC$1786)*(1+$AC$1788)),""),"")),"not NVP, by"))))))))</f>
        <v/>
      </c>
      <c r="AC1597" s="830"/>
      <c r="AD1597" s="375" t="str">
        <f t="shared" si="3843"/>
        <v/>
      </c>
      <c r="AE1597" s="833" t="str">
        <f t="shared" si="3895"/>
        <v/>
      </c>
      <c r="AF1597" s="833"/>
      <c r="AG1597" s="833"/>
      <c r="AH1597" s="91">
        <f>IF(AD1597="free",0,IF(AD1597="me",0,IF(G1597&gt;0,(VLOOKUP(A1597,'Discount Lookup'!J:K,2)*G1597),0)))</f>
        <v>0</v>
      </c>
      <c r="AI1597" s="92" t="str">
        <f t="shared" si="3771"/>
        <v/>
      </c>
      <c r="AJ1597" s="828" t="str">
        <f t="shared" si="3896"/>
        <v/>
      </c>
      <c r="AK1597" s="828"/>
      <c r="AL1597" s="313" t="str">
        <f t="shared" si="3793"/>
        <v/>
      </c>
      <c r="AM1597" s="312"/>
      <c r="AN1597" s="101"/>
      <c r="AO1597" s="101"/>
      <c r="AP1597" s="101"/>
      <c r="AQ1597" s="101"/>
      <c r="AR1597" s="101"/>
      <c r="AS1597" s="101"/>
      <c r="AT1597" s="101"/>
    </row>
    <row r="1598" spans="1:46" ht="12.95" customHeight="1">
      <c r="A1598" s="469"/>
      <c r="B1598" s="198" t="s">
        <v>1038</v>
      </c>
      <c r="G1598" s="361"/>
      <c r="H1598" s="749"/>
      <c r="M1598" s="110"/>
      <c r="N1598" s="189"/>
      <c r="O1598" s="48"/>
      <c r="P1598" s="111"/>
      <c r="Q1598" s="111"/>
      <c r="R1598" s="48"/>
      <c r="S1598" s="82"/>
      <c r="T1598" s="540"/>
      <c r="U1598" s="83"/>
      <c r="V1598" s="100" t="b">
        <f>IF(G1598&gt;0,IF(AD1598="me","",G1598))</f>
        <v>0</v>
      </c>
      <c r="W1598" s="100"/>
      <c r="X1598" s="100"/>
      <c r="Y1598" s="201"/>
      <c r="Z1598" s="829" t="str">
        <f t="shared" si="3894"/>
        <v/>
      </c>
      <c r="AA1598" s="829"/>
      <c r="AB1598" s="830" t="str">
        <f>IF(G1598=0,"",IF(AD1598="free","re-planting",IF(AD1598="me","not NVP, by",IF($AD$8="yes",(VLOOKUP(A1598,'Discount Lookup'!J:K,2)*G1598*(1-$AC$1786)*(1+$AC$1788)),IF(AD1598="NVP",(VLOOKUP(A1598,'Discount Lookup'!J:K,2)*G1598*(1-$AC$1786)*(1+$AC$1788)),IF(AD1598="free","re-planting",IF(G1598=0,"",IF($AD$8="",IF(AD1598="me","not NVP, by",IF(AD1598="",IF(G1598&gt;0,(VLOOKUP(A1598,'Discount Lookup'!J:K,2)*G1598*(1-$AC$1786)*(1+$AC$1788)),""),"")),"not NVP, by"))))))))</f>
        <v/>
      </c>
      <c r="AC1598" s="830"/>
      <c r="AD1598" s="375" t="str">
        <f t="shared" si="3843"/>
        <v/>
      </c>
      <c r="AE1598" s="833" t="str">
        <f t="shared" si="3895"/>
        <v/>
      </c>
      <c r="AF1598" s="833"/>
      <c r="AG1598" s="833"/>
      <c r="AH1598" s="91">
        <f>IF(AD1598="free",0,IF(AD1598="me",0,IF(G1598&gt;0,(VLOOKUP(A1598,'Discount Lookup'!J:K,2)*G1598),0)))</f>
        <v>0</v>
      </c>
      <c r="AI1598" s="92" t="str">
        <f t="shared" si="3771"/>
        <v/>
      </c>
      <c r="AJ1598" s="828" t="str">
        <f t="shared" si="3896"/>
        <v/>
      </c>
      <c r="AK1598" s="828"/>
      <c r="AL1598" s="313" t="str">
        <f t="shared" si="3793"/>
        <v/>
      </c>
      <c r="AM1598" s="312"/>
      <c r="AN1598" s="101"/>
      <c r="AO1598" s="101"/>
      <c r="AP1598" s="101"/>
      <c r="AQ1598" s="101"/>
      <c r="AR1598" s="101"/>
      <c r="AS1598" s="101"/>
      <c r="AT1598" s="101"/>
    </row>
    <row r="1599" spans="1:46" ht="12.95" customHeight="1">
      <c r="A1599" s="863" t="s">
        <v>1260</v>
      </c>
      <c r="B1599" s="864"/>
      <c r="C1599" s="864"/>
      <c r="D1599" s="864"/>
      <c r="E1599" s="864"/>
      <c r="F1599" s="864"/>
      <c r="G1599" s="864"/>
      <c r="H1599" s="776" t="s">
        <v>840</v>
      </c>
      <c r="I1599" s="88" t="s">
        <v>79</v>
      </c>
      <c r="J1599" s="86"/>
      <c r="K1599" s="603" t="s">
        <v>45</v>
      </c>
      <c r="L1599" s="601" t="s">
        <v>46</v>
      </c>
      <c r="M1599" s="86"/>
      <c r="N1599" s="87" t="s">
        <v>69</v>
      </c>
      <c r="O1599" s="87"/>
      <c r="P1599" s="87"/>
      <c r="Q1599" s="87"/>
      <c r="R1599" s="86"/>
      <c r="S1599" s="125"/>
      <c r="T1599" s="543"/>
      <c r="U1599" s="112"/>
      <c r="V1599" s="100" t="b">
        <f>IF(G1599&gt;0,IF(AD1599="me","",G1599))</f>
        <v>0</v>
      </c>
      <c r="W1599" s="100"/>
      <c r="X1599" s="100"/>
      <c r="Y1599" s="201"/>
      <c r="Z1599" s="829" t="str">
        <f t="shared" si="3894"/>
        <v/>
      </c>
      <c r="AA1599" s="829"/>
      <c r="AB1599" s="830" t="str">
        <f>IF(G1599=0,"",IF(AD1599="free","re-planting",IF(AD1599="me","not NVP, by",IF($AD$8="yes",(VLOOKUP(A1599,'Discount Lookup'!J:K,2)*G1599*(1-$AC$1786)*(1+$AC$1788)),IF(AD1599="NVP",(VLOOKUP(A1599,'Discount Lookup'!J:K,2)*G1599*(1-$AC$1786)*(1+$AC$1788)),IF(AD1599="free","re-planting",IF(G1599=0,"",IF($AD$8="",IF(AD1599="me","not NVP, by",IF(AD1599="",IF(G1599&gt;0,(VLOOKUP(A1599,'Discount Lookup'!J:K,2)*G1599*(1-$AC$1786)*(1+$AC$1788)),""),"")),"not NVP, by"))))))))</f>
        <v/>
      </c>
      <c r="AC1599" s="830"/>
      <c r="AD1599" s="375" t="str">
        <f t="shared" si="3843"/>
        <v/>
      </c>
      <c r="AE1599" s="833" t="str">
        <f t="shared" ref="AE1599:AE1604" si="3902">IF(G1599&gt;0,(CONCATENATE((G1599)," quantity, ",(A1599)," ",B1599)),"")</f>
        <v/>
      </c>
      <c r="AF1599" s="833"/>
      <c r="AG1599" s="833"/>
      <c r="AH1599" s="91">
        <f>IF(AD1599="free",0,IF(AD1599="me",0,IF(G1599&gt;0,(VLOOKUP(A1599,'Discount Lookup'!J:K,2)*G1599),0)))</f>
        <v>0</v>
      </c>
      <c r="AI1599" s="92" t="str">
        <f t="shared" ref="AI1599:AI1662" si="3903">IF(G1599=0,"",IF(AD1599="free",(K1599*(1-$H$1784)),IF($AD$8="me",(K1599*(1-$H$1784)),IF(AD1599="me",(K1599*(1-$H$1784)),(K1599*(1-$H$1784))+AB1599))))</f>
        <v/>
      </c>
      <c r="AJ1599" s="828" t="str">
        <f t="shared" si="3896"/>
        <v/>
      </c>
      <c r="AK1599" s="828"/>
      <c r="AL1599" s="313" t="str">
        <f t="shared" si="3793"/>
        <v/>
      </c>
      <c r="AM1599" s="312"/>
      <c r="AN1599" s="101"/>
      <c r="AO1599" s="101"/>
      <c r="AP1599" s="101"/>
      <c r="AQ1599" s="101"/>
      <c r="AR1599" s="101"/>
      <c r="AS1599" s="101"/>
      <c r="AT1599" s="101"/>
    </row>
    <row r="1600" spans="1:46" ht="12.95" customHeight="1">
      <c r="A1600" s="419" t="s">
        <v>817</v>
      </c>
      <c r="B1600" s="87" t="s">
        <v>669</v>
      </c>
      <c r="C1600" s="399" t="s">
        <v>136</v>
      </c>
      <c r="D1600" s="129" t="s">
        <v>94</v>
      </c>
      <c r="E1600" s="98">
        <v>11.95</v>
      </c>
      <c r="F1600" s="705" t="s">
        <v>1306</v>
      </c>
      <c r="G1600" s="357">
        <v>0</v>
      </c>
      <c r="H1600" s="704" t="str">
        <f t="shared" ref="H1600" si="3904">IF(G1600=0,"",IF(F1600="Qty=",IF(G1600=1,"plant","plants"),IF(F1600&gt;0.0001,"warranty","Error")))</f>
        <v/>
      </c>
      <c r="I1600" s="98">
        <f t="shared" ref="I1600" si="3905">IF(F1600="Qty=",(E1600*G1600),((E1600*(1-F1600))*G1600))</f>
        <v>0</v>
      </c>
      <c r="J1600" s="98">
        <f>IF(H1600="warranty",0,(I1600*($J$1782)))</f>
        <v>0</v>
      </c>
      <c r="K1600" s="831">
        <f t="shared" ref="K1600:K1603" si="3906">I1600+J1600</f>
        <v>0</v>
      </c>
      <c r="L1600" s="831"/>
      <c r="M1600" s="832" t="str">
        <f>IF($H$1784=0,"",IF(G1600=0,"",IF(F1600="Qty=",CONCATENATE("$",ROUND(K1600*(1-$H$1784),2)," with ",($H$1784*100),"% discount"),CONCATENATE("$",ROUND(K1600*(1-$H$1784),2)," with ",(($H$1784*100+F1600*100)-($H$1784*100*F1600)),IF(F1600&gt;0,"% discounts",IF($H$1781&gt;0,"% discounts","% discount"))))))</f>
        <v/>
      </c>
      <c r="N1600" s="832"/>
      <c r="O1600" s="832"/>
      <c r="P1600" s="832"/>
      <c r="Q1600" s="832"/>
      <c r="R1600" s="832"/>
      <c r="S1600" s="303">
        <f t="shared" ref="S1600" si="3907">E1600*G1600</f>
        <v>0</v>
      </c>
      <c r="T1600" s="541">
        <f>VLOOKUP(A1600,'Discount Lookup'!D:E,2,FALSE)*G1600</f>
        <v>0</v>
      </c>
      <c r="U1600" s="83">
        <f>VLOOKUP(A1600,'Discount Lookup'!G:H,2,FALSE)*G1600</f>
        <v>0</v>
      </c>
      <c r="V1600" s="100">
        <f>E1600*($J$1782)*G1600</f>
        <v>0</v>
      </c>
      <c r="W1600" s="100">
        <f t="shared" ref="W1600" si="3908">I1600</f>
        <v>0</v>
      </c>
      <c r="X1600" s="100" t="b">
        <f>IF(G1600&gt;0,IF(AD1600="me","",G1600))</f>
        <v>0</v>
      </c>
      <c r="Y1600" s="201"/>
      <c r="Z1600" s="829" t="str">
        <f t="shared" si="3894"/>
        <v/>
      </c>
      <c r="AA1600" s="829"/>
      <c r="AB1600" s="830" t="str">
        <f>IF(G1600=0,"",IF(AD1600="free","re-planting",IF(AD1600="me","not NVP, by",IF($AD$8="yes",(VLOOKUP(A1600,'Discount Lookup'!J:K,2)*G1600*(1-$AC$1786)*(1+$AC$1788)),IF(AD1600="NVP",(VLOOKUP(A1600,'Discount Lookup'!J:K,2)*G1600*(1-$AC$1786)*(1+$AC$1788)),IF(AD1600="free","re-planting",IF(G1600=0,"",IF($AD$8="",IF(AD1600="me","not NVP, by",IF(AD1600="",IF(G1600&gt;0,(VLOOKUP(A1600,'Discount Lookup'!J:K,2)*G1600*(1-$AC$1786)*(1+$AC$1788)),""),"")),"not NVP, by"))))))))</f>
        <v/>
      </c>
      <c r="AC1600" s="830"/>
      <c r="AD1600" s="375" t="str">
        <f t="shared" si="3843"/>
        <v/>
      </c>
      <c r="AE1600" s="833" t="str">
        <f>IF(G1600&gt;0,(CONCATENATE((G1600)," quantity, ",(A1600)," ",B1600)),"")</f>
        <v/>
      </c>
      <c r="AF1600" s="833"/>
      <c r="AG1600" s="833"/>
      <c r="AH1600" s="91">
        <f>IF(AD1600="free",0,IF(AD1600="me",0,IF(G1600&gt;0,(VLOOKUP(A1600,'Discount Lookup'!J:K,2)*G1600),0)))</f>
        <v>0</v>
      </c>
      <c r="AI1600" s="92" t="str">
        <f t="shared" si="3903"/>
        <v/>
      </c>
      <c r="AJ1600" s="828" t="str">
        <f t="shared" si="3896"/>
        <v/>
      </c>
      <c r="AK1600" s="828"/>
      <c r="AL1600" s="313" t="str">
        <f t="shared" si="3793"/>
        <v/>
      </c>
      <c r="AM1600" s="312"/>
      <c r="AN1600" s="101"/>
      <c r="AO1600" s="101"/>
      <c r="AP1600" s="101"/>
      <c r="AQ1600" s="101"/>
      <c r="AR1600" s="101"/>
      <c r="AS1600" s="101"/>
      <c r="AT1600" s="101"/>
    </row>
    <row r="1601" spans="1:46" ht="12.95" customHeight="1">
      <c r="A1601" s="419">
        <v>1</v>
      </c>
      <c r="B1601" s="87" t="s">
        <v>50</v>
      </c>
      <c r="C1601" s="399" t="s">
        <v>136</v>
      </c>
      <c r="D1601" s="129" t="s">
        <v>87</v>
      </c>
      <c r="E1601" s="98">
        <v>15.95</v>
      </c>
      <c r="F1601" s="705" t="s">
        <v>1306</v>
      </c>
      <c r="G1601" s="357">
        <v>0</v>
      </c>
      <c r="H1601" s="704" t="str">
        <f t="shared" ref="H1601:H1603" si="3909">IF(G1601=0,"",IF(F1601="Qty=",IF(G1601=1,"plant","plants"),IF(F1601&gt;0.0001,"warranty","Error")))</f>
        <v/>
      </c>
      <c r="I1601" s="98">
        <f t="shared" ref="I1601:I1603" si="3910">IF(F1601="Qty=",(E1601*G1601),((E1601*(1-F1601))*G1601))</f>
        <v>0</v>
      </c>
      <c r="J1601" s="98">
        <f>IF(H1601="warranty",0,(I1601*($J$1782)))</f>
        <v>0</v>
      </c>
      <c r="K1601" s="831">
        <f t="shared" si="3906"/>
        <v>0</v>
      </c>
      <c r="L1601" s="831"/>
      <c r="M1601" s="832" t="str">
        <f>IF($H$1784=0,"",IF(G1601=0,"",IF(F1601="Qty=",CONCATENATE("$",ROUND(K1601*(1-$H$1784),2)," with ",($H$1784*100),"% discount"),CONCATENATE("$",ROUND(K1601*(1-$H$1784),2)," with ",(($H$1784*100+F1601*100)-($H$1784*100*F1601)),IF(F1601&gt;0,"% discounts",IF($H$1781&gt;0,"% discounts","% discount"))))))</f>
        <v/>
      </c>
      <c r="N1601" s="832"/>
      <c r="O1601" s="832"/>
      <c r="P1601" s="832"/>
      <c r="Q1601" s="832"/>
      <c r="R1601" s="832"/>
      <c r="S1601" s="303">
        <f>E1601*G1601</f>
        <v>0</v>
      </c>
      <c r="T1601" s="541">
        <f>VLOOKUP(A1601,'Discount Lookup'!D:E,2,FALSE)*G1601</f>
        <v>0</v>
      </c>
      <c r="U1601" s="83">
        <f>VLOOKUP(A1601,'Discount Lookup'!G:H,2,FALSE)*G1601</f>
        <v>0</v>
      </c>
      <c r="V1601" s="100">
        <f>E1601*($J$1782)*G1601</f>
        <v>0</v>
      </c>
      <c r="W1601" s="100">
        <f>I1601</f>
        <v>0</v>
      </c>
      <c r="X1601" s="100" t="b">
        <f>IF(G1601&gt;0,IF(AD1601="me","",G1601))</f>
        <v>0</v>
      </c>
      <c r="Y1601" s="201"/>
      <c r="Z1601" s="829" t="str">
        <f t="shared" si="3894"/>
        <v/>
      </c>
      <c r="AA1601" s="829"/>
      <c r="AB1601" s="830" t="str">
        <f>IF(G1601=0,"",IF(AD1601="free","re-planting",IF(AD1601="me","not NVP, by",IF($AD$8="yes",(VLOOKUP(A1601,'Discount Lookup'!J:K,2)*G1601*(1-$AC$1786)*(1+$AC$1788)),IF(AD1601="NVP",(VLOOKUP(A1601,'Discount Lookup'!J:K,2)*G1601*(1-$AC$1786)*(1+$AC$1788)),IF(AD1601="free","re-planting",IF(G1601=0,"",IF($AD$8="",IF(AD1601="me","not NVP, by",IF(AD1601="",IF(G1601&gt;0,(VLOOKUP(A1601,'Discount Lookup'!J:K,2)*G1601*(1-$AC$1786)*(1+$AC$1788)),""),"")),"not NVP, by"))))))))</f>
        <v/>
      </c>
      <c r="AC1601" s="830"/>
      <c r="AD1601" s="375" t="str">
        <f t="shared" si="3843"/>
        <v/>
      </c>
      <c r="AE1601" s="833" t="str">
        <f t="shared" si="3902"/>
        <v/>
      </c>
      <c r="AF1601" s="833"/>
      <c r="AG1601" s="833"/>
      <c r="AH1601" s="91">
        <f>IF(AD1601="free",0,IF(AD1601="me",0,IF(G1601&gt;0,(VLOOKUP(A1601,'Discount Lookup'!J:K,2)*G1601),0)))</f>
        <v>0</v>
      </c>
      <c r="AI1601" s="92" t="str">
        <f t="shared" si="3903"/>
        <v/>
      </c>
      <c r="AJ1601" s="828" t="str">
        <f t="shared" si="3896"/>
        <v/>
      </c>
      <c r="AK1601" s="828"/>
      <c r="AL1601" s="313" t="str">
        <f t="shared" si="3793"/>
        <v/>
      </c>
      <c r="AM1601" s="312"/>
      <c r="AN1601" s="101"/>
      <c r="AO1601" s="101"/>
      <c r="AP1601" s="101"/>
      <c r="AQ1601" s="101"/>
      <c r="AR1601" s="101"/>
      <c r="AS1601" s="101"/>
      <c r="AT1601" s="101"/>
    </row>
    <row r="1602" spans="1:46" ht="12.95" customHeight="1">
      <c r="A1602" s="419">
        <v>1</v>
      </c>
      <c r="B1602" s="87" t="s">
        <v>50</v>
      </c>
      <c r="C1602" s="399" t="s">
        <v>136</v>
      </c>
      <c r="D1602" s="129" t="s">
        <v>90</v>
      </c>
      <c r="E1602" s="98">
        <v>22.95</v>
      </c>
      <c r="F1602" s="705" t="s">
        <v>1306</v>
      </c>
      <c r="G1602" s="357">
        <v>0</v>
      </c>
      <c r="H1602" s="704" t="str">
        <f t="shared" si="3909"/>
        <v/>
      </c>
      <c r="I1602" s="98">
        <f t="shared" si="3910"/>
        <v>0</v>
      </c>
      <c r="J1602" s="98">
        <f>IF(H1602="warranty",0,(I1602*($J$1782)))</f>
        <v>0</v>
      </c>
      <c r="K1602" s="831">
        <f t="shared" si="3906"/>
        <v>0</v>
      </c>
      <c r="L1602" s="831"/>
      <c r="M1602" s="832" t="str">
        <f>IF($H$1784=0,"",IF(G1602=0,"",IF(F1602="Qty=",CONCATENATE("$",ROUND(K1602*(1-$H$1784),2)," with ",($H$1784*100),"% discount"),CONCATENATE("$",ROUND(K1602*(1-$H$1784),2)," with ",(($H$1784*100+F1602*100)-($H$1784*100*F1602)),IF(F1602&gt;0,"% discounts",IF($H$1781&gt;0,"% discounts","% discount"))))))</f>
        <v/>
      </c>
      <c r="N1602" s="832"/>
      <c r="O1602" s="832"/>
      <c r="P1602" s="832"/>
      <c r="Q1602" s="832"/>
      <c r="R1602" s="832"/>
      <c r="S1602" s="303">
        <f>E1602*G1602</f>
        <v>0</v>
      </c>
      <c r="T1602" s="541">
        <f>VLOOKUP(A1602,'Discount Lookup'!D:E,2,FALSE)*G1602</f>
        <v>0</v>
      </c>
      <c r="U1602" s="83">
        <f>VLOOKUP(A1602,'Discount Lookup'!G:H,2,FALSE)*G1602</f>
        <v>0</v>
      </c>
      <c r="V1602" s="100">
        <f>E1602*($J$1782)*G1602</f>
        <v>0</v>
      </c>
      <c r="W1602" s="100">
        <f>I1602</f>
        <v>0</v>
      </c>
      <c r="X1602" s="100" t="b">
        <f>IF(G1602&gt;0,IF(AD1602="me","",G1602))</f>
        <v>0</v>
      </c>
      <c r="Y1602" s="201"/>
      <c r="Z1602" s="829" t="str">
        <f t="shared" si="3894"/>
        <v/>
      </c>
      <c r="AA1602" s="829"/>
      <c r="AB1602" s="830" t="str">
        <f>IF(G1602=0,"",IF(AD1602="free","re-planting",IF(AD1602="me","not NVP, by",IF($AD$8="yes",(VLOOKUP(A1602,'Discount Lookup'!J:K,2)*G1602*(1-$AC$1786)*(1+$AC$1788)),IF(AD1602="NVP",(VLOOKUP(A1602,'Discount Lookup'!J:K,2)*G1602*(1-$AC$1786)*(1+$AC$1788)),IF(AD1602="free","re-planting",IF(G1602=0,"",IF($AD$8="",IF(AD1602="me","not NVP, by",IF(AD1602="",IF(G1602&gt;0,(VLOOKUP(A1602,'Discount Lookup'!J:K,2)*G1602*(1-$AC$1786)*(1+$AC$1788)),""),"")),"not NVP, by"))))))))</f>
        <v/>
      </c>
      <c r="AC1602" s="830"/>
      <c r="AD1602" s="375" t="str">
        <f t="shared" si="3843"/>
        <v/>
      </c>
      <c r="AE1602" s="833" t="str">
        <f t="shared" si="3902"/>
        <v/>
      </c>
      <c r="AF1602" s="833"/>
      <c r="AG1602" s="833"/>
      <c r="AH1602" s="91">
        <f>IF(AD1602="free",0,IF(AD1602="me",0,IF(G1602&gt;0,(VLOOKUP(A1602,'Discount Lookup'!J:K,2)*G1602),0)))</f>
        <v>0</v>
      </c>
      <c r="AI1602" s="92" t="str">
        <f t="shared" si="3903"/>
        <v/>
      </c>
      <c r="AJ1602" s="828" t="str">
        <f t="shared" si="3896"/>
        <v/>
      </c>
      <c r="AK1602" s="828"/>
      <c r="AL1602" s="313" t="str">
        <f t="shared" si="3793"/>
        <v/>
      </c>
      <c r="AM1602" s="312"/>
      <c r="AN1602" s="101"/>
      <c r="AO1602" s="101"/>
      <c r="AP1602" s="101"/>
      <c r="AQ1602" s="101"/>
      <c r="AR1602" s="101"/>
      <c r="AS1602" s="101"/>
      <c r="AT1602" s="101"/>
    </row>
    <row r="1603" spans="1:46" ht="12.95" customHeight="1">
      <c r="A1603" s="419">
        <v>2</v>
      </c>
      <c r="B1603" s="87" t="s">
        <v>50</v>
      </c>
      <c r="C1603" s="399" t="s">
        <v>136</v>
      </c>
      <c r="D1603" s="129" t="s">
        <v>54</v>
      </c>
      <c r="E1603" s="98">
        <v>28.95</v>
      </c>
      <c r="F1603" s="705" t="s">
        <v>1306</v>
      </c>
      <c r="G1603" s="357">
        <v>0</v>
      </c>
      <c r="H1603" s="704" t="str">
        <f t="shared" si="3909"/>
        <v/>
      </c>
      <c r="I1603" s="98">
        <f t="shared" si="3910"/>
        <v>0</v>
      </c>
      <c r="J1603" s="98">
        <f>IF(H1603="warranty",0,(I1603*($J$1782)))</f>
        <v>0</v>
      </c>
      <c r="K1603" s="831">
        <f t="shared" si="3906"/>
        <v>0</v>
      </c>
      <c r="L1603" s="831"/>
      <c r="M1603" s="832" t="str">
        <f>IF($H$1784=0,"",IF(G1603=0,"",IF(F1603="Qty=",CONCATENATE("$",ROUND(K1603*(1-$H$1784),2)," with ",($H$1784*100),"% discount"),CONCATENATE("$",ROUND(K1603*(1-$H$1784),2)," with ",(($H$1784*100+F1603*100)-($H$1784*100*F1603)),IF(F1603&gt;0,"% discounts",IF($H$1781&gt;0,"% discounts","% discount"))))))</f>
        <v/>
      </c>
      <c r="N1603" s="832"/>
      <c r="O1603" s="832"/>
      <c r="P1603" s="832"/>
      <c r="Q1603" s="832"/>
      <c r="R1603" s="832"/>
      <c r="S1603" s="303">
        <f>E1603*G1603</f>
        <v>0</v>
      </c>
      <c r="T1603" s="541">
        <f>VLOOKUP(A1603,'Discount Lookup'!D:E,2,FALSE)*G1603</f>
        <v>0</v>
      </c>
      <c r="U1603" s="83">
        <f>VLOOKUP(A1603,'Discount Lookup'!G:H,2,FALSE)*G1603</f>
        <v>0</v>
      </c>
      <c r="V1603" s="100">
        <f>E1603*($J$1782)*G1603</f>
        <v>0</v>
      </c>
      <c r="W1603" s="100">
        <f>I1603</f>
        <v>0</v>
      </c>
      <c r="X1603" s="100" t="b">
        <f>IF(G1603&gt;0,IF(AD1603="me","",G1603))</f>
        <v>0</v>
      </c>
      <c r="Y1603" s="201"/>
      <c r="Z1603" s="829" t="str">
        <f t="shared" si="3894"/>
        <v/>
      </c>
      <c r="AA1603" s="829"/>
      <c r="AB1603" s="830" t="str">
        <f>IF(G1603=0,"",IF(AD1603="free","re-planting",IF(AD1603="me","not NVP, by",IF($AD$8="yes",(VLOOKUP(A1603,'Discount Lookup'!J:K,2)*G1603*(1-$AC$1786)*(1+$AC$1788)),IF(AD1603="NVP",(VLOOKUP(A1603,'Discount Lookup'!J:K,2)*G1603*(1-$AC$1786)*(1+$AC$1788)),IF(AD1603="free","re-planting",IF(G1603=0,"",IF($AD$8="",IF(AD1603="me","not NVP, by",IF(AD1603="",IF(G1603&gt;0,(VLOOKUP(A1603,'Discount Lookup'!J:K,2)*G1603*(1-$AC$1786)*(1+$AC$1788)),""),"")),"not NVP, by"))))))))</f>
        <v/>
      </c>
      <c r="AC1603" s="830"/>
      <c r="AD1603" s="375" t="str">
        <f t="shared" si="3843"/>
        <v/>
      </c>
      <c r="AE1603" s="833" t="str">
        <f t="shared" si="3902"/>
        <v/>
      </c>
      <c r="AF1603" s="833"/>
      <c r="AG1603" s="833"/>
      <c r="AH1603" s="91">
        <f>IF(AD1603="free",0,IF(AD1603="me",0,IF(G1603&gt;0,(VLOOKUP(A1603,'Discount Lookup'!J:K,2)*G1603),0)))</f>
        <v>0</v>
      </c>
      <c r="AI1603" s="92" t="str">
        <f t="shared" si="3903"/>
        <v/>
      </c>
      <c r="AJ1603" s="828" t="str">
        <f t="shared" si="3896"/>
        <v/>
      </c>
      <c r="AK1603" s="828"/>
      <c r="AL1603" s="313" t="str">
        <f t="shared" si="3793"/>
        <v/>
      </c>
      <c r="AM1603" s="312"/>
      <c r="AN1603" s="101"/>
      <c r="AO1603" s="101"/>
      <c r="AP1603" s="101"/>
      <c r="AQ1603" s="101"/>
      <c r="AR1603" s="101"/>
      <c r="AS1603" s="101"/>
      <c r="AT1603" s="101"/>
    </row>
    <row r="1604" spans="1:46" ht="12.95" customHeight="1">
      <c r="A1604" s="470"/>
      <c r="B1604" s="198" t="s">
        <v>1257</v>
      </c>
      <c r="C1604" s="219"/>
      <c r="D1604" s="219"/>
      <c r="E1604" s="155"/>
      <c r="F1604" s="714"/>
      <c r="G1604" s="364"/>
      <c r="H1604" s="757"/>
      <c r="I1604" s="155"/>
      <c r="M1604" s="48"/>
      <c r="N1604" s="48"/>
      <c r="O1604" s="123"/>
      <c r="P1604" s="124"/>
      <c r="Q1604" s="841"/>
      <c r="R1604" s="841"/>
      <c r="S1604" s="841"/>
      <c r="T1604" s="841"/>
      <c r="U1604" s="841"/>
      <c r="V1604" s="841"/>
      <c r="W1604" s="286"/>
      <c r="X1604" s="286"/>
      <c r="Y1604" s="794"/>
      <c r="Z1604" s="829" t="str">
        <f t="shared" si="3894"/>
        <v/>
      </c>
      <c r="AA1604" s="829"/>
      <c r="AB1604" s="830" t="str">
        <f>IF(G1604=0,"",IF(AD1604="free","re-planting",IF(AD1604="me","not NVP, by",IF($AD$8="yes",(VLOOKUP(A1604,'Discount Lookup'!J:K,2)*G1604*(1-$AC$1786)*(1+$AC$1788)),IF(AD1604="NVP",(VLOOKUP(A1604,'Discount Lookup'!J:K,2)*G1604*(1-$AC$1786)*(1+$AC$1788)),IF(AD1604="free","re-planting",IF(G1604=0,"",IF($AD$8="",IF(AD1604="me","not NVP, by",IF(AD1604="",IF(G1604&gt;0,(VLOOKUP(A1604,'Discount Lookup'!J:K,2)*G1604*(1-$AC$1786)*(1+$AC$1788)),""),"")),"not NVP, by"))))))))</f>
        <v/>
      </c>
      <c r="AC1604" s="830"/>
      <c r="AD1604" s="375" t="str">
        <f t="shared" si="3843"/>
        <v/>
      </c>
      <c r="AE1604" s="833" t="str">
        <f t="shared" si="3902"/>
        <v/>
      </c>
      <c r="AF1604" s="833"/>
      <c r="AG1604" s="833"/>
      <c r="AH1604" s="91">
        <f>IF(AD1604="free",0,IF(AD1604="me",0,IF(G1604&gt;0,(VLOOKUP(A1604,'Discount Lookup'!J:K,2)*G1604),0)))</f>
        <v>0</v>
      </c>
      <c r="AI1604" s="92" t="str">
        <f t="shared" si="3903"/>
        <v/>
      </c>
      <c r="AJ1604" s="828" t="str">
        <f t="shared" si="3896"/>
        <v/>
      </c>
      <c r="AK1604" s="828"/>
      <c r="AL1604" s="313" t="str">
        <f t="shared" si="3793"/>
        <v/>
      </c>
      <c r="AM1604" s="312"/>
      <c r="AN1604" s="101"/>
      <c r="AO1604" s="101"/>
      <c r="AP1604" s="101"/>
      <c r="AQ1604" s="101"/>
      <c r="AR1604" s="101"/>
      <c r="AS1604" s="101"/>
      <c r="AT1604" s="101"/>
    </row>
    <row r="1605" spans="1:46" ht="12.95" customHeight="1">
      <c r="A1605" s="863" t="s">
        <v>839</v>
      </c>
      <c r="B1605" s="864"/>
      <c r="C1605" s="864"/>
      <c r="D1605" s="864"/>
      <c r="E1605" s="864"/>
      <c r="F1605" s="864"/>
      <c r="G1605" s="864"/>
      <c r="H1605" s="776" t="s">
        <v>840</v>
      </c>
      <c r="I1605" s="88" t="s">
        <v>235</v>
      </c>
      <c r="J1605" s="126"/>
      <c r="K1605" s="603" t="s">
        <v>45</v>
      </c>
      <c r="L1605" s="601" t="s">
        <v>46</v>
      </c>
      <c r="M1605" s="86"/>
      <c r="N1605" s="87" t="s">
        <v>69</v>
      </c>
      <c r="O1605" s="87"/>
      <c r="P1605" s="87"/>
      <c r="Q1605" s="87"/>
      <c r="R1605" s="86"/>
      <c r="S1605" s="125"/>
      <c r="T1605" s="543"/>
      <c r="U1605" s="112"/>
      <c r="V1605" s="100" t="b">
        <f>IF(G1605&gt;0,IF(AD1605="me","",G1605))</f>
        <v>0</v>
      </c>
      <c r="W1605" s="100"/>
      <c r="X1605" s="100"/>
      <c r="Y1605" s="201"/>
      <c r="Z1605" s="829" t="str">
        <f t="shared" si="3894"/>
        <v/>
      </c>
      <c r="AA1605" s="829"/>
      <c r="AB1605" s="830" t="str">
        <f>IF(G1605=0,"",IF(AD1605="free","re-planting",IF(AD1605="me","not NVP, by",IF($AD$8="yes",(VLOOKUP(A1605,'Discount Lookup'!J:K,2)*G1605*(1-$AC$1786)*(1+$AC$1788)),IF(AD1605="NVP",(VLOOKUP(A1605,'Discount Lookup'!J:K,2)*G1605*(1-$AC$1786)*(1+$AC$1788)),IF(AD1605="free","re-planting",IF(G1605=0,"",IF($AD$8="",IF(AD1605="me","not NVP, by",IF(AD1605="",IF(G1605&gt;0,(VLOOKUP(A1605,'Discount Lookup'!J:K,2)*G1605*(1-$AC$1786)*(1+$AC$1788)),""),"")),"not NVP, by"))))))))</f>
        <v/>
      </c>
      <c r="AC1605" s="830"/>
      <c r="AD1605" s="375" t="str">
        <f t="shared" si="3843"/>
        <v/>
      </c>
      <c r="AE1605" s="833" t="str">
        <f t="shared" si="3772"/>
        <v/>
      </c>
      <c r="AF1605" s="833"/>
      <c r="AG1605" s="833"/>
      <c r="AH1605" s="91">
        <f>IF(AD1605="free",0,IF(AD1605="me",0,IF(G1605&gt;0,(VLOOKUP(A1605,'Discount Lookup'!J:K,2)*G1605),0)))</f>
        <v>0</v>
      </c>
      <c r="AI1605" s="92" t="str">
        <f t="shared" si="3903"/>
        <v/>
      </c>
      <c r="AJ1605" s="828" t="str">
        <f t="shared" si="3896"/>
        <v/>
      </c>
      <c r="AK1605" s="828"/>
      <c r="AL1605" s="313" t="str">
        <f t="shared" si="3793"/>
        <v/>
      </c>
      <c r="AM1605" s="312"/>
      <c r="AN1605" s="101"/>
      <c r="AO1605" s="101"/>
      <c r="AP1605" s="101"/>
      <c r="AQ1605" s="101"/>
      <c r="AR1605" s="101"/>
      <c r="AS1605" s="101"/>
      <c r="AT1605" s="101"/>
    </row>
    <row r="1606" spans="1:46" ht="12.95" customHeight="1">
      <c r="A1606" s="419">
        <v>4</v>
      </c>
      <c r="B1606" s="87" t="s">
        <v>1358</v>
      </c>
      <c r="C1606" s="399" t="s">
        <v>136</v>
      </c>
      <c r="D1606" s="129" t="s">
        <v>94</v>
      </c>
      <c r="E1606" s="98">
        <v>3.95</v>
      </c>
      <c r="F1606" s="705" t="s">
        <v>1306</v>
      </c>
      <c r="G1606" s="357">
        <v>0</v>
      </c>
      <c r="H1606" s="704" t="str">
        <f t="shared" ref="H1606:H1607" si="3911">IF(G1606=0,"",IF(F1606="Qty=",IF(G1606=1,"plant","plants"),IF(F1606&gt;0.0001,"warranty","Error")))</f>
        <v/>
      </c>
      <c r="I1606" s="98">
        <f t="shared" ref="I1606:I1607" si="3912">IF(F1606="Qty=",(E1606*G1606),((E1606*(1-F1606))*G1606))</f>
        <v>0</v>
      </c>
      <c r="J1606" s="98">
        <f>IF(H1606="warranty",0,(I1606*($J$1782)))</f>
        <v>0</v>
      </c>
      <c r="K1606" s="831">
        <f t="shared" ref="K1606:K1610" si="3913">I1606+J1606</f>
        <v>0</v>
      </c>
      <c r="L1606" s="831"/>
      <c r="M1606" s="832" t="str">
        <f>IF($H$1784=0,"",IF(G1606=0,"",IF(F1606="Qty=",CONCATENATE("$",ROUND(K1606*(1-$H$1784),2)," with ",($H$1784*100),"% discount"),CONCATENATE("$",ROUND(K1606*(1-$H$1784),2)," with ",(($H$1784*100+F1606*100)-($H$1784*100*F1606)),IF(F1606&gt;0,"% discounts",IF($H$1781&gt;0,"% discounts","% discount"))))))</f>
        <v/>
      </c>
      <c r="N1606" s="832"/>
      <c r="O1606" s="832"/>
      <c r="P1606" s="832"/>
      <c r="Q1606" s="832"/>
      <c r="R1606" s="832"/>
      <c r="S1606" s="303">
        <f t="shared" ref="S1606:S1607" si="3914">E1606*G1606</f>
        <v>0</v>
      </c>
      <c r="T1606" s="541">
        <f>VLOOKUP(A1606,'Discount Lookup'!D:E,2,FALSE)*G1606</f>
        <v>0</v>
      </c>
      <c r="U1606" s="83">
        <f>VLOOKUP(A1606,'Discount Lookup'!G:H,2,FALSE)*G1606</f>
        <v>0</v>
      </c>
      <c r="V1606" s="100">
        <f>E1606*($J$1782)*G1606</f>
        <v>0</v>
      </c>
      <c r="W1606" s="100">
        <f t="shared" ref="W1606:W1607" si="3915">I1606</f>
        <v>0</v>
      </c>
      <c r="X1606" s="100" t="b">
        <f>IF(G1606&gt;0,IF(AD1606="me","",G1606))</f>
        <v>0</v>
      </c>
      <c r="Y1606" s="201"/>
      <c r="Z1606" s="829" t="str">
        <f t="shared" ref="Z1606:Z1607" si="3916">IF(G1606=0,"",IF(AD1606="me","",IF($AD$8="me","",IF(AD1606="free","warranty",IF($AD$8="yes","NVP planting:","to NVP install:")))))</f>
        <v/>
      </c>
      <c r="AA1606" s="829"/>
      <c r="AB1606" s="830" t="str">
        <f>IF(G1606=0,"",IF(AD1606="free","re-planting",IF(AD1606="me","not NVP, by",IF($AD$8="yes",(VLOOKUP(A1606,'Discount Lookup'!J:K,2)*G1606*(1-$AC$1786)*(1+$AC$1788)),IF(AD1606="NVP",(VLOOKUP(A1606,'Discount Lookup'!J:K,2)*G1606*(1-$AC$1786)*(1+$AC$1788)),IF(AD1606="free","re-planting",IF(G1606=0,"",IF($AD$8="",IF(AD1606="me","not NVP, by",IF(AD1606="",IF(G1606&gt;0,(VLOOKUP(A1606,'Discount Lookup'!J:K,2)*G1606*(1-$AC$1786)*(1+$AC$1788)),""),"")),"not NVP, by"))))))))</f>
        <v/>
      </c>
      <c r="AC1606" s="830"/>
      <c r="AD1606" s="375" t="str">
        <f t="shared" si="3843"/>
        <v/>
      </c>
      <c r="AE1606" s="833" t="str">
        <f t="shared" ref="AE1606:AE1607" si="3917">IF(G1606&gt;0,(CONCATENATE((G1606)," quantity, ",(A1606)," ",B1606)),"")</f>
        <v/>
      </c>
      <c r="AF1606" s="833"/>
      <c r="AG1606" s="833"/>
      <c r="AH1606" s="91">
        <f>IF(AD1606="free",0,IF(AD1606="me",0,IF(G1606&gt;0,(VLOOKUP(A1606,'Discount Lookup'!J:K,2)*G1606),0)))</f>
        <v>0</v>
      </c>
      <c r="AI1606" s="92" t="str">
        <f t="shared" si="3903"/>
        <v/>
      </c>
      <c r="AJ1606" s="828" t="str">
        <f t="shared" ref="AJ1606:AJ1607" si="3918">IF(G1606=0,"",IF(AD1606="me","  delivery-only",IF($AD$8="me","  delivery-only",CONCATENATE(" $",ROUND(AI1606/G1606,2)," each"))))</f>
        <v/>
      </c>
      <c r="AK1606" s="828"/>
      <c r="AL1606" s="313" t="str">
        <f t="shared" si="3793"/>
        <v/>
      </c>
      <c r="AM1606" s="312"/>
      <c r="AN1606" s="101"/>
      <c r="AO1606" s="101"/>
      <c r="AP1606" s="101"/>
      <c r="AQ1606" s="101"/>
      <c r="AR1606" s="101"/>
      <c r="AS1606" s="101"/>
      <c r="AT1606" s="101"/>
    </row>
    <row r="1607" spans="1:46" ht="12.95" customHeight="1">
      <c r="A1607" s="419" t="s">
        <v>808</v>
      </c>
      <c r="B1607" s="87" t="s">
        <v>809</v>
      </c>
      <c r="C1607" s="399" t="s">
        <v>1437</v>
      </c>
      <c r="D1607" s="129" t="s">
        <v>87</v>
      </c>
      <c r="E1607" s="98">
        <v>62.95</v>
      </c>
      <c r="F1607" s="705" t="s">
        <v>1306</v>
      </c>
      <c r="G1607" s="357">
        <v>0</v>
      </c>
      <c r="H1607" s="704" t="str">
        <f t="shared" si="3911"/>
        <v/>
      </c>
      <c r="I1607" s="98">
        <f t="shared" si="3912"/>
        <v>0</v>
      </c>
      <c r="J1607" s="98">
        <f>IF(H1607="warranty",0,(I1607*($J$1782)))</f>
        <v>0</v>
      </c>
      <c r="K1607" s="831">
        <f t="shared" ref="K1607" si="3919">I1607+J1607</f>
        <v>0</v>
      </c>
      <c r="L1607" s="831"/>
      <c r="M1607" s="832" t="str">
        <f>IF($H$1784=0,"",IF(G1607=0,"",IF(F1607="Qty=",CONCATENATE("$",ROUND(K1607*(1-$H$1784),2)," with ",($H$1784*100),"% discount"),CONCATENATE("$",ROUND(K1607*(1-$H$1784),2)," with ",(($H$1784*100+F1607*100)-($H$1784*100*F1607)),IF(F1607&gt;0,"% discounts",IF($H$1781&gt;0,"% discounts","% discount"))))))</f>
        <v/>
      </c>
      <c r="N1607" s="832"/>
      <c r="O1607" s="832"/>
      <c r="P1607" s="832"/>
      <c r="Q1607" s="832"/>
      <c r="R1607" s="832"/>
      <c r="S1607" s="303">
        <f t="shared" si="3914"/>
        <v>0</v>
      </c>
      <c r="T1607" s="541">
        <f>VLOOKUP(A1607,'Discount Lookup'!D:E,2,FALSE)*G1607</f>
        <v>0</v>
      </c>
      <c r="U1607" s="83">
        <f>VLOOKUP(A1607,'Discount Lookup'!G:H,2,FALSE)*G1607</f>
        <v>0</v>
      </c>
      <c r="V1607" s="100">
        <f>E1607*($J$1782)*G1607</f>
        <v>0</v>
      </c>
      <c r="W1607" s="100">
        <f t="shared" si="3915"/>
        <v>0</v>
      </c>
      <c r="X1607" s="100" t="b">
        <f t="shared" ref="X1607" si="3920">IF(G1607&gt;0,IF(AD1607="me","",G1607))</f>
        <v>0</v>
      </c>
      <c r="Y1607" s="201"/>
      <c r="Z1607" s="829" t="str">
        <f t="shared" si="3916"/>
        <v/>
      </c>
      <c r="AA1607" s="829"/>
      <c r="AB1607" s="830" t="str">
        <f>IF(G1607=0,"",IF(AD1607="free","re-planting",IF(AD1607="me","not NVP, by",IF($AD$8="yes",(VLOOKUP(A1607,'Discount Lookup'!J:K,2)*G1607*(1-$AC$1786)*(1+$AC$1788)),IF(AD1607="NVP",(VLOOKUP(A1607,'Discount Lookup'!J:K,2)*G1607*(1-$AC$1786)*(1+$AC$1788)),IF(AD1607="free","re-planting",IF(G1607=0,"",IF($AD$8="",IF(AD1607="me","not NVP, by",IF(AD1607="",IF(G1607&gt;0,(VLOOKUP(A1607,'Discount Lookup'!J:K,2)*G1607*(1-$AC$1786)*(1+$AC$1788)),""),"")),"not NVP, by"))))))))</f>
        <v/>
      </c>
      <c r="AC1607" s="830"/>
      <c r="AD1607" s="375" t="str">
        <f t="shared" ref="AD1607" si="3921">IF(G1607=0,"",IF($AD$8="me","me",IF(H1607="warranty","free",IF($AD$8="yes","NVP",""))))</f>
        <v/>
      </c>
      <c r="AE1607" s="833" t="str">
        <f t="shared" si="3917"/>
        <v/>
      </c>
      <c r="AF1607" s="833"/>
      <c r="AG1607" s="833"/>
      <c r="AH1607" s="91">
        <f>IF(AD1607="free",0,IF(AD1607="me",0,IF(G1607&gt;0,(VLOOKUP(A1607,'Discount Lookup'!J:K,2)*G1607),0)))</f>
        <v>0</v>
      </c>
      <c r="AI1607" s="92" t="str">
        <f t="shared" si="3903"/>
        <v/>
      </c>
      <c r="AJ1607" s="828" t="str">
        <f t="shared" si="3918"/>
        <v/>
      </c>
      <c r="AK1607" s="828"/>
      <c r="AL1607" s="313" t="str">
        <f t="shared" si="3793"/>
        <v/>
      </c>
      <c r="AM1607" s="312"/>
      <c r="AN1607" s="101"/>
      <c r="AO1607" s="101"/>
      <c r="AP1607" s="101"/>
      <c r="AQ1607" s="101"/>
      <c r="AR1607" s="101"/>
      <c r="AS1607" s="101"/>
      <c r="AT1607" s="101"/>
    </row>
    <row r="1608" spans="1:46" ht="12.95" customHeight="1">
      <c r="A1608" s="419" t="s">
        <v>808</v>
      </c>
      <c r="B1608" s="87" t="s">
        <v>809</v>
      </c>
      <c r="C1608" s="399" t="s">
        <v>1437</v>
      </c>
      <c r="D1608" s="129" t="s">
        <v>63</v>
      </c>
      <c r="E1608" s="98">
        <v>47.95</v>
      </c>
      <c r="F1608" s="705" t="s">
        <v>1306</v>
      </c>
      <c r="G1608" s="357">
        <v>0</v>
      </c>
      <c r="H1608" s="704" t="str">
        <f t="shared" ref="H1608" si="3922">IF(G1608=0,"",IF(F1608="Qty=",IF(G1608=1,"plant","plants"),IF(F1608&gt;0.0001,"warranty","Error")))</f>
        <v/>
      </c>
      <c r="I1608" s="98">
        <f t="shared" ref="I1608" si="3923">IF(F1608="Qty=",(E1608*G1608),((E1608*(1-F1608))*G1608))</f>
        <v>0</v>
      </c>
      <c r="J1608" s="98">
        <f>IF(H1608="warranty",0,(I1608*($J$1782)))</f>
        <v>0</v>
      </c>
      <c r="K1608" s="831">
        <f t="shared" si="3913"/>
        <v>0</v>
      </c>
      <c r="L1608" s="831"/>
      <c r="M1608" s="832" t="str">
        <f>IF($H$1784=0,"",IF(G1608=0,"",IF(F1608="Qty=",CONCATENATE("$",ROUND(K1608*(1-$H$1784),2)," with ",($H$1784*100),"% discount"),CONCATENATE("$",ROUND(K1608*(1-$H$1784),2)," with ",(($H$1784*100+F1608*100)-($H$1784*100*F1608)),IF(F1608&gt;0,"% discounts",IF($H$1781&gt;0,"% discounts","% discount"))))))</f>
        <v/>
      </c>
      <c r="N1608" s="832"/>
      <c r="O1608" s="832"/>
      <c r="P1608" s="832"/>
      <c r="Q1608" s="832"/>
      <c r="R1608" s="832"/>
      <c r="S1608" s="303">
        <f t="shared" ref="S1608" si="3924">E1608*G1608</f>
        <v>0</v>
      </c>
      <c r="T1608" s="541">
        <f>VLOOKUP(A1608,'Discount Lookup'!D:E,2,FALSE)*G1608</f>
        <v>0</v>
      </c>
      <c r="U1608" s="83">
        <f>VLOOKUP(A1608,'Discount Lookup'!G:H,2,FALSE)*G1608</f>
        <v>0</v>
      </c>
      <c r="V1608" s="100">
        <f>E1608*($J$1782)*G1608</f>
        <v>0</v>
      </c>
      <c r="W1608" s="100">
        <f t="shared" ref="W1608" si="3925">I1608</f>
        <v>0</v>
      </c>
      <c r="X1608" s="100" t="b">
        <f t="shared" ref="X1608" si="3926">IF(G1608&gt;0,IF(AD1608="me","",G1608))</f>
        <v>0</v>
      </c>
      <c r="Y1608" s="201"/>
      <c r="Z1608" s="829" t="str">
        <f t="shared" ref="Z1608" si="3927">IF(G1608=0,"",IF(AD1608="me","",IF($AD$8="me","",IF(AD1608="free","warranty",IF($AD$8="yes","NVP planting:","to NVP install:")))))</f>
        <v/>
      </c>
      <c r="AA1608" s="829"/>
      <c r="AB1608" s="830" t="str">
        <f>IF(G1608=0,"",IF(AD1608="free","re-planting",IF(AD1608="me","not NVP, by",IF($AD$8="yes",(VLOOKUP(A1608,'Discount Lookup'!J:K,2)*G1608*(1-$AC$1786)*(1+$AC$1788)),IF(AD1608="NVP",(VLOOKUP(A1608,'Discount Lookup'!J:K,2)*G1608*(1-$AC$1786)*(1+$AC$1788)),IF(AD1608="free","re-planting",IF(G1608=0,"",IF($AD$8="",IF(AD1608="me","not NVP, by",IF(AD1608="",IF(G1608&gt;0,(VLOOKUP(A1608,'Discount Lookup'!J:K,2)*G1608*(1-$AC$1786)*(1+$AC$1788)),""),"")),"not NVP, by"))))))))</f>
        <v/>
      </c>
      <c r="AC1608" s="830"/>
      <c r="AD1608" s="375" t="str">
        <f t="shared" si="3843"/>
        <v/>
      </c>
      <c r="AE1608" s="833" t="str">
        <f t="shared" ref="AE1608" si="3928">IF(G1608&gt;0,(CONCATENATE((G1608)," quantity, ",(A1608)," ",B1608)),"")</f>
        <v/>
      </c>
      <c r="AF1608" s="833"/>
      <c r="AG1608" s="833"/>
      <c r="AH1608" s="91">
        <f>IF(AD1608="free",0,IF(AD1608="me",0,IF(G1608&gt;0,(VLOOKUP(A1608,'Discount Lookup'!J:K,2)*G1608),0)))</f>
        <v>0</v>
      </c>
      <c r="AI1608" s="92" t="str">
        <f t="shared" si="3903"/>
        <v/>
      </c>
      <c r="AJ1608" s="828" t="str">
        <f t="shared" ref="AJ1608" si="3929">IF(G1608=0,"",IF(AD1608="me","  delivery-only",IF($AD$8="me","  delivery-only",CONCATENATE(" $",ROUND(AI1608/G1608,2)," each"))))</f>
        <v/>
      </c>
      <c r="AK1608" s="828"/>
      <c r="AL1608" s="313" t="str">
        <f t="shared" si="3793"/>
        <v/>
      </c>
      <c r="AM1608" s="312"/>
      <c r="AN1608" s="101"/>
      <c r="AO1608" s="101"/>
      <c r="AP1608" s="101"/>
      <c r="AQ1608" s="101"/>
      <c r="AR1608" s="101"/>
      <c r="AS1608" s="101"/>
      <c r="AT1608" s="101"/>
    </row>
    <row r="1609" spans="1:46" ht="12.95" customHeight="1">
      <c r="A1609" s="419">
        <v>1</v>
      </c>
      <c r="B1609" s="87" t="s">
        <v>50</v>
      </c>
      <c r="C1609" s="399" t="s">
        <v>236</v>
      </c>
      <c r="D1609" s="129" t="s">
        <v>87</v>
      </c>
      <c r="E1609" s="98">
        <v>11.95</v>
      </c>
      <c r="F1609" s="705" t="s">
        <v>1306</v>
      </c>
      <c r="G1609" s="357">
        <v>0</v>
      </c>
      <c r="H1609" s="704" t="str">
        <f t="shared" ref="H1609:H1610" si="3930">IF(G1609=0,"",IF(F1609="Qty=",IF(G1609=1,"plant","plants"),IF(F1609&gt;0.0001,"warranty","Error")))</f>
        <v/>
      </c>
      <c r="I1609" s="98">
        <f t="shared" ref="I1609:I1610" si="3931">IF(F1609="Qty=",(E1609*G1609),((E1609*(1-F1609))*G1609))</f>
        <v>0</v>
      </c>
      <c r="J1609" s="98">
        <f>IF(H1609="warranty",0,(I1609*($J$1782)))</f>
        <v>0</v>
      </c>
      <c r="K1609" s="831">
        <f t="shared" si="3913"/>
        <v>0</v>
      </c>
      <c r="L1609" s="831"/>
      <c r="M1609" s="832" t="str">
        <f>IF($H$1784=0,"",IF(G1609=0,"",IF(F1609="Qty=",CONCATENATE("$",ROUND(K1609*(1-$H$1784),2)," with ",($H$1784*100),"% discount"),CONCATENATE("$",ROUND(K1609*(1-$H$1784),2)," with ",(($H$1784*100+F1609*100)-($H$1784*100*F1609)),IF(F1609&gt;0,"% discounts",IF($H$1781&gt;0,"% discounts","% discount"))))))</f>
        <v/>
      </c>
      <c r="N1609" s="832"/>
      <c r="O1609" s="832"/>
      <c r="P1609" s="832"/>
      <c r="Q1609" s="832"/>
      <c r="R1609" s="832"/>
      <c r="S1609" s="303">
        <f t="shared" ref="S1609:S1610" si="3932">E1609*G1609</f>
        <v>0</v>
      </c>
      <c r="T1609" s="541">
        <f>VLOOKUP(A1609,'Discount Lookup'!D:E,2,FALSE)*G1609</f>
        <v>0</v>
      </c>
      <c r="U1609" s="83">
        <f>VLOOKUP(A1609,'Discount Lookup'!G:H,2,FALSE)*G1609</f>
        <v>0</v>
      </c>
      <c r="V1609" s="100">
        <f>E1609*($J$1782)*G1609</f>
        <v>0</v>
      </c>
      <c r="W1609" s="100">
        <f t="shared" ref="W1609:W1610" si="3933">I1609</f>
        <v>0</v>
      </c>
      <c r="X1609" s="100" t="b">
        <f t="shared" ref="X1609" si="3934">IF(G1609&gt;0,IF(AD1609="me","",G1609))</f>
        <v>0</v>
      </c>
      <c r="Y1609" s="201"/>
      <c r="Z1609" s="829" t="str">
        <f t="shared" si="3894"/>
        <v/>
      </c>
      <c r="AA1609" s="829"/>
      <c r="AB1609" s="830" t="str">
        <f>IF(G1609=0,"",IF(AD1609="free","re-planting",IF(AD1609="me","not NVP, by",IF($AD$8="yes",(VLOOKUP(A1609,'Discount Lookup'!J:K,2)*G1609*(1-$AC$1786)*(1+$AC$1788)),IF(AD1609="NVP",(VLOOKUP(A1609,'Discount Lookup'!J:K,2)*G1609*(1-$AC$1786)*(1+$AC$1788)),IF(AD1609="free","re-planting",IF(G1609=0,"",IF($AD$8="",IF(AD1609="me","not NVP, by",IF(AD1609="",IF(G1609&gt;0,(VLOOKUP(A1609,'Discount Lookup'!J:K,2)*G1609*(1-$AC$1786)*(1+$AC$1788)),""),"")),"not NVP, by"))))))))</f>
        <v/>
      </c>
      <c r="AC1609" s="830"/>
      <c r="AD1609" s="375" t="str">
        <f t="shared" si="3843"/>
        <v/>
      </c>
      <c r="AE1609" s="833" t="str">
        <f t="shared" si="3772"/>
        <v/>
      </c>
      <c r="AF1609" s="833"/>
      <c r="AG1609" s="833"/>
      <c r="AH1609" s="91">
        <f>IF(AD1609="free",0,IF(AD1609="me",0,IF(G1609&gt;0,(VLOOKUP(A1609,'Discount Lookup'!J:K,2)*G1609),0)))</f>
        <v>0</v>
      </c>
      <c r="AI1609" s="92" t="str">
        <f t="shared" si="3903"/>
        <v/>
      </c>
      <c r="AJ1609" s="828" t="str">
        <f t="shared" si="3896"/>
        <v/>
      </c>
      <c r="AK1609" s="828"/>
      <c r="AL1609" s="313" t="str">
        <f t="shared" si="3793"/>
        <v/>
      </c>
      <c r="AM1609" s="312"/>
      <c r="AN1609" s="101"/>
      <c r="AO1609" s="101"/>
      <c r="AP1609" s="101"/>
      <c r="AQ1609" s="101"/>
      <c r="AR1609" s="101"/>
      <c r="AS1609" s="101"/>
      <c r="AT1609" s="101"/>
    </row>
    <row r="1610" spans="1:46" ht="12.95" customHeight="1">
      <c r="A1610" s="419">
        <v>1</v>
      </c>
      <c r="B1610" s="87" t="s">
        <v>50</v>
      </c>
      <c r="C1610" s="399" t="s">
        <v>136</v>
      </c>
      <c r="D1610" s="129" t="s">
        <v>62</v>
      </c>
      <c r="E1610" s="98">
        <v>8.9499999999999993</v>
      </c>
      <c r="F1610" s="705" t="s">
        <v>1306</v>
      </c>
      <c r="G1610" s="357">
        <v>0</v>
      </c>
      <c r="H1610" s="704" t="str">
        <f t="shared" si="3930"/>
        <v/>
      </c>
      <c r="I1610" s="98">
        <f t="shared" si="3931"/>
        <v>0</v>
      </c>
      <c r="J1610" s="98">
        <f>IF(H1610="warranty",0,(I1610*($J$1782)))</f>
        <v>0</v>
      </c>
      <c r="K1610" s="831">
        <f t="shared" si="3913"/>
        <v>0</v>
      </c>
      <c r="L1610" s="831"/>
      <c r="M1610" s="832" t="str">
        <f>IF($H$1784=0,"",IF(G1610=0,"",IF(F1610="Qty=",CONCATENATE("$",ROUND(K1610*(1-$H$1784),2)," with ",($H$1784*100),"% discount"),CONCATENATE("$",ROUND(K1610*(1-$H$1784),2)," with ",(($H$1784*100+F1610*100)-($H$1784*100*F1610)),IF(F1610&gt;0,"% discounts",IF($H$1781&gt;0,"% discounts","% discount"))))))</f>
        <v/>
      </c>
      <c r="N1610" s="832"/>
      <c r="O1610" s="832"/>
      <c r="P1610" s="832"/>
      <c r="Q1610" s="832"/>
      <c r="R1610" s="832"/>
      <c r="S1610" s="303">
        <f t="shared" si="3932"/>
        <v>0</v>
      </c>
      <c r="T1610" s="541">
        <f>VLOOKUP(A1610,'Discount Lookup'!D:E,2,FALSE)*G1610</f>
        <v>0</v>
      </c>
      <c r="U1610" s="83">
        <f>VLOOKUP(A1610,'Discount Lookup'!G:H,2,FALSE)*G1610</f>
        <v>0</v>
      </c>
      <c r="V1610" s="100">
        <f>E1610*($J$1782)*G1610</f>
        <v>0</v>
      </c>
      <c r="W1610" s="100">
        <f t="shared" si="3933"/>
        <v>0</v>
      </c>
      <c r="X1610" s="100" t="b">
        <f t="shared" ref="X1610" si="3935">IF(G1610&gt;0,IF(AD1610="me","",G1610))</f>
        <v>0</v>
      </c>
      <c r="Y1610" s="201"/>
      <c r="Z1610" s="829" t="str">
        <f t="shared" si="3894"/>
        <v/>
      </c>
      <c r="AA1610" s="829"/>
      <c r="AB1610" s="830" t="str">
        <f>IF(G1610=0,"",IF(AD1610="free","re-planting",IF(AD1610="me","not NVP, by",IF($AD$8="yes",(VLOOKUP(A1610,'Discount Lookup'!J:K,2)*G1610*(1-$AC$1786)*(1+$AC$1788)),IF(AD1610="NVP",(VLOOKUP(A1610,'Discount Lookup'!J:K,2)*G1610*(1-$AC$1786)*(1+$AC$1788)),IF(AD1610="free","re-planting",IF(G1610=0,"",IF($AD$8="",IF(AD1610="me","not NVP, by",IF(AD1610="",IF(G1610&gt;0,(VLOOKUP(A1610,'Discount Lookup'!J:K,2)*G1610*(1-$AC$1786)*(1+$AC$1788)),""),"")),"not NVP, by"))))))))</f>
        <v/>
      </c>
      <c r="AC1610" s="830"/>
      <c r="AD1610" s="375" t="str">
        <f t="shared" si="3843"/>
        <v/>
      </c>
      <c r="AE1610" s="833" t="str">
        <f t="shared" ref="AE1610" si="3936">IF(G1610&gt;0,(CONCATENATE((G1610)," quantity, ",(A1610)," ",B1610)),"")</f>
        <v/>
      </c>
      <c r="AF1610" s="833"/>
      <c r="AG1610" s="833"/>
      <c r="AH1610" s="91">
        <f>IF(AD1610="free",0,IF(AD1610="me",0,IF(G1610&gt;0,(VLOOKUP(A1610,'Discount Lookup'!J:K,2)*G1610),0)))</f>
        <v>0</v>
      </c>
      <c r="AI1610" s="92" t="str">
        <f t="shared" si="3903"/>
        <v/>
      </c>
      <c r="AJ1610" s="828" t="str">
        <f t="shared" si="3896"/>
        <v/>
      </c>
      <c r="AK1610" s="828"/>
      <c r="AL1610" s="313" t="str">
        <f t="shared" si="3793"/>
        <v/>
      </c>
      <c r="AM1610" s="312"/>
      <c r="AN1610" s="101"/>
      <c r="AO1610" s="101"/>
      <c r="AP1610" s="101"/>
      <c r="AQ1610" s="101"/>
      <c r="AR1610" s="101"/>
      <c r="AS1610" s="101"/>
      <c r="AT1610" s="101"/>
    </row>
    <row r="1611" spans="1:46" ht="12.95" customHeight="1">
      <c r="A1611" s="469"/>
      <c r="B1611" s="103" t="s">
        <v>842</v>
      </c>
      <c r="G1611" s="361"/>
      <c r="H1611" s="749"/>
      <c r="M1611" s="110"/>
      <c r="N1611" s="110"/>
      <c r="O1611" s="48"/>
      <c r="P1611" s="111"/>
      <c r="Q1611" s="111"/>
      <c r="R1611" s="48"/>
      <c r="S1611" s="82">
        <f t="shared" ref="S1611" si="3937">E1611*G1611</f>
        <v>0</v>
      </c>
      <c r="T1611" s="540"/>
      <c r="U1611" s="83"/>
      <c r="V1611" s="100" t="b">
        <f>IF(G1611&gt;0,IF(AD1611="me","",G1611))</f>
        <v>0</v>
      </c>
      <c r="W1611" s="100"/>
      <c r="X1611" s="100"/>
      <c r="Y1611" s="201"/>
      <c r="Z1611" s="829" t="str">
        <f t="shared" si="3894"/>
        <v/>
      </c>
      <c r="AA1611" s="829"/>
      <c r="AB1611" s="830" t="str">
        <f>IF(G1611=0,"",IF(AD1611="free","re-planting",IF(AD1611="me","not NVP, by",IF($AD$8="yes",(VLOOKUP(A1611,'Discount Lookup'!J:K,2)*G1611*(1-$AC$1786)*(1+$AC$1788)),IF(AD1611="NVP",(VLOOKUP(A1611,'Discount Lookup'!J:K,2)*G1611*(1-$AC$1786)*(1+$AC$1788)),IF(AD1611="free","re-planting",IF(G1611=0,"",IF($AD$8="",IF(AD1611="me","not NVP, by",IF(AD1611="",IF(G1611&gt;0,(VLOOKUP(A1611,'Discount Lookup'!J:K,2)*G1611*(1-$AC$1786)*(1+$AC$1788)),""),"")),"not NVP, by"))))))))</f>
        <v/>
      </c>
      <c r="AC1611" s="830"/>
      <c r="AD1611" s="375" t="str">
        <f t="shared" si="3843"/>
        <v/>
      </c>
      <c r="AE1611" s="833" t="str">
        <f t="shared" si="3772"/>
        <v/>
      </c>
      <c r="AF1611" s="833"/>
      <c r="AG1611" s="833"/>
      <c r="AH1611" s="91">
        <f>IF(AD1611="free",0,IF(AD1611="me",0,IF(G1611&gt;0,(VLOOKUP(A1611,'Discount Lookup'!J:K,2)*G1611),0)))</f>
        <v>0</v>
      </c>
      <c r="AI1611" s="92" t="str">
        <f t="shared" si="3903"/>
        <v/>
      </c>
      <c r="AJ1611" s="828" t="str">
        <f t="shared" si="3896"/>
        <v/>
      </c>
      <c r="AK1611" s="828"/>
      <c r="AL1611" s="313" t="str">
        <f t="shared" ref="AL1611:AL1674" si="3938">IF(AD1611="free","      ~ discounts included, no tax or planting fee applies ~",IF(G1611=0,"",IF($AD$8="me",CONCATENATE(" $",ROUND(AI1611/G1611,2)," per plant, with tax &amp; discount"),IF(AD1611="me",CONCATENATE(" $",ROUND(AI1611/G1611,2)," per plant, with tax &amp; discount"),CONCATENATE("= $",ROUND((K1611*(1-$H$1784))/G1611,2)," per plant + $",AB1611/G1611,(" per planting      ~ includes tax &amp; discounts ~"))))))</f>
        <v/>
      </c>
      <c r="AM1611" s="312"/>
      <c r="AN1611" s="101"/>
      <c r="AO1611" s="101"/>
      <c r="AP1611" s="101"/>
      <c r="AQ1611" s="101"/>
      <c r="AR1611" s="101"/>
      <c r="AS1611" s="101"/>
      <c r="AT1611" s="101"/>
    </row>
    <row r="1612" spans="1:46" ht="12.95" customHeight="1">
      <c r="A1612" s="488"/>
      <c r="B1612" s="190"/>
      <c r="C1612" s="104"/>
      <c r="D1612" s="104"/>
      <c r="E1612" s="105"/>
      <c r="F1612" s="709"/>
      <c r="G1612" s="358"/>
      <c r="H1612" s="743"/>
      <c r="I1612" s="102"/>
      <c r="J1612" s="102"/>
      <c r="K1612" s="607"/>
      <c r="L1612" s="607"/>
      <c r="M1612" s="121"/>
      <c r="N1612" s="840"/>
      <c r="O1612" s="840"/>
      <c r="P1612" s="152"/>
      <c r="Q1612" s="841" t="s">
        <v>125</v>
      </c>
      <c r="R1612" s="841"/>
      <c r="S1612" s="841"/>
      <c r="T1612" s="841"/>
      <c r="U1612" s="841"/>
      <c r="V1612" s="841"/>
      <c r="Y1612" s="132"/>
      <c r="Z1612" s="829" t="str">
        <f t="shared" si="3894"/>
        <v/>
      </c>
      <c r="AA1612" s="829"/>
      <c r="AB1612" s="830" t="str">
        <f>IF(G1612=0,"",IF(AD1612="free","re-planting",IF(AD1612="me","not NVP, by",IF($AD$8="yes",(VLOOKUP(A1612,'Discount Lookup'!J:K,2)*G1612*(1-$AC$1786)*(1+$AC$1788)),IF(AD1612="NVP",(VLOOKUP(A1612,'Discount Lookup'!J:K,2)*G1612*(1-$AC$1786)*(1+$AC$1788)),IF(AD1612="free","re-planting",IF(G1612=0,"",IF($AD$8="",IF(AD1612="me","not NVP, by",IF(AD1612="",IF(G1612&gt;0,(VLOOKUP(A1612,'Discount Lookup'!J:K,2)*G1612*(1-$AC$1786)*(1+$AC$1788)),""),"")),"not NVP, by"))))))))</f>
        <v/>
      </c>
      <c r="AC1612" s="830"/>
      <c r="AD1612" s="375" t="str">
        <f t="shared" si="3843"/>
        <v/>
      </c>
      <c r="AE1612" s="833" t="str">
        <f t="shared" si="3772"/>
        <v/>
      </c>
      <c r="AF1612" s="833"/>
      <c r="AG1612" s="833"/>
      <c r="AH1612" s="91">
        <f>IF(AD1612="free",0,IF(AD1612="me",0,IF(G1612&gt;0,(VLOOKUP(A1612,'Discount Lookup'!J:K,2)*G1612),0)))</f>
        <v>0</v>
      </c>
      <c r="AI1612" s="92" t="str">
        <f t="shared" si="3903"/>
        <v/>
      </c>
      <c r="AJ1612" s="828" t="str">
        <f t="shared" si="3896"/>
        <v/>
      </c>
      <c r="AK1612" s="828"/>
      <c r="AL1612" s="313" t="str">
        <f t="shared" si="3938"/>
        <v/>
      </c>
      <c r="AM1612" s="312"/>
      <c r="AN1612" s="101"/>
      <c r="AO1612" s="101"/>
      <c r="AP1612" s="101"/>
      <c r="AQ1612" s="101"/>
      <c r="AR1612" s="101"/>
      <c r="AS1612" s="101"/>
      <c r="AT1612" s="101"/>
    </row>
    <row r="1613" spans="1:46" ht="12.95" customHeight="1">
      <c r="A1613" s="401" t="s">
        <v>843</v>
      </c>
      <c r="B1613" s="389"/>
      <c r="C1613" s="390"/>
      <c r="D1613" s="390"/>
      <c r="E1613" s="391"/>
      <c r="F1613" s="725"/>
      <c r="G1613" s="392"/>
      <c r="H1613" s="758"/>
      <c r="I1613" s="521" t="str">
        <f>IF($A$8="show",COUNTIF($G$1613:$G$1757,"&gt;0"),IF($E$1="Quote","",IF($E$1="Order","",IF($E$1="Delivered","",IF($E$1="Completed","",IF(SUM($G$1613:$G$1757)=0,"",COUNTIF($G$1613:$G$1757,"&gt;0")))))))</f>
        <v/>
      </c>
      <c r="J1613" s="522" t="str">
        <f>IF($A$8="show",CONCATENATE("DG picked, ",SUM($G$1613:$G$1757)," DG plants total"),IF($E$1="Quote","",IF($E$1="Order","",IF($E$1="Delivered","",IF($E$1="Completed","",IF(SUM($G$1613:$G$1757)&gt;0,CONCATENATE("DG picked, ",SUM($G$1613:$G$1757)," DG plants total"),""))))))</f>
        <v/>
      </c>
      <c r="K1613" s="610"/>
      <c r="L1613" s="528"/>
      <c r="M1613" s="856" t="s">
        <v>258</v>
      </c>
      <c r="N1613" s="857"/>
      <c r="O1613" s="858"/>
      <c r="P1613" s="873" t="s">
        <v>259</v>
      </c>
      <c r="Q1613" s="874"/>
      <c r="R1613" s="874"/>
      <c r="S1613" s="874"/>
      <c r="T1613" s="874"/>
      <c r="U1613" s="874"/>
      <c r="V1613" s="100"/>
      <c r="W1613" s="100"/>
      <c r="X1613" s="100"/>
      <c r="Y1613" s="201"/>
      <c r="Z1613" s="829" t="str">
        <f t="shared" si="3894"/>
        <v/>
      </c>
      <c r="AA1613" s="829"/>
      <c r="AB1613" s="830" t="str">
        <f>IF(G1613=0,"",IF(AD1613="free","re-planting",IF(AD1613="me","not NVP, by",IF($AD$8="yes",(VLOOKUP(A1613,'Discount Lookup'!J:K,2)*G1613*(1-$AC$1786)*(1+$AC$1788)),IF(AD1613="NVP",(VLOOKUP(A1613,'Discount Lookup'!J:K,2)*G1613*(1-$AC$1786)*(1+$AC$1788)),IF(AD1613="free","re-planting",IF(G1613=0,"",IF($AD$8="",IF(AD1613="me","not NVP, by",IF(AD1613="",IF(G1613&gt;0,(VLOOKUP(A1613,'Discount Lookup'!J:K,2)*G1613*(1-$AC$1786)*(1+$AC$1788)),""),"")),"not NVP, by"))))))))</f>
        <v/>
      </c>
      <c r="AC1613" s="830"/>
      <c r="AD1613" s="375" t="str">
        <f t="shared" si="3843"/>
        <v/>
      </c>
      <c r="AE1613" s="833" t="str">
        <f t="shared" si="3772"/>
        <v/>
      </c>
      <c r="AF1613" s="833"/>
      <c r="AG1613" s="833"/>
      <c r="AH1613" s="91">
        <f>IF(AD1613="free",0,IF(AD1613="me",0,IF(G1613&gt;0,(VLOOKUP(A1613,'Discount Lookup'!J:K,2)*G1613),0)))</f>
        <v>0</v>
      </c>
      <c r="AI1613" s="92" t="str">
        <f t="shared" si="3903"/>
        <v/>
      </c>
      <c r="AJ1613" s="828" t="str">
        <f t="shared" si="3896"/>
        <v/>
      </c>
      <c r="AK1613" s="828"/>
      <c r="AL1613" s="313" t="str">
        <f t="shared" si="3938"/>
        <v/>
      </c>
      <c r="AM1613" s="312"/>
      <c r="AN1613" s="101"/>
      <c r="AO1613" s="101"/>
      <c r="AP1613" s="101"/>
      <c r="AQ1613" s="101"/>
      <c r="AR1613" s="101"/>
      <c r="AS1613" s="101"/>
      <c r="AT1613" s="101"/>
    </row>
    <row r="1614" spans="1:46" ht="12.95" customHeight="1">
      <c r="A1614" s="836" t="s">
        <v>844</v>
      </c>
      <c r="B1614" s="837"/>
      <c r="C1614" s="837"/>
      <c r="D1614" s="837"/>
      <c r="E1614" s="837"/>
      <c r="F1614" s="837"/>
      <c r="G1614" s="837"/>
      <c r="H1614" s="775" t="s">
        <v>186</v>
      </c>
      <c r="I1614" s="349" t="s">
        <v>280</v>
      </c>
      <c r="J1614" s="157"/>
      <c r="K1614" s="611" t="s">
        <v>45</v>
      </c>
      <c r="L1614" s="630" t="s">
        <v>46</v>
      </c>
      <c r="M1614" s="157"/>
      <c r="N1614" s="158" t="s">
        <v>845</v>
      </c>
      <c r="O1614" s="158"/>
      <c r="P1614" s="158"/>
      <c r="Q1614" s="158"/>
      <c r="R1614" s="157"/>
      <c r="S1614" s="170"/>
      <c r="T1614" s="547"/>
      <c r="U1614" s="171"/>
      <c r="V1614" s="100" t="b">
        <f>IF(G1614&gt;0,IF(AD1614="me","",G1614))</f>
        <v>0</v>
      </c>
      <c r="W1614" s="100"/>
      <c r="X1614" s="100"/>
      <c r="Y1614" s="201"/>
      <c r="Z1614" s="838" t="str">
        <f>IF(G1614=0,"",IF(AD1614="me","",IF($AD$8="me","",IF(AD1614="free","warranty",IF($AD$8="yes","NVP planting:","to NVP install:")))))</f>
        <v/>
      </c>
      <c r="AA1614" s="838"/>
      <c r="AB1614" s="830" t="str">
        <f>IF(G1614=0,"",IF(AD1614="free","re-planting",IF(AD1614="me","not NVP, by",IF($AD$8="yes",(VLOOKUP(A1614,'Discount Lookup'!J:K,2)*G1614*(1-$AC$1786)*(1+$AC$1788)),IF(AD1614="NVP",(VLOOKUP(A1614,'Discount Lookup'!J:K,2)*G1614*(1-$AC$1786)*(1+$AC$1788)),IF(AD1614="free","re-planting",IF(G1614=0,"",IF($AD$8="",IF(AD1614="me","not NVP, by",IF(AD1614="",IF(G1614&gt;0,(VLOOKUP(A1614,'Discount Lookup'!J:K,2)*G1614*(1-$AC$1786)*(1+$AC$1788)),""),"")),"not NVP, by"))))))))</f>
        <v/>
      </c>
      <c r="AC1614" s="830"/>
      <c r="AD1614" s="375" t="str">
        <f t="shared" si="3843"/>
        <v/>
      </c>
      <c r="AE1614" s="833" t="str">
        <f>IF(G1614&gt;0,(CONCATENATE((G1614)," quantity, ",(A1614)," ",B1614)),"")</f>
        <v/>
      </c>
      <c r="AF1614" s="833"/>
      <c r="AG1614" s="833"/>
      <c r="AH1614" s="91" t="str">
        <f>IF(AD1614="free",0,IF(AD1614="me","",IF(G1614&gt;0,(VLOOKUP(A1614,'Discount Lookup'!J:K,2)*G1614),"")))</f>
        <v/>
      </c>
      <c r="AI1614" s="92" t="str">
        <f t="shared" si="3903"/>
        <v/>
      </c>
      <c r="AJ1614" s="828" t="str">
        <f>IF(G1614=0,"",IF(AD1614="me","  delivery-only",CONCATENATE(" $",ROUND(AI1614/G1614,2)," each")))</f>
        <v/>
      </c>
      <c r="AK1614" s="828"/>
      <c r="AL1614" s="313" t="str">
        <f t="shared" si="3938"/>
        <v/>
      </c>
      <c r="AM1614" s="312"/>
      <c r="AN1614" s="101"/>
      <c r="AO1614" s="101"/>
      <c r="AP1614" s="101"/>
      <c r="AQ1614" s="101"/>
      <c r="AR1614" s="101"/>
      <c r="AS1614" s="101"/>
      <c r="AT1614" s="101"/>
    </row>
    <row r="1615" spans="1:46" ht="12.95" customHeight="1">
      <c r="A1615" s="383">
        <v>3</v>
      </c>
      <c r="B1615" s="158" t="s">
        <v>50</v>
      </c>
      <c r="C1615" s="168" t="s">
        <v>136</v>
      </c>
      <c r="D1615" s="161" t="s">
        <v>86</v>
      </c>
      <c r="E1615" s="162">
        <v>28.95</v>
      </c>
      <c r="F1615" s="713" t="s">
        <v>1306</v>
      </c>
      <c r="G1615" s="357">
        <v>0</v>
      </c>
      <c r="H1615" s="748" t="str">
        <f>IF(G1615=0,"",IF(F1615="Qty=",IF(G1615=1,"plant","plants"),IF(F1615&gt;0.0001,"warranty","Error")))</f>
        <v/>
      </c>
      <c r="I1615" s="592">
        <f>IF(F1615="Qty=",(E1615*G1615),((E1615*(1-F1615))*G1615))</f>
        <v>0</v>
      </c>
      <c r="J1615" s="592">
        <f>IF(H1615="warranty",0,(I1615*($J$1782)))</f>
        <v>0</v>
      </c>
      <c r="K1615" s="834">
        <f t="shared" ref="K1615" si="3939">I1615+J1615</f>
        <v>0</v>
      </c>
      <c r="L1615" s="834"/>
      <c r="M1615" s="832" t="str">
        <f>IF($H$1784=0,"",IF(G1615=0,"",IF(F1615="Qty=",CONCATENATE("$",ROUND(K1615*(1-$H$1784),2)," with ",($H$1784*100),"% discount"),CONCATENATE("$",ROUND(K1615*(1-$H$1784),2)," with ",(($H$1784*100+F1615*100)-($H$1784*100*F1615)),IF(F1615&gt;0,"% discounts",IF($H$1781&gt;0,"% discounts","% discount"))))))</f>
        <v/>
      </c>
      <c r="N1615" s="832"/>
      <c r="O1615" s="832"/>
      <c r="P1615" s="832"/>
      <c r="Q1615" s="832"/>
      <c r="R1615" s="832"/>
      <c r="S1615" s="303">
        <f>E1615*G1615</f>
        <v>0</v>
      </c>
      <c r="T1615" s="541">
        <f>VLOOKUP(A1615,'Discount Lookup'!D:E,2,FALSE)*G1615</f>
        <v>0</v>
      </c>
      <c r="U1615" s="83">
        <f>VLOOKUP(A1615,'Discount Lookup'!G:H,2,FALSE)*G1615</f>
        <v>0</v>
      </c>
      <c r="V1615" s="100">
        <f>E1615*($J$1782)*G1615</f>
        <v>0</v>
      </c>
      <c r="W1615" s="100">
        <f>I1615</f>
        <v>0</v>
      </c>
      <c r="X1615" s="100" t="b">
        <f>IF(G1615&gt;0,IF(AD1615="me","",G1615))</f>
        <v>0</v>
      </c>
      <c r="Y1615" s="201"/>
      <c r="Z1615" s="838" t="str">
        <f>IF(G1615=0,"",IF(AD1615="me","",IF($AD$8="me","",IF(AD1615="free","warranty",IF($AD$8="yes","NVP planting:","to NVP install:")))))</f>
        <v/>
      </c>
      <c r="AA1615" s="838"/>
      <c r="AB1615" s="830" t="str">
        <f>IF(G1615=0,"",IF(AD1615="free","re-planting",IF(AD1615="me","not NVP, by",IF($AD$8="yes",(VLOOKUP(A1615,'Discount Lookup'!J:K,2)*G1615*(1-$AC$1786)*(1+$AC$1788)),IF(AD1615="NVP",(VLOOKUP(A1615,'Discount Lookup'!J:K,2)*G1615*(1-$AC$1786)*(1+$AC$1788)),IF(AD1615="free","re-planting",IF(G1615=0,"",IF($AD$8="",IF(AD1615="me","not NVP, by",IF(AD1615="",IF(G1615&gt;0,(VLOOKUP(A1615,'Discount Lookup'!J:K,2)*G1615*(1-$AC$1786)*(1+$AC$1788)),""),"")),"not NVP, by"))))))))</f>
        <v/>
      </c>
      <c r="AC1615" s="830"/>
      <c r="AD1615" s="375" t="str">
        <f t="shared" si="3843"/>
        <v/>
      </c>
      <c r="AE1615" s="833" t="str">
        <f>IF(G1615&gt;0,(CONCATENATE((G1615)," quantity, ",(A1615)," ",B1615)),"")</f>
        <v/>
      </c>
      <c r="AF1615" s="833"/>
      <c r="AG1615" s="833"/>
      <c r="AH1615" s="91" t="str">
        <f>IF(AD1615="free",0,IF(AD1615="me","",IF(G1615&gt;0,(VLOOKUP(A1615,'Discount Lookup'!J:K,2)*G1615),"")))</f>
        <v/>
      </c>
      <c r="AI1615" s="92" t="str">
        <f t="shared" si="3903"/>
        <v/>
      </c>
      <c r="AJ1615" s="828" t="str">
        <f>IF(G1615=0,"",IF(AD1615="me","  delivery-only",CONCATENATE(" $",ROUND(AI1615/G1615,2)," each")))</f>
        <v/>
      </c>
      <c r="AK1615" s="828"/>
      <c r="AL1615" s="313" t="str">
        <f t="shared" si="3938"/>
        <v/>
      </c>
      <c r="AM1615" s="312"/>
      <c r="AN1615" s="101"/>
      <c r="AO1615" s="101"/>
      <c r="AP1615" s="101"/>
      <c r="AQ1615" s="101"/>
      <c r="AR1615" s="101"/>
      <c r="AS1615" s="101"/>
      <c r="AT1615" s="101"/>
    </row>
    <row r="1616" spans="1:46" ht="12.95" customHeight="1">
      <c r="A1616" s="474"/>
      <c r="B1616" s="103" t="s">
        <v>846</v>
      </c>
      <c r="C1616" s="130"/>
      <c r="D1616" s="104"/>
      <c r="E1616" s="131"/>
      <c r="F1616" s="710"/>
      <c r="G1616" s="356"/>
      <c r="H1616" s="744"/>
      <c r="I1616" s="131"/>
      <c r="L1616" s="178"/>
      <c r="M1616" s="48"/>
      <c r="N1616" s="183" t="s">
        <v>847</v>
      </c>
      <c r="O1616" s="220" t="s">
        <v>353</v>
      </c>
      <c r="P1616" s="124"/>
      <c r="Q1616" s="124"/>
      <c r="R1616" s="83"/>
      <c r="S1616" s="82"/>
      <c r="T1616" s="540"/>
      <c r="U1616" s="83"/>
      <c r="V1616" s="100" t="b">
        <f>IF(G1616&gt;0,IF(AD1616="me","",G1616))</f>
        <v>0</v>
      </c>
      <c r="W1616" s="100"/>
      <c r="X1616" s="100"/>
      <c r="Y1616" s="201"/>
      <c r="Z1616" s="838" t="str">
        <f>IF(G1616=0,"",IF(AD1616="me","",IF($AD$8="me","",IF(AD1616="free","warranty",IF($AD$8="yes","NVP planting:","to NVP install:")))))</f>
        <v/>
      </c>
      <c r="AA1616" s="838"/>
      <c r="AB1616" s="830" t="str">
        <f>IF(G1616=0,"",IF(AD1616="free","re-planting",IF(AD1616="me","not NVP, by",IF($AD$8="yes",(VLOOKUP(A1616,'Discount Lookup'!J:K,2)*G1616*(1-$AC$1786)*(1+$AC$1788)),IF(AD1616="NVP",(VLOOKUP(A1616,'Discount Lookup'!J:K,2)*G1616*(1-$AC$1786)*(1+$AC$1788)),IF(AD1616="free","re-planting",IF(G1616=0,"",IF($AD$8="",IF(AD1616="me","not NVP, by",IF(AD1616="",IF(G1616&gt;0,(VLOOKUP(A1616,'Discount Lookup'!J:K,2)*G1616*(1-$AC$1786)*(1+$AC$1788)),""),"")),"not NVP, by"))))))))</f>
        <v/>
      </c>
      <c r="AC1616" s="830"/>
      <c r="AD1616" s="375" t="str">
        <f t="shared" si="3843"/>
        <v/>
      </c>
      <c r="AE1616" s="833" t="str">
        <f>IF(G1616&gt;0,(CONCATENATE((G1616)," quantity, ",(A1616)," ",B1616)),"")</f>
        <v/>
      </c>
      <c r="AF1616" s="833"/>
      <c r="AG1616" s="833"/>
      <c r="AH1616" s="91" t="str">
        <f>IF(AD1616="free",0,IF(AD1616="me","",IF(G1616&gt;0,(VLOOKUP(A1616,'Discount Lookup'!J:K,2)*G1616),"")))</f>
        <v/>
      </c>
      <c r="AI1616" s="92" t="str">
        <f t="shared" si="3903"/>
        <v/>
      </c>
      <c r="AJ1616" s="828" t="str">
        <f>IF(G1616=0,"",IF(AD1616="me","  delivery-only",CONCATENATE(" $",ROUND(AI1616/G1616,2)," each")))</f>
        <v/>
      </c>
      <c r="AK1616" s="828"/>
      <c r="AL1616" s="313" t="str">
        <f t="shared" si="3938"/>
        <v/>
      </c>
      <c r="AM1616" s="312"/>
      <c r="AN1616" s="101"/>
      <c r="AO1616" s="101"/>
      <c r="AP1616" s="101"/>
      <c r="AQ1616" s="101"/>
      <c r="AR1616" s="101"/>
      <c r="AS1616" s="101"/>
      <c r="AT1616" s="101"/>
    </row>
    <row r="1617" spans="1:46" ht="12.95" customHeight="1">
      <c r="A1617" s="836" t="s">
        <v>1636</v>
      </c>
      <c r="B1617" s="837"/>
      <c r="C1617" s="837"/>
      <c r="D1617" s="837"/>
      <c r="E1617" s="837"/>
      <c r="F1617" s="837"/>
      <c r="G1617" s="837"/>
      <c r="H1617" s="775" t="s">
        <v>521</v>
      </c>
      <c r="I1617" s="349" t="s">
        <v>280</v>
      </c>
      <c r="J1617" s="157"/>
      <c r="K1617" s="611" t="s">
        <v>45</v>
      </c>
      <c r="L1617" s="630" t="s">
        <v>46</v>
      </c>
      <c r="M1617" s="157"/>
      <c r="N1617" s="158" t="s">
        <v>98</v>
      </c>
      <c r="O1617" s="158"/>
      <c r="P1617" s="158"/>
      <c r="Q1617" s="158"/>
      <c r="R1617" s="157"/>
      <c r="S1617" s="170"/>
      <c r="T1617" s="547"/>
      <c r="U1617" s="159" t="s">
        <v>48</v>
      </c>
      <c r="V1617" s="100" t="b">
        <f>IF(G1617&gt;0,IF(AD1617="me","",G1617))</f>
        <v>0</v>
      </c>
      <c r="W1617" s="100"/>
      <c r="X1617" s="100"/>
      <c r="Y1617" s="201"/>
      <c r="Z1617" s="829" t="str">
        <f t="shared" ref="Z1617:Z1619" si="3940">IF(G1617=0,"",IF(AD1617="me","",IF($AD$8="me","",IF(AD1617="free","warranty",IF($AD$8="yes","NVP planting:","to NVP install:")))))</f>
        <v/>
      </c>
      <c r="AA1617" s="829"/>
      <c r="AB1617" s="830" t="str">
        <f>IF(G1617=0,"",IF(AD1617="free","re-planting",IF(AD1617="me","not NVP, by",IF($AD$8="yes",(VLOOKUP(A1617,'Discount Lookup'!J:K,2)*G1617*(1-$AC$1786)*(1+$AC$1788)),IF(AD1617="NVP",(VLOOKUP(A1617,'Discount Lookup'!J:K,2)*G1617*(1-$AC$1786)*(1+$AC$1788)),IF(AD1617="free","re-planting",IF(G1617=0,"",IF($AD$8="",IF(AD1617="me","not NVP, by",IF(AD1617="",IF(G1617&gt;0,(VLOOKUP(A1617,'Discount Lookup'!J:K,2)*G1617*(1-$AC$1786)*(1+$AC$1788)),""),"")),"not NVP, by"))))))))</f>
        <v/>
      </c>
      <c r="AC1617" s="830"/>
      <c r="AD1617" s="375" t="str">
        <f t="shared" ref="AD1617:AD1619" si="3941">IF(G1617=0,"",IF($AD$8="me","me",IF(H1617="warranty","free",IF($AD$8="yes","NVP",""))))</f>
        <v/>
      </c>
      <c r="AE1617" s="833" t="str">
        <f t="shared" ref="AE1617:AE1619" si="3942">IF(G1617&gt;0,(CONCATENATE((G1617)," quantity, ",(A1617)," ",B1617)),"")</f>
        <v/>
      </c>
      <c r="AF1617" s="833"/>
      <c r="AG1617" s="833"/>
      <c r="AH1617" s="91">
        <f>IF(AD1617="free",0,IF(AD1617="me",0,IF(G1617&gt;0,(VLOOKUP(A1617,'Discount Lookup'!J:K,2)*G1617),0)))</f>
        <v>0</v>
      </c>
      <c r="AI1617" s="92" t="str">
        <f t="shared" si="3903"/>
        <v/>
      </c>
      <c r="AJ1617" s="828" t="str">
        <f t="shared" ref="AJ1617:AJ1619" si="3943">IF(G1617=0,"",IF(AD1617="me","  delivery-only",IF($AD$8="me","  delivery-only",CONCATENATE(" $",ROUND(AI1617/G1617,2)," each"))))</f>
        <v/>
      </c>
      <c r="AK1617" s="828"/>
      <c r="AL1617" s="313" t="str">
        <f t="shared" si="3938"/>
        <v/>
      </c>
      <c r="AM1617" s="312"/>
      <c r="AN1617" s="101"/>
      <c r="AO1617" s="101"/>
      <c r="AP1617" s="101"/>
      <c r="AQ1617" s="101"/>
      <c r="AR1617" s="101"/>
      <c r="AS1617" s="101"/>
      <c r="AT1617" s="101"/>
    </row>
    <row r="1618" spans="1:46" ht="12.95" customHeight="1">
      <c r="A1618" s="383">
        <v>3</v>
      </c>
      <c r="B1618" s="158" t="s">
        <v>50</v>
      </c>
      <c r="C1618" s="168" t="s">
        <v>136</v>
      </c>
      <c r="D1618" s="161" t="s">
        <v>54</v>
      </c>
      <c r="E1618" s="162">
        <v>31.95</v>
      </c>
      <c r="F1618" s="713" t="s">
        <v>1306</v>
      </c>
      <c r="G1618" s="357">
        <v>0</v>
      </c>
      <c r="H1618" s="748" t="str">
        <f t="shared" ref="H1618" si="3944">IF(G1618=0,"",IF(F1618="Qty=",IF(G1618=1,"plant","plants"),IF(F1618&gt;0.0001,"warranty","Error")))</f>
        <v/>
      </c>
      <c r="I1618" s="592">
        <f t="shared" ref="I1618" si="3945">IF(F1618="Qty=",(E1618*G1618),((E1618*(1-F1618))*G1618))</f>
        <v>0</v>
      </c>
      <c r="J1618" s="592">
        <f>IF(H1618="warranty",0,(I1618*($J$1782)))</f>
        <v>0</v>
      </c>
      <c r="K1618" s="834">
        <f t="shared" ref="K1618" si="3946">I1618+J1618</f>
        <v>0</v>
      </c>
      <c r="L1618" s="834"/>
      <c r="M1618" s="832" t="str">
        <f>IF($H$1784=0,"",IF(G1618=0,"",IF(F1618="Qty=",CONCATENATE("$",ROUND(K1618*(1-$H$1784),2)," with ",($H$1784*100),"% discount"),CONCATENATE("$",ROUND(K1618*(1-$H$1784),2)," with ",(($H$1784*100+F1618*100)-($H$1784*100*F1618)),IF(F1618&gt;0,"% discounts",IF($H$1781&gt;0,"% discounts","% discount"))))))</f>
        <v/>
      </c>
      <c r="N1618" s="832"/>
      <c r="O1618" s="832"/>
      <c r="P1618" s="832"/>
      <c r="Q1618" s="832"/>
      <c r="R1618" s="832"/>
      <c r="S1618" s="303">
        <f t="shared" ref="S1618" si="3947">E1618*G1618</f>
        <v>0</v>
      </c>
      <c r="T1618" s="541">
        <f>VLOOKUP(A1618,'Discount Lookup'!D:E,2,FALSE)*G1618</f>
        <v>0</v>
      </c>
      <c r="U1618" s="83">
        <f>VLOOKUP(A1618,'Discount Lookup'!G:H,2,FALSE)*G1618</f>
        <v>0</v>
      </c>
      <c r="V1618" s="100">
        <f>E1618*($J$1782)*G1618</f>
        <v>0</v>
      </c>
      <c r="W1618" s="100">
        <f t="shared" ref="W1618" si="3948">I1618</f>
        <v>0</v>
      </c>
      <c r="X1618" s="100" t="b">
        <f>IF(G1618&gt;0,IF(AD1618="me","",G1618))</f>
        <v>0</v>
      </c>
      <c r="Y1618" s="201"/>
      <c r="Z1618" s="829" t="str">
        <f t="shared" si="3940"/>
        <v/>
      </c>
      <c r="AA1618" s="829"/>
      <c r="AB1618" s="830" t="str">
        <f>IF(G1618=0,"",IF(AD1618="free","re-planting",IF(AD1618="me","not NVP, by",IF($AD$8="yes",(VLOOKUP(A1618,'Discount Lookup'!J:K,2)*G1618*(1-$AC$1786)*(1+$AC$1788)),IF(AD1618="NVP",(VLOOKUP(A1618,'Discount Lookup'!J:K,2)*G1618*(1-$AC$1786)*(1+$AC$1788)),IF(AD1618="free","re-planting",IF(G1618=0,"",IF($AD$8="",IF(AD1618="me","not NVP, by",IF(AD1618="",IF(G1618&gt;0,(VLOOKUP(A1618,'Discount Lookup'!J:K,2)*G1618*(1-$AC$1786)*(1+$AC$1788)),""),"")),"not NVP, by"))))))))</f>
        <v/>
      </c>
      <c r="AC1618" s="830"/>
      <c r="AD1618" s="375" t="str">
        <f t="shared" si="3941"/>
        <v/>
      </c>
      <c r="AE1618" s="833" t="str">
        <f t="shared" si="3942"/>
        <v/>
      </c>
      <c r="AF1618" s="833"/>
      <c r="AG1618" s="833"/>
      <c r="AH1618" s="91">
        <f>IF(AD1618="free",0,IF(AD1618="me",0,IF(G1618&gt;0,(VLOOKUP(A1618,'Discount Lookup'!J:K,2)*G1618),0)))</f>
        <v>0</v>
      </c>
      <c r="AI1618" s="92" t="str">
        <f t="shared" si="3903"/>
        <v/>
      </c>
      <c r="AJ1618" s="828" t="str">
        <f t="shared" si="3943"/>
        <v/>
      </c>
      <c r="AK1618" s="828"/>
      <c r="AL1618" s="313" t="str">
        <f t="shared" si="3938"/>
        <v/>
      </c>
      <c r="AM1618" s="312"/>
      <c r="AN1618" s="101"/>
      <c r="AO1618" s="101"/>
      <c r="AP1618" s="101"/>
      <c r="AQ1618" s="101"/>
      <c r="AR1618" s="101"/>
      <c r="AS1618" s="101"/>
      <c r="AT1618" s="101"/>
    </row>
    <row r="1619" spans="1:46" ht="12.95" customHeight="1">
      <c r="A1619" s="474"/>
      <c r="B1619" s="103" t="s">
        <v>1635</v>
      </c>
      <c r="C1619" s="130"/>
      <c r="D1619" s="104"/>
      <c r="E1619" s="131"/>
      <c r="F1619" s="710"/>
      <c r="G1619" s="356"/>
      <c r="H1619" s="744"/>
      <c r="I1619" s="131"/>
      <c r="J1619" s="131"/>
      <c r="K1619" s="608"/>
      <c r="L1619" s="608"/>
      <c r="M1619" s="121"/>
      <c r="N1619" s="122" t="s">
        <v>959</v>
      </c>
      <c r="O1619" s="48"/>
      <c r="P1619" s="111"/>
      <c r="Q1619" s="111"/>
      <c r="R1619" s="48"/>
      <c r="S1619" s="82"/>
      <c r="T1619" s="540"/>
      <c r="U1619" s="83"/>
      <c r="V1619" s="100"/>
      <c r="W1619" s="100"/>
      <c r="X1619" s="100"/>
      <c r="Y1619" s="201"/>
      <c r="Z1619" s="829" t="str">
        <f t="shared" si="3940"/>
        <v/>
      </c>
      <c r="AA1619" s="829"/>
      <c r="AB1619" s="830" t="str">
        <f>IF(G1619=0,"",IF(AD1619="free","re-planting",IF(AD1619="me","not NVP, by",IF($AD$8="yes",(VLOOKUP(A1619,'Discount Lookup'!J:K,2)*G1619*(1-$AC$1786)*(1+$AC$1788)),IF(AD1619="NVP",(VLOOKUP(A1619,'Discount Lookup'!J:K,2)*G1619*(1-$AC$1786)*(1+$AC$1788)),IF(AD1619="free","re-planting",IF(G1619=0,"",IF($AD$8="",IF(AD1619="me","not NVP, by",IF(AD1619="",IF(G1619&gt;0,(VLOOKUP(A1619,'Discount Lookup'!J:K,2)*G1619*(1-$AC$1786)*(1+$AC$1788)),""),"")),"not NVP, by"))))))))</f>
        <v/>
      </c>
      <c r="AC1619" s="830"/>
      <c r="AD1619" s="375" t="str">
        <f t="shared" si="3941"/>
        <v/>
      </c>
      <c r="AE1619" s="833" t="str">
        <f t="shared" si="3942"/>
        <v/>
      </c>
      <c r="AF1619" s="833"/>
      <c r="AG1619" s="833"/>
      <c r="AH1619" s="91">
        <f>IF(AD1619="free",0,IF(AD1619="me",0,IF(G1619&gt;0,(VLOOKUP(A1619,'Discount Lookup'!J:K,2)*G1619),0)))</f>
        <v>0</v>
      </c>
      <c r="AI1619" s="92" t="str">
        <f t="shared" si="3903"/>
        <v/>
      </c>
      <c r="AJ1619" s="828" t="str">
        <f t="shared" si="3943"/>
        <v/>
      </c>
      <c r="AK1619" s="828"/>
      <c r="AL1619" s="313" t="str">
        <f t="shared" si="3938"/>
        <v/>
      </c>
      <c r="AM1619" s="312"/>
      <c r="AN1619" s="101"/>
      <c r="AO1619" s="101"/>
      <c r="AP1619" s="101"/>
      <c r="AQ1619" s="101"/>
      <c r="AR1619" s="101"/>
      <c r="AS1619" s="101"/>
      <c r="AT1619" s="101"/>
    </row>
    <row r="1620" spans="1:46" ht="12.95" customHeight="1">
      <c r="A1620" s="836" t="s">
        <v>848</v>
      </c>
      <c r="B1620" s="837"/>
      <c r="C1620" s="837"/>
      <c r="D1620" s="837"/>
      <c r="E1620" s="837"/>
      <c r="F1620" s="837"/>
      <c r="G1620" s="837"/>
      <c r="H1620" s="775" t="s">
        <v>521</v>
      </c>
      <c r="I1620" s="349" t="s">
        <v>280</v>
      </c>
      <c r="J1620" s="157"/>
      <c r="K1620" s="611" t="s">
        <v>45</v>
      </c>
      <c r="L1620" s="630" t="s">
        <v>46</v>
      </c>
      <c r="M1620" s="157"/>
      <c r="N1620" s="158" t="s">
        <v>98</v>
      </c>
      <c r="O1620" s="158"/>
      <c r="P1620" s="158"/>
      <c r="Q1620" s="158"/>
      <c r="R1620" s="157"/>
      <c r="S1620" s="170"/>
      <c r="T1620" s="547"/>
      <c r="U1620" s="171"/>
      <c r="V1620" s="100" t="b">
        <f>IF(G1620&gt;0,IF(AD1620="me","",G1620))</f>
        <v>0</v>
      </c>
      <c r="W1620" s="100"/>
      <c r="X1620" s="100"/>
      <c r="Y1620" s="201"/>
      <c r="Z1620" s="829" t="str">
        <f t="shared" si="3894"/>
        <v/>
      </c>
      <c r="AA1620" s="829"/>
      <c r="AB1620" s="830" t="str">
        <f>IF(G1620=0,"",IF(AD1620="free","re-planting",IF(AD1620="me","not NVP, by",IF($AD$8="yes",(VLOOKUP(A1620,'Discount Lookup'!J:K,2)*G1620*(1-$AC$1786)*(1+$AC$1788)),IF(AD1620="NVP",(VLOOKUP(A1620,'Discount Lookup'!J:K,2)*G1620*(1-$AC$1786)*(1+$AC$1788)),IF(AD1620="free","re-planting",IF(G1620=0,"",IF($AD$8="",IF(AD1620="me","not NVP, by",IF(AD1620="",IF(G1620&gt;0,(VLOOKUP(A1620,'Discount Lookup'!J:K,2)*G1620*(1-$AC$1786)*(1+$AC$1788)),""),"")),"not NVP, by"))))))))</f>
        <v/>
      </c>
      <c r="AC1620" s="830"/>
      <c r="AD1620" s="375" t="str">
        <f t="shared" si="3843"/>
        <v/>
      </c>
      <c r="AE1620" s="833" t="str">
        <f t="shared" si="3772"/>
        <v/>
      </c>
      <c r="AF1620" s="833"/>
      <c r="AG1620" s="833"/>
      <c r="AH1620" s="91">
        <f>IF(AD1620="free",0,IF(AD1620="me",0,IF(G1620&gt;0,(VLOOKUP(A1620,'Discount Lookup'!J:K,2)*G1620),0)))</f>
        <v>0</v>
      </c>
      <c r="AI1620" s="92" t="str">
        <f t="shared" si="3903"/>
        <v/>
      </c>
      <c r="AJ1620" s="828" t="str">
        <f t="shared" si="3896"/>
        <v/>
      </c>
      <c r="AK1620" s="828"/>
      <c r="AL1620" s="313" t="str">
        <f t="shared" si="3938"/>
        <v/>
      </c>
      <c r="AM1620" s="312"/>
      <c r="AN1620" s="101"/>
      <c r="AO1620" s="101"/>
      <c r="AP1620" s="101"/>
      <c r="AQ1620" s="101"/>
      <c r="AR1620" s="101"/>
      <c r="AS1620" s="101"/>
      <c r="AT1620" s="101"/>
    </row>
    <row r="1621" spans="1:46" ht="12.95" customHeight="1">
      <c r="A1621" s="383">
        <v>1</v>
      </c>
      <c r="B1621" s="158" t="s">
        <v>50</v>
      </c>
      <c r="C1621" s="168" t="s">
        <v>136</v>
      </c>
      <c r="D1621" s="161" t="s">
        <v>87</v>
      </c>
      <c r="E1621" s="162">
        <v>13.95</v>
      </c>
      <c r="F1621" s="713" t="s">
        <v>1306</v>
      </c>
      <c r="G1621" s="357">
        <v>0</v>
      </c>
      <c r="H1621" s="748" t="str">
        <f t="shared" ref="H1621" si="3949">IF(G1621=0,"",IF(F1621="Qty=",IF(G1621=1,"plant","plants"),IF(F1621&gt;0.0001,"warranty","Error")))</f>
        <v/>
      </c>
      <c r="I1621" s="592">
        <f t="shared" ref="I1621:I1622" si="3950">IF(F1621="Qty=",(E1621*G1621),((E1621*(1-F1621))*G1621))</f>
        <v>0</v>
      </c>
      <c r="J1621" s="592">
        <f>IF(H1621="warranty",0,(I1621*($J$1782)))</f>
        <v>0</v>
      </c>
      <c r="K1621" s="834">
        <f t="shared" ref="K1621:K1622" si="3951">I1621+J1621</f>
        <v>0</v>
      </c>
      <c r="L1621" s="834"/>
      <c r="M1621" s="832" t="str">
        <f>IF($H$1784=0,"",IF(G1621=0,"",IF(F1621="Qty=",CONCATENATE("$",ROUND(K1621*(1-$H$1784),2)," with ",($H$1784*100),"% discount"),CONCATENATE("$",ROUND(K1621*(1-$H$1784),2)," with ",(($H$1784*100+F1621*100)-($H$1784*100*F1621)),IF(F1621&gt;0,"% discounts",IF($H$1781&gt;0,"% discounts","% discount"))))))</f>
        <v/>
      </c>
      <c r="N1621" s="832"/>
      <c r="O1621" s="832"/>
      <c r="P1621" s="832"/>
      <c r="Q1621" s="832"/>
      <c r="R1621" s="832"/>
      <c r="S1621" s="303">
        <f t="shared" ref="S1621" si="3952">E1621*G1621</f>
        <v>0</v>
      </c>
      <c r="T1621" s="541">
        <f>VLOOKUP(A1621,'Discount Lookup'!D:E,2,FALSE)*G1621</f>
        <v>0</v>
      </c>
      <c r="U1621" s="83">
        <f>VLOOKUP(A1621,'Discount Lookup'!G:H,2,FALSE)*G1621</f>
        <v>0</v>
      </c>
      <c r="V1621" s="100">
        <f>E1621*($J$1782)*G1621</f>
        <v>0</v>
      </c>
      <c r="W1621" s="100">
        <f t="shared" ref="W1621" si="3953">I1621</f>
        <v>0</v>
      </c>
      <c r="X1621" s="100" t="b">
        <f>IF(G1621&gt;0,IF(AD1621="me","",G1621))</f>
        <v>0</v>
      </c>
      <c r="Y1621" s="201"/>
      <c r="Z1621" s="829" t="str">
        <f t="shared" si="3894"/>
        <v/>
      </c>
      <c r="AA1621" s="829"/>
      <c r="AB1621" s="830" t="str">
        <f>IF(G1621=0,"",IF(AD1621="free","re-planting",IF(AD1621="me","not NVP, by",IF($AD$8="yes",(VLOOKUP(A1621,'Discount Lookup'!J:K,2)*G1621*(1-$AC$1786)*(1+$AC$1788)),IF(AD1621="NVP",(VLOOKUP(A1621,'Discount Lookup'!J:K,2)*G1621*(1-$AC$1786)*(1+$AC$1788)),IF(AD1621="free","re-planting",IF(G1621=0,"",IF($AD$8="",IF(AD1621="me","not NVP, by",IF(AD1621="",IF(G1621&gt;0,(VLOOKUP(A1621,'Discount Lookup'!J:K,2)*G1621*(1-$AC$1786)*(1+$AC$1788)),""),"")),"not NVP, by"))))))))</f>
        <v/>
      </c>
      <c r="AC1621" s="830"/>
      <c r="AD1621" s="375" t="str">
        <f t="shared" si="3843"/>
        <v/>
      </c>
      <c r="AE1621" s="833" t="str">
        <f t="shared" si="3772"/>
        <v/>
      </c>
      <c r="AF1621" s="833"/>
      <c r="AG1621" s="833"/>
      <c r="AH1621" s="91">
        <f>IF(AD1621="free",0,IF(AD1621="me",0,IF(G1621&gt;0,(VLOOKUP(A1621,'Discount Lookup'!J:K,2)*G1621),0)))</f>
        <v>0</v>
      </c>
      <c r="AI1621" s="92" t="str">
        <f t="shared" si="3903"/>
        <v/>
      </c>
      <c r="AJ1621" s="828" t="str">
        <f t="shared" si="3896"/>
        <v/>
      </c>
      <c r="AK1621" s="828"/>
      <c r="AL1621" s="313" t="str">
        <f t="shared" si="3938"/>
        <v/>
      </c>
      <c r="AM1621" s="312"/>
      <c r="AN1621" s="101"/>
      <c r="AO1621" s="101"/>
      <c r="AP1621" s="101"/>
      <c r="AQ1621" s="101"/>
      <c r="AR1621" s="101"/>
      <c r="AS1621" s="101"/>
      <c r="AT1621" s="101"/>
    </row>
    <row r="1622" spans="1:46" ht="12.95" customHeight="1">
      <c r="A1622" s="383">
        <v>3</v>
      </c>
      <c r="B1622" s="158" t="s">
        <v>50</v>
      </c>
      <c r="C1622" s="168" t="s">
        <v>136</v>
      </c>
      <c r="D1622" s="161" t="s">
        <v>87</v>
      </c>
      <c r="E1622" s="162">
        <v>24.95</v>
      </c>
      <c r="F1622" s="713" t="s">
        <v>1306</v>
      </c>
      <c r="G1622" s="357">
        <v>0</v>
      </c>
      <c r="H1622" s="748" t="str">
        <f t="shared" ref="H1622" si="3954">IF(G1622=0,"",IF(F1622="Qty=",IF(G1622=1,"plant","plants"),IF(F1622&gt;0.0001,"warranty","Error")))</f>
        <v/>
      </c>
      <c r="I1622" s="592">
        <f t="shared" si="3950"/>
        <v>0</v>
      </c>
      <c r="J1622" s="592">
        <f>IF(H1622="warranty",0,(I1622*($J$1782)))</f>
        <v>0</v>
      </c>
      <c r="K1622" s="834">
        <f t="shared" si="3951"/>
        <v>0</v>
      </c>
      <c r="L1622" s="834"/>
      <c r="M1622" s="832" t="str">
        <f>IF($H$1784=0,"",IF(G1622=0,"",IF(F1622="Qty=",CONCATENATE("$",ROUND(K1622*(1-$H$1784),2)," with ",($H$1784*100),"% discount"),CONCATENATE("$",ROUND(K1622*(1-$H$1784),2)," with ",(($H$1784*100+F1622*100)-($H$1784*100*F1622)),IF(F1622&gt;0,"% discounts",IF($H$1781&gt;0,"% discounts","% discount"))))))</f>
        <v/>
      </c>
      <c r="N1622" s="832"/>
      <c r="O1622" s="832"/>
      <c r="P1622" s="832"/>
      <c r="Q1622" s="832"/>
      <c r="R1622" s="832"/>
      <c r="S1622" s="303">
        <f t="shared" ref="S1622" si="3955">E1622*G1622</f>
        <v>0</v>
      </c>
      <c r="T1622" s="541">
        <f>VLOOKUP(A1622,'Discount Lookup'!D:E,2,FALSE)*G1622</f>
        <v>0</v>
      </c>
      <c r="U1622" s="83">
        <f>VLOOKUP(A1622,'Discount Lookup'!G:H,2,FALSE)*G1622</f>
        <v>0</v>
      </c>
      <c r="V1622" s="100">
        <f>E1622*($J$1782)*G1622</f>
        <v>0</v>
      </c>
      <c r="W1622" s="100">
        <f t="shared" ref="W1622" si="3956">I1622</f>
        <v>0</v>
      </c>
      <c r="X1622" s="100" t="b">
        <f>IF(G1622&gt;0,IF(AD1622="me","",G1622))</f>
        <v>0</v>
      </c>
      <c r="Y1622" s="201"/>
      <c r="Z1622" s="829" t="str">
        <f t="shared" si="3894"/>
        <v/>
      </c>
      <c r="AA1622" s="829"/>
      <c r="AB1622" s="830" t="str">
        <f>IF(G1622=0,"",IF(AD1622="free","re-planting",IF(AD1622="me","not NVP, by",IF($AD$8="yes",(VLOOKUP(A1622,'Discount Lookup'!J:K,2)*G1622*(1-$AC$1786)*(1+$AC$1788)),IF(AD1622="NVP",(VLOOKUP(A1622,'Discount Lookup'!J:K,2)*G1622*(1-$AC$1786)*(1+$AC$1788)),IF(AD1622="free","re-planting",IF(G1622=0,"",IF($AD$8="",IF(AD1622="me","not NVP, by",IF(AD1622="",IF(G1622&gt;0,(VLOOKUP(A1622,'Discount Lookup'!J:K,2)*G1622*(1-$AC$1786)*(1+$AC$1788)),""),"")),"not NVP, by"))))))))</f>
        <v/>
      </c>
      <c r="AC1622" s="830"/>
      <c r="AD1622" s="375" t="str">
        <f t="shared" si="3843"/>
        <v/>
      </c>
      <c r="AE1622" s="833" t="str">
        <f t="shared" ref="AE1622:AE1696" si="3957">IF(G1622&gt;0,(CONCATENATE((G1622)," quantity, ",(A1622)," ",B1622)),"")</f>
        <v/>
      </c>
      <c r="AF1622" s="833"/>
      <c r="AG1622" s="833"/>
      <c r="AH1622" s="91">
        <f>IF(AD1622="free",0,IF(AD1622="me",0,IF(G1622&gt;0,(VLOOKUP(A1622,'Discount Lookup'!J:K,2)*G1622),0)))</f>
        <v>0</v>
      </c>
      <c r="AI1622" s="92" t="str">
        <f t="shared" si="3903"/>
        <v/>
      </c>
      <c r="AJ1622" s="828" t="str">
        <f t="shared" si="3896"/>
        <v/>
      </c>
      <c r="AK1622" s="828"/>
      <c r="AL1622" s="313" t="str">
        <f t="shared" si="3938"/>
        <v/>
      </c>
      <c r="AM1622" s="312"/>
      <c r="AN1622" s="101"/>
      <c r="AO1622" s="101"/>
      <c r="AP1622" s="101"/>
      <c r="AQ1622" s="101"/>
      <c r="AR1622" s="101"/>
      <c r="AS1622" s="101"/>
      <c r="AT1622" s="101"/>
    </row>
    <row r="1623" spans="1:46" ht="12.95" customHeight="1">
      <c r="A1623" s="474"/>
      <c r="B1623" s="103" t="s">
        <v>849</v>
      </c>
      <c r="C1623" s="130"/>
      <c r="D1623" s="104"/>
      <c r="E1623" s="131"/>
      <c r="F1623" s="710"/>
      <c r="G1623" s="356"/>
      <c r="H1623" s="744"/>
      <c r="I1623" s="131"/>
      <c r="J1623" s="119"/>
      <c r="L1623" s="178"/>
      <c r="M1623" s="48"/>
      <c r="N1623" s="122" t="s">
        <v>277</v>
      </c>
      <c r="O1623" s="184"/>
      <c r="P1623" s="124"/>
      <c r="Q1623" s="124"/>
      <c r="R1623" s="83"/>
      <c r="S1623" s="82">
        <f>E1623*G1623</f>
        <v>0</v>
      </c>
      <c r="T1623" s="540"/>
      <c r="U1623" s="83"/>
      <c r="V1623" s="100" t="b">
        <f>IF(G1623&gt;0,IF(AD1623="me","",G1623))</f>
        <v>0</v>
      </c>
      <c r="W1623" s="100"/>
      <c r="X1623" s="100"/>
      <c r="Y1623" s="201"/>
      <c r="Z1623" s="829" t="str">
        <f t="shared" si="3894"/>
        <v/>
      </c>
      <c r="AA1623" s="829"/>
      <c r="AB1623" s="830" t="str">
        <f>IF(G1623=0,"",IF(AD1623="free","re-planting",IF(AD1623="me","not NVP, by",IF($AD$8="yes",(VLOOKUP(A1623,'Discount Lookup'!J:K,2)*G1623*(1-$AC$1786)*(1+$AC$1788)),IF(AD1623="NVP",(VLOOKUP(A1623,'Discount Lookup'!J:K,2)*G1623*(1-$AC$1786)*(1+$AC$1788)),IF(AD1623="free","re-planting",IF(G1623=0,"",IF($AD$8="",IF(AD1623="me","not NVP, by",IF(AD1623="",IF(G1623&gt;0,(VLOOKUP(A1623,'Discount Lookup'!J:K,2)*G1623*(1-$AC$1786)*(1+$AC$1788)),""),"")),"not NVP, by"))))))))</f>
        <v/>
      </c>
      <c r="AC1623" s="830"/>
      <c r="AD1623" s="375" t="str">
        <f t="shared" si="3843"/>
        <v/>
      </c>
      <c r="AE1623" s="833" t="str">
        <f t="shared" si="3957"/>
        <v/>
      </c>
      <c r="AF1623" s="833"/>
      <c r="AG1623" s="833"/>
      <c r="AH1623" s="91">
        <f>IF(AD1623="free",0,IF(AD1623="me",0,IF(G1623&gt;0,(VLOOKUP(A1623,'Discount Lookup'!J:K,2)*G1623),0)))</f>
        <v>0</v>
      </c>
      <c r="AI1623" s="92" t="str">
        <f t="shared" si="3903"/>
        <v/>
      </c>
      <c r="AJ1623" s="828" t="str">
        <f t="shared" si="3896"/>
        <v/>
      </c>
      <c r="AK1623" s="828"/>
      <c r="AL1623" s="313" t="str">
        <f t="shared" si="3938"/>
        <v/>
      </c>
      <c r="AM1623" s="312"/>
      <c r="AN1623" s="101"/>
      <c r="AO1623" s="101"/>
      <c r="AP1623" s="101"/>
      <c r="AQ1623" s="101"/>
      <c r="AR1623" s="101"/>
      <c r="AS1623" s="101"/>
      <c r="AT1623" s="101"/>
    </row>
    <row r="1624" spans="1:46" ht="12.95" customHeight="1">
      <c r="A1624" s="836" t="s">
        <v>850</v>
      </c>
      <c r="B1624" s="837"/>
      <c r="C1624" s="837"/>
      <c r="D1624" s="837"/>
      <c r="E1624" s="837"/>
      <c r="F1624" s="837"/>
      <c r="G1624" s="837"/>
      <c r="H1624" s="775" t="s">
        <v>521</v>
      </c>
      <c r="I1624" s="349" t="s">
        <v>280</v>
      </c>
      <c r="J1624" s="157"/>
      <c r="K1624" s="611" t="s">
        <v>45</v>
      </c>
      <c r="L1624" s="630" t="s">
        <v>46</v>
      </c>
      <c r="M1624" s="157"/>
      <c r="N1624" s="158" t="s">
        <v>98</v>
      </c>
      <c r="O1624" s="158"/>
      <c r="P1624" s="158"/>
      <c r="Q1624" s="158"/>
      <c r="R1624" s="157"/>
      <c r="S1624" s="170"/>
      <c r="T1624" s="547"/>
      <c r="U1624" s="171"/>
      <c r="V1624" s="100" t="b">
        <f>IF(G1624&gt;0,IF(AD1624="me","",G1624))</f>
        <v>0</v>
      </c>
      <c r="W1624" s="100"/>
      <c r="X1624" s="100"/>
      <c r="Y1624" s="201"/>
      <c r="Z1624" s="829" t="str">
        <f t="shared" si="3894"/>
        <v/>
      </c>
      <c r="AA1624" s="829"/>
      <c r="AB1624" s="830" t="str">
        <f>IF(G1624=0,"",IF(AD1624="free","re-planting",IF(AD1624="me","not NVP, by",IF($AD$8="yes",(VLOOKUP(A1624,'Discount Lookup'!J:K,2)*G1624*(1-$AC$1786)*(1+$AC$1788)),IF(AD1624="NVP",(VLOOKUP(A1624,'Discount Lookup'!J:K,2)*G1624*(1-$AC$1786)*(1+$AC$1788)),IF(AD1624="free","re-planting",IF(G1624=0,"",IF($AD$8="",IF(AD1624="me","not NVP, by",IF(AD1624="",IF(G1624&gt;0,(VLOOKUP(A1624,'Discount Lookup'!J:K,2)*G1624*(1-$AC$1786)*(1+$AC$1788)),""),"")),"not NVP, by"))))))))</f>
        <v/>
      </c>
      <c r="AC1624" s="830"/>
      <c r="AD1624" s="375" t="str">
        <f t="shared" si="3843"/>
        <v/>
      </c>
      <c r="AE1624" s="833" t="str">
        <f t="shared" si="3957"/>
        <v/>
      </c>
      <c r="AF1624" s="833"/>
      <c r="AG1624" s="833"/>
      <c r="AH1624" s="91">
        <f>IF(AD1624="free",0,IF(AD1624="me",0,IF(G1624&gt;0,(VLOOKUP(A1624,'Discount Lookup'!J:K,2)*G1624),0)))</f>
        <v>0</v>
      </c>
      <c r="AI1624" s="92" t="str">
        <f t="shared" si="3903"/>
        <v/>
      </c>
      <c r="AJ1624" s="828" t="str">
        <f t="shared" si="3896"/>
        <v/>
      </c>
      <c r="AK1624" s="828"/>
      <c r="AL1624" s="313" t="str">
        <f t="shared" si="3938"/>
        <v/>
      </c>
      <c r="AM1624" s="312"/>
      <c r="AN1624" s="101"/>
      <c r="AO1624" s="101"/>
      <c r="AP1624" s="101"/>
      <c r="AQ1624" s="101"/>
      <c r="AR1624" s="101"/>
      <c r="AS1624" s="101"/>
      <c r="AT1624" s="101"/>
    </row>
    <row r="1625" spans="1:46" ht="12.95" customHeight="1">
      <c r="A1625" s="383">
        <v>3</v>
      </c>
      <c r="B1625" s="158" t="s">
        <v>50</v>
      </c>
      <c r="C1625" s="168" t="s">
        <v>136</v>
      </c>
      <c r="D1625" s="161" t="s">
        <v>90</v>
      </c>
      <c r="E1625" s="162">
        <v>26.95</v>
      </c>
      <c r="F1625" s="713" t="s">
        <v>1306</v>
      </c>
      <c r="G1625" s="357">
        <v>0</v>
      </c>
      <c r="H1625" s="748" t="str">
        <f t="shared" ref="H1625" si="3958">IF(G1625=0,"",IF(F1625="Qty=",IF(G1625=1,"plant","plants"),IF(F1625&gt;0.0001,"warranty","Error")))</f>
        <v/>
      </c>
      <c r="I1625" s="592">
        <f t="shared" ref="I1625" si="3959">IF(F1625="Qty=",(E1625*G1625),((E1625*(1-F1625))*G1625))</f>
        <v>0</v>
      </c>
      <c r="J1625" s="592">
        <f>IF(H1625="warranty",0,(I1625*($J$1782)))</f>
        <v>0</v>
      </c>
      <c r="K1625" s="834">
        <f t="shared" ref="K1625" si="3960">I1625+J1625</f>
        <v>0</v>
      </c>
      <c r="L1625" s="834"/>
      <c r="M1625" s="832" t="str">
        <f>IF($H$1784=0,"",IF(G1625=0,"",IF(F1625="Qty=",CONCATENATE("$",ROUND(K1625*(1-$H$1784),2)," with ",($H$1784*100),"% discount"),CONCATENATE("$",ROUND(K1625*(1-$H$1784),2)," with ",(($H$1784*100+F1625*100)-($H$1784*100*F1625)),IF(F1625&gt;0,"% discounts",IF($H$1781&gt;0,"% discounts","% discount"))))))</f>
        <v/>
      </c>
      <c r="N1625" s="832"/>
      <c r="O1625" s="832"/>
      <c r="P1625" s="832"/>
      <c r="Q1625" s="832"/>
      <c r="R1625" s="832"/>
      <c r="S1625" s="303">
        <f t="shared" ref="S1625" si="3961">E1625*G1625</f>
        <v>0</v>
      </c>
      <c r="T1625" s="541">
        <f>VLOOKUP(A1625,'Discount Lookup'!D:E,2,FALSE)*G1625</f>
        <v>0</v>
      </c>
      <c r="U1625" s="83">
        <f>VLOOKUP(A1625,'Discount Lookup'!G:H,2,FALSE)*G1625</f>
        <v>0</v>
      </c>
      <c r="V1625" s="100">
        <f>E1625*($J$1782)*G1625</f>
        <v>0</v>
      </c>
      <c r="W1625" s="100">
        <f t="shared" ref="W1625" si="3962">I1625</f>
        <v>0</v>
      </c>
      <c r="X1625" s="100" t="b">
        <f>IF(G1625&gt;0,IF(AD1625="me","",G1625))</f>
        <v>0</v>
      </c>
      <c r="Y1625" s="201"/>
      <c r="Z1625" s="829" t="str">
        <f t="shared" si="3894"/>
        <v/>
      </c>
      <c r="AA1625" s="829"/>
      <c r="AB1625" s="830" t="str">
        <f>IF(G1625=0,"",IF(AD1625="free","re-planting",IF(AD1625="me","not NVP, by",IF($AD$8="yes",(VLOOKUP(A1625,'Discount Lookup'!J:K,2)*G1625*(1-$AC$1786)*(1+$AC$1788)),IF(AD1625="NVP",(VLOOKUP(A1625,'Discount Lookup'!J:K,2)*G1625*(1-$AC$1786)*(1+$AC$1788)),IF(AD1625="free","re-planting",IF(G1625=0,"",IF($AD$8="",IF(AD1625="me","not NVP, by",IF(AD1625="",IF(G1625&gt;0,(VLOOKUP(A1625,'Discount Lookup'!J:K,2)*G1625*(1-$AC$1786)*(1+$AC$1788)),""),"")),"not NVP, by"))))))))</f>
        <v/>
      </c>
      <c r="AC1625" s="830"/>
      <c r="AD1625" s="375" t="str">
        <f t="shared" si="3843"/>
        <v/>
      </c>
      <c r="AE1625" s="833" t="str">
        <f t="shared" ref="AE1625" si="3963">IF(G1625&gt;0,(CONCATENATE((G1625)," quantity, ",(A1625)," ",B1625)),"")</f>
        <v/>
      </c>
      <c r="AF1625" s="833"/>
      <c r="AG1625" s="833"/>
      <c r="AH1625" s="91">
        <f>IF(AD1625="free",0,IF(AD1625="me",0,IF(G1625&gt;0,(VLOOKUP(A1625,'Discount Lookup'!J:K,2)*G1625),0)))</f>
        <v>0</v>
      </c>
      <c r="AI1625" s="92" t="str">
        <f t="shared" si="3903"/>
        <v/>
      </c>
      <c r="AJ1625" s="828" t="str">
        <f t="shared" si="3896"/>
        <v/>
      </c>
      <c r="AK1625" s="828"/>
      <c r="AL1625" s="313" t="str">
        <f t="shared" si="3938"/>
        <v/>
      </c>
      <c r="AM1625" s="312"/>
      <c r="AN1625" s="101"/>
      <c r="AO1625" s="101"/>
      <c r="AP1625" s="101"/>
      <c r="AQ1625" s="101"/>
      <c r="AR1625" s="101"/>
      <c r="AS1625" s="101"/>
      <c r="AT1625" s="101"/>
    </row>
    <row r="1626" spans="1:46" ht="12.95" customHeight="1">
      <c r="A1626" s="474"/>
      <c r="B1626" s="103" t="s">
        <v>851</v>
      </c>
      <c r="C1626" s="130"/>
      <c r="D1626" s="104"/>
      <c r="E1626" s="131"/>
      <c r="F1626" s="710"/>
      <c r="G1626" s="356"/>
      <c r="H1626" s="744"/>
      <c r="I1626" s="131"/>
      <c r="J1626" s="131"/>
      <c r="K1626" s="608"/>
      <c r="L1626" s="608"/>
      <c r="M1626" s="121"/>
      <c r="N1626" s="122" t="s">
        <v>277</v>
      </c>
      <c r="O1626" s="123"/>
      <c r="P1626" s="124"/>
      <c r="Q1626" s="124"/>
      <c r="R1626" s="83"/>
      <c r="S1626" s="82">
        <f>E1626*G1626</f>
        <v>0</v>
      </c>
      <c r="T1626" s="540"/>
      <c r="U1626" s="83"/>
      <c r="V1626" s="100" t="b">
        <f>IF(G1626&gt;0,IF(AD1626="me","",G1626))</f>
        <v>0</v>
      </c>
      <c r="W1626" s="100"/>
      <c r="X1626" s="100"/>
      <c r="Y1626" s="201"/>
      <c r="Z1626" s="829" t="str">
        <f t="shared" si="3894"/>
        <v/>
      </c>
      <c r="AA1626" s="829"/>
      <c r="AB1626" s="830" t="str">
        <f>IF(G1626=0,"",IF(AD1626="free","re-planting",IF(AD1626="me","not NVP, by",IF($AD$8="yes",(VLOOKUP(A1626,'Discount Lookup'!J:K,2)*G1626*(1-$AC$1786)*(1+$AC$1788)),IF(AD1626="NVP",(VLOOKUP(A1626,'Discount Lookup'!J:K,2)*G1626*(1-$AC$1786)*(1+$AC$1788)),IF(AD1626="free","re-planting",IF(G1626=0,"",IF($AD$8="",IF(AD1626="me","not NVP, by",IF(AD1626="",IF(G1626&gt;0,(VLOOKUP(A1626,'Discount Lookup'!J:K,2)*G1626*(1-$AC$1786)*(1+$AC$1788)),""),"")),"not NVP, by"))))))))</f>
        <v/>
      </c>
      <c r="AC1626" s="830"/>
      <c r="AD1626" s="375" t="str">
        <f t="shared" si="3843"/>
        <v/>
      </c>
      <c r="AE1626" s="833" t="str">
        <f t="shared" si="3957"/>
        <v/>
      </c>
      <c r="AF1626" s="833"/>
      <c r="AG1626" s="833"/>
      <c r="AH1626" s="91">
        <f>IF(AD1626="free",0,IF(AD1626="me",0,IF(G1626&gt;0,(VLOOKUP(A1626,'Discount Lookup'!J:K,2)*G1626),0)))</f>
        <v>0</v>
      </c>
      <c r="AI1626" s="92" t="str">
        <f t="shared" si="3903"/>
        <v/>
      </c>
      <c r="AJ1626" s="828" t="str">
        <f t="shared" si="3896"/>
        <v/>
      </c>
      <c r="AK1626" s="828"/>
      <c r="AL1626" s="313" t="str">
        <f t="shared" si="3938"/>
        <v/>
      </c>
      <c r="AM1626" s="312"/>
      <c r="AN1626" s="101"/>
      <c r="AO1626" s="101"/>
      <c r="AP1626" s="101"/>
      <c r="AQ1626" s="101"/>
      <c r="AR1626" s="101"/>
      <c r="AS1626" s="101"/>
      <c r="AT1626" s="101"/>
    </row>
    <row r="1627" spans="1:46" ht="12.95" customHeight="1">
      <c r="A1627" s="836" t="s">
        <v>1688</v>
      </c>
      <c r="B1627" s="837"/>
      <c r="C1627" s="837"/>
      <c r="D1627" s="837"/>
      <c r="E1627" s="837"/>
      <c r="F1627" s="837"/>
      <c r="G1627" s="837"/>
      <c r="H1627" s="775" t="s">
        <v>521</v>
      </c>
      <c r="I1627" s="349" t="s">
        <v>280</v>
      </c>
      <c r="J1627" s="157"/>
      <c r="K1627" s="611" t="s">
        <v>45</v>
      </c>
      <c r="L1627" s="630" t="s">
        <v>46</v>
      </c>
      <c r="M1627" s="157"/>
      <c r="N1627" s="158" t="s">
        <v>98</v>
      </c>
      <c r="O1627" s="158"/>
      <c r="P1627" s="158"/>
      <c r="Q1627" s="158"/>
      <c r="R1627" s="157"/>
      <c r="S1627" s="170"/>
      <c r="T1627" s="547"/>
      <c r="U1627" s="159" t="s">
        <v>48</v>
      </c>
      <c r="V1627" s="100" t="b">
        <f>IF(G1627&gt;0,IF(AD1627="me","",G1627))</f>
        <v>0</v>
      </c>
      <c r="W1627" s="100"/>
      <c r="X1627" s="100"/>
      <c r="Y1627" s="201"/>
      <c r="Z1627" s="829" t="str">
        <f t="shared" si="3894"/>
        <v/>
      </c>
      <c r="AA1627" s="829"/>
      <c r="AB1627" s="830" t="str">
        <f>IF(G1627=0,"",IF(AD1627="free","re-planting",IF(AD1627="me","not NVP, by",IF($AD$8="yes",(VLOOKUP(A1627,'Discount Lookup'!J:K,2)*G1627*(1-$AC$1786)*(1+$AC$1788)),IF(AD1627="NVP",(VLOOKUP(A1627,'Discount Lookup'!J:K,2)*G1627*(1-$AC$1786)*(1+$AC$1788)),IF(AD1627="free","re-planting",IF(G1627=0,"",IF($AD$8="",IF(AD1627="me","not NVP, by",IF(AD1627="",IF(G1627&gt;0,(VLOOKUP(A1627,'Discount Lookup'!J:K,2)*G1627*(1-$AC$1786)*(1+$AC$1788)),""),"")),"not NVP, by"))))))))</f>
        <v/>
      </c>
      <c r="AC1627" s="830"/>
      <c r="AD1627" s="375" t="str">
        <f t="shared" si="3843"/>
        <v/>
      </c>
      <c r="AE1627" s="833" t="str">
        <f t="shared" si="3957"/>
        <v/>
      </c>
      <c r="AF1627" s="833"/>
      <c r="AG1627" s="833"/>
      <c r="AH1627" s="91">
        <f>IF(AD1627="free",0,IF(AD1627="me",0,IF(G1627&gt;0,(VLOOKUP(A1627,'Discount Lookup'!J:K,2)*G1627),0)))</f>
        <v>0</v>
      </c>
      <c r="AI1627" s="92" t="str">
        <f t="shared" si="3903"/>
        <v/>
      </c>
      <c r="AJ1627" s="828" t="str">
        <f t="shared" si="3896"/>
        <v/>
      </c>
      <c r="AK1627" s="828"/>
      <c r="AL1627" s="313" t="str">
        <f t="shared" si="3938"/>
        <v/>
      </c>
      <c r="AM1627" s="312"/>
      <c r="AN1627" s="101"/>
      <c r="AO1627" s="101"/>
      <c r="AP1627" s="101"/>
      <c r="AQ1627" s="101"/>
      <c r="AR1627" s="101"/>
      <c r="AS1627" s="101"/>
      <c r="AT1627" s="101"/>
    </row>
    <row r="1628" spans="1:46" ht="12.95" customHeight="1">
      <c r="A1628" s="383">
        <v>2</v>
      </c>
      <c r="B1628" s="158" t="s">
        <v>50</v>
      </c>
      <c r="C1628" s="168" t="s">
        <v>136</v>
      </c>
      <c r="D1628" s="161" t="s">
        <v>87</v>
      </c>
      <c r="E1628" s="162">
        <v>47.95</v>
      </c>
      <c r="F1628" s="713" t="s">
        <v>1306</v>
      </c>
      <c r="G1628" s="357">
        <v>0</v>
      </c>
      <c r="H1628" s="748" t="str">
        <f t="shared" ref="H1628" si="3964">IF(G1628=0,"",IF(F1628="Qty=",IF(G1628=1,"plant","plants"),IF(F1628&gt;0.0001,"warranty","Error")))</f>
        <v/>
      </c>
      <c r="I1628" s="592">
        <f t="shared" ref="I1628" si="3965">IF(F1628="Qty=",(E1628*G1628),((E1628*(1-F1628))*G1628))</f>
        <v>0</v>
      </c>
      <c r="J1628" s="592">
        <f>IF(H1628="warranty",0,(I1628*($J$1782)))</f>
        <v>0</v>
      </c>
      <c r="K1628" s="834">
        <f t="shared" ref="K1628" si="3966">I1628+J1628</f>
        <v>0</v>
      </c>
      <c r="L1628" s="834"/>
      <c r="M1628" s="832" t="str">
        <f>IF($H$1784=0,"",IF(G1628=0,"",IF(F1628="Qty=",CONCATENATE("$",ROUND(K1628*(1-$H$1784),2)," with ",($H$1784*100),"% discount"),CONCATENATE("$",ROUND(K1628*(1-$H$1784),2)," with ",(($H$1784*100+F1628*100)-($H$1784*100*F1628)),IF(F1628&gt;0,"% discounts",IF($H$1781&gt;0,"% discounts","% discount"))))))</f>
        <v/>
      </c>
      <c r="N1628" s="832"/>
      <c r="O1628" s="832"/>
      <c r="P1628" s="832"/>
      <c r="Q1628" s="832"/>
      <c r="R1628" s="832"/>
      <c r="S1628" s="303">
        <f t="shared" ref="S1628" si="3967">E1628*G1628</f>
        <v>0</v>
      </c>
      <c r="T1628" s="541">
        <f>VLOOKUP(A1628,'Discount Lookup'!D:E,2,FALSE)*G1628</f>
        <v>0</v>
      </c>
      <c r="U1628" s="83">
        <f>VLOOKUP(A1628,'Discount Lookup'!G:H,2,FALSE)*G1628</f>
        <v>0</v>
      </c>
      <c r="V1628" s="100">
        <f>E1628*($J$1782)*G1628</f>
        <v>0</v>
      </c>
      <c r="W1628" s="100">
        <f t="shared" ref="W1628" si="3968">I1628</f>
        <v>0</v>
      </c>
      <c r="X1628" s="100" t="b">
        <f>IF(G1628&gt;0,IF(AD1628="me","",G1628))</f>
        <v>0</v>
      </c>
      <c r="Y1628" s="201"/>
      <c r="Z1628" s="829" t="str">
        <f t="shared" si="3894"/>
        <v/>
      </c>
      <c r="AA1628" s="829"/>
      <c r="AB1628" s="830" t="str">
        <f>IF(G1628=0,"",IF(AD1628="free","re-planting",IF(AD1628="me","not NVP, by",IF($AD$8="yes",(VLOOKUP(A1628,'Discount Lookup'!J:K,2)*G1628*(1-$AC$1786)*(1+$AC$1788)),IF(AD1628="NVP",(VLOOKUP(A1628,'Discount Lookup'!J:K,2)*G1628*(1-$AC$1786)*(1+$AC$1788)),IF(AD1628="free","re-planting",IF(G1628=0,"",IF($AD$8="",IF(AD1628="me","not NVP, by",IF(AD1628="",IF(G1628&gt;0,(VLOOKUP(A1628,'Discount Lookup'!J:K,2)*G1628*(1-$AC$1786)*(1+$AC$1788)),""),"")),"not NVP, by"))))))))</f>
        <v/>
      </c>
      <c r="AC1628" s="830"/>
      <c r="AD1628" s="375" t="str">
        <f t="shared" si="3843"/>
        <v/>
      </c>
      <c r="AE1628" s="833" t="str">
        <f t="shared" si="3957"/>
        <v/>
      </c>
      <c r="AF1628" s="833"/>
      <c r="AG1628" s="833"/>
      <c r="AH1628" s="91">
        <f>IF(AD1628="free",0,IF(AD1628="me",0,IF(G1628&gt;0,(VLOOKUP(A1628,'Discount Lookup'!J:K,2)*G1628),0)))</f>
        <v>0</v>
      </c>
      <c r="AI1628" s="92" t="str">
        <f t="shared" si="3903"/>
        <v/>
      </c>
      <c r="AJ1628" s="828" t="str">
        <f t="shared" si="3896"/>
        <v/>
      </c>
      <c r="AK1628" s="828"/>
      <c r="AL1628" s="313" t="str">
        <f t="shared" si="3938"/>
        <v/>
      </c>
      <c r="AM1628" s="312"/>
      <c r="AN1628" s="101"/>
      <c r="AO1628" s="101"/>
      <c r="AP1628" s="101"/>
      <c r="AQ1628" s="101"/>
      <c r="AR1628" s="101"/>
      <c r="AS1628" s="101"/>
      <c r="AT1628" s="101"/>
    </row>
    <row r="1629" spans="1:46" ht="12.95" customHeight="1">
      <c r="A1629" s="474"/>
      <c r="B1629" s="103" t="s">
        <v>1689</v>
      </c>
      <c r="C1629" s="130"/>
      <c r="D1629" s="104"/>
      <c r="E1629" s="131"/>
      <c r="F1629" s="710"/>
      <c r="G1629" s="356"/>
      <c r="H1629" s="744"/>
      <c r="I1629" s="131"/>
      <c r="J1629" s="131"/>
      <c r="K1629" s="608"/>
      <c r="L1629" s="608"/>
      <c r="M1629" s="121"/>
      <c r="N1629" s="122" t="s">
        <v>959</v>
      </c>
      <c r="O1629" s="48"/>
      <c r="P1629" s="111"/>
      <c r="Q1629" s="111"/>
      <c r="R1629" s="48"/>
      <c r="S1629" s="82"/>
      <c r="T1629" s="540"/>
      <c r="U1629" s="83"/>
      <c r="V1629" s="100"/>
      <c r="W1629" s="100"/>
      <c r="X1629" s="100"/>
      <c r="Y1629" s="201"/>
      <c r="Z1629" s="829" t="str">
        <f t="shared" si="3894"/>
        <v/>
      </c>
      <c r="AA1629" s="829"/>
      <c r="AB1629" s="830" t="str">
        <f>IF(G1629=0,"",IF(AD1629="free","re-planting",IF(AD1629="me","not NVP, by",IF($AD$8="yes",(VLOOKUP(A1629,'Discount Lookup'!J:K,2)*G1629*(1-$AC$1786)*(1+$AC$1788)),IF(AD1629="NVP",(VLOOKUP(A1629,'Discount Lookup'!J:K,2)*G1629*(1-$AC$1786)*(1+$AC$1788)),IF(AD1629="free","re-planting",IF(G1629=0,"",IF($AD$8="",IF(AD1629="me","not NVP, by",IF(AD1629="",IF(G1629&gt;0,(VLOOKUP(A1629,'Discount Lookup'!J:K,2)*G1629*(1-$AC$1786)*(1+$AC$1788)),""),"")),"not NVP, by"))))))))</f>
        <v/>
      </c>
      <c r="AC1629" s="830"/>
      <c r="AD1629" s="375" t="str">
        <f t="shared" si="3843"/>
        <v/>
      </c>
      <c r="AE1629" s="833" t="str">
        <f t="shared" si="3957"/>
        <v/>
      </c>
      <c r="AF1629" s="833"/>
      <c r="AG1629" s="833"/>
      <c r="AH1629" s="91">
        <f>IF(AD1629="free",0,IF(AD1629="me",0,IF(G1629&gt;0,(VLOOKUP(A1629,'Discount Lookup'!J:K,2)*G1629),0)))</f>
        <v>0</v>
      </c>
      <c r="AI1629" s="92" t="str">
        <f t="shared" si="3903"/>
        <v/>
      </c>
      <c r="AJ1629" s="828" t="str">
        <f t="shared" si="3896"/>
        <v/>
      </c>
      <c r="AK1629" s="828"/>
      <c r="AL1629" s="313" t="str">
        <f t="shared" si="3938"/>
        <v/>
      </c>
      <c r="AM1629" s="312"/>
      <c r="AN1629" s="101"/>
      <c r="AO1629" s="101"/>
      <c r="AP1629" s="101"/>
      <c r="AQ1629" s="101"/>
      <c r="AR1629" s="101"/>
      <c r="AS1629" s="101"/>
      <c r="AT1629" s="101"/>
    </row>
    <row r="1630" spans="1:46" ht="12.95" customHeight="1">
      <c r="A1630" s="836" t="s">
        <v>1686</v>
      </c>
      <c r="B1630" s="837"/>
      <c r="C1630" s="837"/>
      <c r="D1630" s="837"/>
      <c r="E1630" s="837"/>
      <c r="F1630" s="837"/>
      <c r="G1630" s="837"/>
      <c r="H1630" s="775" t="s">
        <v>521</v>
      </c>
      <c r="I1630" s="349" t="s">
        <v>280</v>
      </c>
      <c r="J1630" s="157"/>
      <c r="K1630" s="611" t="s">
        <v>45</v>
      </c>
      <c r="L1630" s="630" t="s">
        <v>46</v>
      </c>
      <c r="M1630" s="157"/>
      <c r="N1630" s="158" t="s">
        <v>98</v>
      </c>
      <c r="O1630" s="158"/>
      <c r="P1630" s="158"/>
      <c r="Q1630" s="158"/>
      <c r="R1630" s="157"/>
      <c r="S1630" s="170"/>
      <c r="T1630" s="547"/>
      <c r="U1630" s="159" t="s">
        <v>48</v>
      </c>
      <c r="V1630" s="100" t="b">
        <f>IF(G1630&gt;0,IF(AD1630="me","",G1630))</f>
        <v>0</v>
      </c>
      <c r="W1630" s="100"/>
      <c r="X1630" s="100"/>
      <c r="Y1630" s="201"/>
      <c r="Z1630" s="829" t="str">
        <f t="shared" ref="Z1630:Z1632" si="3969">IF(G1630=0,"",IF(AD1630="me","",IF($AD$8="me","",IF(AD1630="free","warranty",IF($AD$8="yes","NVP planting:","to NVP install:")))))</f>
        <v/>
      </c>
      <c r="AA1630" s="829"/>
      <c r="AB1630" s="830" t="str">
        <f>IF(G1630=0,"",IF(AD1630="free","re-planting",IF(AD1630="me","not NVP, by",IF($AD$8="yes",(VLOOKUP(A1630,'Discount Lookup'!J:K,2)*G1630*(1-$AC$1786)*(1+$AC$1788)),IF(AD1630="NVP",(VLOOKUP(A1630,'Discount Lookup'!J:K,2)*G1630*(1-$AC$1786)*(1+$AC$1788)),IF(AD1630="free","re-planting",IF(G1630=0,"",IF($AD$8="",IF(AD1630="me","not NVP, by",IF(AD1630="",IF(G1630&gt;0,(VLOOKUP(A1630,'Discount Lookup'!J:K,2)*G1630*(1-$AC$1786)*(1+$AC$1788)),""),"")),"not NVP, by"))))))))</f>
        <v/>
      </c>
      <c r="AC1630" s="830"/>
      <c r="AD1630" s="375" t="str">
        <f t="shared" ref="AD1630:AD1632" si="3970">IF(G1630=0,"",IF($AD$8="me","me",IF(H1630="warranty","free",IF($AD$8="yes","NVP",""))))</f>
        <v/>
      </c>
      <c r="AE1630" s="833" t="str">
        <f t="shared" ref="AE1630:AE1632" si="3971">IF(G1630&gt;0,(CONCATENATE((G1630)," quantity, ",(A1630)," ",B1630)),"")</f>
        <v/>
      </c>
      <c r="AF1630" s="833"/>
      <c r="AG1630" s="833"/>
      <c r="AH1630" s="91">
        <f>IF(AD1630="free",0,IF(AD1630="me",0,IF(G1630&gt;0,(VLOOKUP(A1630,'Discount Lookup'!J:K,2)*G1630),0)))</f>
        <v>0</v>
      </c>
      <c r="AI1630" s="92" t="str">
        <f t="shared" si="3903"/>
        <v/>
      </c>
      <c r="AJ1630" s="828" t="str">
        <f t="shared" ref="AJ1630:AJ1632" si="3972">IF(G1630=0,"",IF(AD1630="me","  delivery-only",IF($AD$8="me","  delivery-only",CONCATENATE(" $",ROUND(AI1630/G1630,2)," each"))))</f>
        <v/>
      </c>
      <c r="AK1630" s="828"/>
      <c r="AL1630" s="313" t="str">
        <f t="shared" si="3938"/>
        <v/>
      </c>
      <c r="AM1630" s="312"/>
      <c r="AN1630" s="101"/>
      <c r="AO1630" s="101"/>
      <c r="AP1630" s="101"/>
      <c r="AQ1630" s="101"/>
      <c r="AR1630" s="101"/>
      <c r="AS1630" s="101"/>
      <c r="AT1630" s="101"/>
    </row>
    <row r="1631" spans="1:46" ht="12.95" customHeight="1">
      <c r="A1631" s="383">
        <v>2</v>
      </c>
      <c r="B1631" s="158" t="s">
        <v>50</v>
      </c>
      <c r="C1631" s="168" t="s">
        <v>136</v>
      </c>
      <c r="D1631" s="161" t="s">
        <v>87</v>
      </c>
      <c r="E1631" s="162">
        <v>47.95</v>
      </c>
      <c r="F1631" s="713" t="s">
        <v>1306</v>
      </c>
      <c r="G1631" s="357">
        <v>0</v>
      </c>
      <c r="H1631" s="748" t="str">
        <f t="shared" ref="H1631" si="3973">IF(G1631=0,"",IF(F1631="Qty=",IF(G1631=1,"plant","plants"),IF(F1631&gt;0.0001,"warranty","Error")))</f>
        <v/>
      </c>
      <c r="I1631" s="592">
        <f t="shared" ref="I1631" si="3974">IF(F1631="Qty=",(E1631*G1631),((E1631*(1-F1631))*G1631))</f>
        <v>0</v>
      </c>
      <c r="J1631" s="592">
        <f>IF(H1631="warranty",0,(I1631*($J$1782)))</f>
        <v>0</v>
      </c>
      <c r="K1631" s="834">
        <f t="shared" ref="K1631" si="3975">I1631+J1631</f>
        <v>0</v>
      </c>
      <c r="L1631" s="834"/>
      <c r="M1631" s="832" t="str">
        <f>IF($H$1784=0,"",IF(G1631=0,"",IF(F1631="Qty=",CONCATENATE("$",ROUND(K1631*(1-$H$1784),2)," with ",($H$1784*100),"% discount"),CONCATENATE("$",ROUND(K1631*(1-$H$1784),2)," with ",(($H$1784*100+F1631*100)-($H$1784*100*F1631)),IF(F1631&gt;0,"% discounts",IF($H$1781&gt;0,"% discounts","% discount"))))))</f>
        <v/>
      </c>
      <c r="N1631" s="832"/>
      <c r="O1631" s="832"/>
      <c r="P1631" s="832"/>
      <c r="Q1631" s="832"/>
      <c r="R1631" s="832"/>
      <c r="S1631" s="303">
        <f t="shared" ref="S1631" si="3976">E1631*G1631</f>
        <v>0</v>
      </c>
      <c r="T1631" s="541">
        <f>VLOOKUP(A1631,'Discount Lookup'!D:E,2,FALSE)*G1631</f>
        <v>0</v>
      </c>
      <c r="U1631" s="83">
        <f>VLOOKUP(A1631,'Discount Lookup'!G:H,2,FALSE)*G1631</f>
        <v>0</v>
      </c>
      <c r="V1631" s="100">
        <f>E1631*($J$1782)*G1631</f>
        <v>0</v>
      </c>
      <c r="W1631" s="100">
        <f t="shared" ref="W1631" si="3977">I1631</f>
        <v>0</v>
      </c>
      <c r="X1631" s="100" t="b">
        <f>IF(G1631&gt;0,IF(AD1631="me","",G1631))</f>
        <v>0</v>
      </c>
      <c r="Y1631" s="201"/>
      <c r="Z1631" s="829" t="str">
        <f t="shared" si="3969"/>
        <v/>
      </c>
      <c r="AA1631" s="829"/>
      <c r="AB1631" s="830" t="str">
        <f>IF(G1631=0,"",IF(AD1631="free","re-planting",IF(AD1631="me","not NVP, by",IF($AD$8="yes",(VLOOKUP(A1631,'Discount Lookup'!J:K,2)*G1631*(1-$AC$1786)*(1+$AC$1788)),IF(AD1631="NVP",(VLOOKUP(A1631,'Discount Lookup'!J:K,2)*G1631*(1-$AC$1786)*(1+$AC$1788)),IF(AD1631="free","re-planting",IF(G1631=0,"",IF($AD$8="",IF(AD1631="me","not NVP, by",IF(AD1631="",IF(G1631&gt;0,(VLOOKUP(A1631,'Discount Lookup'!J:K,2)*G1631*(1-$AC$1786)*(1+$AC$1788)),""),"")),"not NVP, by"))))))))</f>
        <v/>
      </c>
      <c r="AC1631" s="830"/>
      <c r="AD1631" s="375" t="str">
        <f t="shared" si="3970"/>
        <v/>
      </c>
      <c r="AE1631" s="833" t="str">
        <f t="shared" si="3971"/>
        <v/>
      </c>
      <c r="AF1631" s="833"/>
      <c r="AG1631" s="833"/>
      <c r="AH1631" s="91">
        <f>IF(AD1631="free",0,IF(AD1631="me",0,IF(G1631&gt;0,(VLOOKUP(A1631,'Discount Lookup'!J:K,2)*G1631),0)))</f>
        <v>0</v>
      </c>
      <c r="AI1631" s="92" t="str">
        <f t="shared" si="3903"/>
        <v/>
      </c>
      <c r="AJ1631" s="828" t="str">
        <f t="shared" si="3972"/>
        <v/>
      </c>
      <c r="AK1631" s="828"/>
      <c r="AL1631" s="313" t="str">
        <f t="shared" si="3938"/>
        <v/>
      </c>
      <c r="AM1631" s="312"/>
      <c r="AN1631" s="101"/>
      <c r="AO1631" s="101"/>
      <c r="AP1631" s="101"/>
      <c r="AQ1631" s="101"/>
      <c r="AR1631" s="101"/>
      <c r="AS1631" s="101"/>
      <c r="AT1631" s="101"/>
    </row>
    <row r="1632" spans="1:46" ht="12.95" customHeight="1">
      <c r="A1632" s="474"/>
      <c r="B1632" s="103" t="s">
        <v>1687</v>
      </c>
      <c r="C1632" s="130"/>
      <c r="D1632" s="104"/>
      <c r="E1632" s="131"/>
      <c r="F1632" s="710"/>
      <c r="G1632" s="356"/>
      <c r="H1632" s="744"/>
      <c r="I1632" s="131"/>
      <c r="J1632" s="131"/>
      <c r="K1632" s="608"/>
      <c r="L1632" s="608"/>
      <c r="M1632" s="121"/>
      <c r="N1632" s="122" t="s">
        <v>959</v>
      </c>
      <c r="O1632" s="48"/>
      <c r="P1632" s="111"/>
      <c r="Q1632" s="111"/>
      <c r="R1632" s="48"/>
      <c r="S1632" s="82"/>
      <c r="T1632" s="540"/>
      <c r="U1632" s="83"/>
      <c r="V1632" s="100"/>
      <c r="W1632" s="100"/>
      <c r="X1632" s="100"/>
      <c r="Y1632" s="201"/>
      <c r="Z1632" s="829" t="str">
        <f t="shared" si="3969"/>
        <v/>
      </c>
      <c r="AA1632" s="829"/>
      <c r="AB1632" s="830" t="str">
        <f>IF(G1632=0,"",IF(AD1632="free","re-planting",IF(AD1632="me","not NVP, by",IF($AD$8="yes",(VLOOKUP(A1632,'Discount Lookup'!J:K,2)*G1632*(1-$AC$1786)*(1+$AC$1788)),IF(AD1632="NVP",(VLOOKUP(A1632,'Discount Lookup'!J:K,2)*G1632*(1-$AC$1786)*(1+$AC$1788)),IF(AD1632="free","re-planting",IF(G1632=0,"",IF($AD$8="",IF(AD1632="me","not NVP, by",IF(AD1632="",IF(G1632&gt;0,(VLOOKUP(A1632,'Discount Lookup'!J:K,2)*G1632*(1-$AC$1786)*(1+$AC$1788)),""),"")),"not NVP, by"))))))))</f>
        <v/>
      </c>
      <c r="AC1632" s="830"/>
      <c r="AD1632" s="375" t="str">
        <f t="shared" si="3970"/>
        <v/>
      </c>
      <c r="AE1632" s="833" t="str">
        <f t="shared" si="3971"/>
        <v/>
      </c>
      <c r="AF1632" s="833"/>
      <c r="AG1632" s="833"/>
      <c r="AH1632" s="91">
        <f>IF(AD1632="free",0,IF(AD1632="me",0,IF(G1632&gt;0,(VLOOKUP(A1632,'Discount Lookup'!J:K,2)*G1632),0)))</f>
        <v>0</v>
      </c>
      <c r="AI1632" s="92" t="str">
        <f t="shared" si="3903"/>
        <v/>
      </c>
      <c r="AJ1632" s="828" t="str">
        <f t="shared" si="3972"/>
        <v/>
      </c>
      <c r="AK1632" s="828"/>
      <c r="AL1632" s="313" t="str">
        <f t="shared" si="3938"/>
        <v/>
      </c>
      <c r="AM1632" s="312"/>
      <c r="AN1632" s="101"/>
      <c r="AO1632" s="101"/>
      <c r="AP1632" s="101"/>
      <c r="AQ1632" s="101"/>
      <c r="AR1632" s="101"/>
      <c r="AS1632" s="101"/>
      <c r="AT1632" s="101"/>
    </row>
    <row r="1633" spans="1:46" ht="12.95" customHeight="1">
      <c r="A1633" s="836" t="s">
        <v>852</v>
      </c>
      <c r="B1633" s="837"/>
      <c r="C1633" s="837"/>
      <c r="D1633" s="837"/>
      <c r="E1633" s="837"/>
      <c r="F1633" s="837"/>
      <c r="G1633" s="837"/>
      <c r="H1633" s="775" t="s">
        <v>539</v>
      </c>
      <c r="I1633" s="349" t="s">
        <v>280</v>
      </c>
      <c r="J1633" s="157"/>
      <c r="K1633" s="611" t="s">
        <v>45</v>
      </c>
      <c r="L1633" s="630" t="s">
        <v>46</v>
      </c>
      <c r="M1633" s="157"/>
      <c r="N1633" s="158" t="s">
        <v>98</v>
      </c>
      <c r="O1633" s="158"/>
      <c r="P1633" s="158"/>
      <c r="Q1633" s="158"/>
      <c r="R1633" s="157"/>
      <c r="S1633" s="170"/>
      <c r="T1633" s="547"/>
      <c r="U1633" s="171"/>
      <c r="V1633" s="100" t="b">
        <f>IF(G1633&gt;0,IF(AD1633="me","",G1633))</f>
        <v>0</v>
      </c>
      <c r="W1633" s="100"/>
      <c r="X1633" s="100"/>
      <c r="Y1633" s="201"/>
      <c r="Z1633" s="829" t="str">
        <f t="shared" si="3894"/>
        <v/>
      </c>
      <c r="AA1633" s="829"/>
      <c r="AB1633" s="830" t="str">
        <f>IF(G1633=0,"",IF(AD1633="free","re-planting",IF(AD1633="me","not NVP, by",IF($AD$8="yes",(VLOOKUP(A1633,'Discount Lookup'!J:K,2)*G1633*(1-$AC$1786)*(1+$AC$1788)),IF(AD1633="NVP",(VLOOKUP(A1633,'Discount Lookup'!J:K,2)*G1633*(1-$AC$1786)*(1+$AC$1788)),IF(AD1633="free","re-planting",IF(G1633=0,"",IF($AD$8="",IF(AD1633="me","not NVP, by",IF(AD1633="",IF(G1633&gt;0,(VLOOKUP(A1633,'Discount Lookup'!J:K,2)*G1633*(1-$AC$1786)*(1+$AC$1788)),""),"")),"not NVP, by"))))))))</f>
        <v/>
      </c>
      <c r="AC1633" s="830"/>
      <c r="AD1633" s="375" t="str">
        <f t="shared" si="3843"/>
        <v/>
      </c>
      <c r="AE1633" s="833" t="str">
        <f t="shared" si="3957"/>
        <v/>
      </c>
      <c r="AF1633" s="833"/>
      <c r="AG1633" s="833"/>
      <c r="AH1633" s="91">
        <f>IF(AD1633="free",0,IF(AD1633="me",0,IF(G1633&gt;0,(VLOOKUP(A1633,'Discount Lookup'!J:K,2)*G1633),0)))</f>
        <v>0</v>
      </c>
      <c r="AI1633" s="92" t="str">
        <f t="shared" si="3903"/>
        <v/>
      </c>
      <c r="AJ1633" s="828" t="str">
        <f t="shared" si="3896"/>
        <v/>
      </c>
      <c r="AK1633" s="828"/>
      <c r="AL1633" s="313" t="str">
        <f t="shared" si="3938"/>
        <v/>
      </c>
      <c r="AM1633" s="312"/>
      <c r="AN1633" s="101"/>
      <c r="AO1633" s="101"/>
      <c r="AP1633" s="101"/>
      <c r="AQ1633" s="101"/>
      <c r="AR1633" s="101"/>
      <c r="AS1633" s="101"/>
      <c r="AT1633" s="101"/>
    </row>
    <row r="1634" spans="1:46" ht="12.95" customHeight="1">
      <c r="A1634" s="383">
        <v>1</v>
      </c>
      <c r="B1634" s="158" t="s">
        <v>50</v>
      </c>
      <c r="C1634" s="168" t="s">
        <v>136</v>
      </c>
      <c r="D1634" s="161" t="s">
        <v>87</v>
      </c>
      <c r="E1634" s="162">
        <v>13.95</v>
      </c>
      <c r="F1634" s="713" t="s">
        <v>1306</v>
      </c>
      <c r="G1634" s="357">
        <v>0</v>
      </c>
      <c r="H1634" s="748" t="str">
        <f>IF(G1634=0,"",IF(F1634="Qty=",IF(G1634=1,"plant","plants"),IF(F1634&gt;0.0001,"warranty","Error")))</f>
        <v/>
      </c>
      <c r="I1634" s="592">
        <f>IF(F1634="Qty=",(E1634*G1634),((E1634*(1-F1634))*G1634))</f>
        <v>0</v>
      </c>
      <c r="J1634" s="592">
        <f>IF(H1634="warranty",0,(I1634*($J$1782)))</f>
        <v>0</v>
      </c>
      <c r="K1634" s="834">
        <f t="shared" ref="K1634:K1636" si="3978">I1634+J1634</f>
        <v>0</v>
      </c>
      <c r="L1634" s="834"/>
      <c r="M1634" s="832" t="str">
        <f>IF($H$1784=0,"",IF(G1634=0,"",IF(F1634="Qty=",CONCATENATE("$",ROUND(K1634*(1-$H$1784),2)," with ",($H$1784*100),"% discount"),CONCATENATE("$",ROUND(K1634*(1-$H$1784),2)," with ",(($H$1784*100+F1634*100)-($H$1784*100*F1634)),IF(F1634&gt;0,"% discounts",IF($H$1781&gt;0,"% discounts","% discount"))))))</f>
        <v/>
      </c>
      <c r="N1634" s="832"/>
      <c r="O1634" s="832"/>
      <c r="P1634" s="832"/>
      <c r="Q1634" s="832"/>
      <c r="R1634" s="832"/>
      <c r="S1634" s="303">
        <f t="shared" ref="S1634" si="3979">E1634*G1634</f>
        <v>0</v>
      </c>
      <c r="T1634" s="541">
        <f>VLOOKUP(A1634,'Discount Lookup'!D:E,2,FALSE)*G1634</f>
        <v>0</v>
      </c>
      <c r="U1634" s="83">
        <f>VLOOKUP(A1634,'Discount Lookup'!G:H,2,FALSE)*G1634</f>
        <v>0</v>
      </c>
      <c r="V1634" s="100">
        <f>E1634*($J$1782)*G1634</f>
        <v>0</v>
      </c>
      <c r="W1634" s="100">
        <f t="shared" ref="W1634" si="3980">I1634</f>
        <v>0</v>
      </c>
      <c r="X1634" s="100" t="b">
        <f>IF(G1634&gt;0,IF(AD1634="me","",G1634))</f>
        <v>0</v>
      </c>
      <c r="Y1634" s="201"/>
      <c r="Z1634" s="829" t="str">
        <f t="shared" ref="Z1634" si="3981">IF(G1634=0,"",IF(AD1634="me","",IF($AD$8="me","",IF(AD1634="free","warranty",IF($AD$8="yes","NVP planting:","to NVP install:")))))</f>
        <v/>
      </c>
      <c r="AA1634" s="829"/>
      <c r="AB1634" s="830" t="str">
        <f>IF(G1634=0,"",IF(AD1634="free","re-planting",IF(AD1634="me","not NVP, by",IF($AD$8="yes",(VLOOKUP(A1634,'Discount Lookup'!J:K,2)*G1634*(1-$AC$1786)*(1+$AC$1788)),IF(AD1634="NVP",(VLOOKUP(A1634,'Discount Lookup'!J:K,2)*G1634*(1-$AC$1786)*(1+$AC$1788)),IF(AD1634="free","re-planting",IF(G1634=0,"",IF($AD$8="",IF(AD1634="me","not NVP, by",IF(AD1634="",IF(G1634&gt;0,(VLOOKUP(A1634,'Discount Lookup'!J:K,2)*G1634*(1-$AC$1786)*(1+$AC$1788)),""),"")),"not NVP, by"))))))))</f>
        <v/>
      </c>
      <c r="AC1634" s="830"/>
      <c r="AD1634" s="375" t="str">
        <f t="shared" si="3843"/>
        <v/>
      </c>
      <c r="AE1634" s="833" t="str">
        <f t="shared" ref="AE1634" si="3982">IF(G1634&gt;0,(CONCATENATE((G1634)," quantity, ",(A1634)," ",B1634)),"")</f>
        <v/>
      </c>
      <c r="AF1634" s="833"/>
      <c r="AG1634" s="833"/>
      <c r="AH1634" s="91">
        <f>IF(AD1634="free",0,IF(AD1634="me",0,IF(G1634&gt;0,(VLOOKUP(A1634,'Discount Lookup'!J:K,2)*G1634),0)))</f>
        <v>0</v>
      </c>
      <c r="AI1634" s="92" t="str">
        <f t="shared" si="3903"/>
        <v/>
      </c>
      <c r="AJ1634" s="828" t="str">
        <f t="shared" ref="AJ1634" si="3983">IF(G1634=0,"",IF(AD1634="me","  delivery-only",IF($AD$8="me","  delivery-only",CONCATENATE(" $",ROUND(AI1634/G1634,2)," each"))))</f>
        <v/>
      </c>
      <c r="AK1634" s="828"/>
      <c r="AL1634" s="313" t="str">
        <f t="shared" si="3938"/>
        <v/>
      </c>
      <c r="AM1634" s="312"/>
      <c r="AN1634" s="101"/>
      <c r="AO1634" s="101"/>
      <c r="AP1634" s="101"/>
      <c r="AQ1634" s="101"/>
      <c r="AR1634" s="101"/>
      <c r="AS1634" s="101"/>
      <c r="AT1634" s="101"/>
    </row>
    <row r="1635" spans="1:46" ht="12.95" customHeight="1">
      <c r="A1635" s="383">
        <v>3</v>
      </c>
      <c r="B1635" s="158" t="s">
        <v>50</v>
      </c>
      <c r="C1635" s="168" t="s">
        <v>136</v>
      </c>
      <c r="D1635" s="161" t="s">
        <v>86</v>
      </c>
      <c r="E1635" s="162">
        <v>24.95</v>
      </c>
      <c r="F1635" s="713" t="s">
        <v>1306</v>
      </c>
      <c r="G1635" s="357">
        <v>0</v>
      </c>
      <c r="H1635" s="748" t="str">
        <f t="shared" ref="H1635:H1636" si="3984">IF(G1635=0,"",IF(F1635="Qty=",IF(G1635=1,"plant","plants"),IF(F1635&gt;0.0001,"warranty","Error")))</f>
        <v/>
      </c>
      <c r="I1635" s="592">
        <f t="shared" ref="I1635:I1636" si="3985">IF(F1635="Qty=",(E1635*G1635),((E1635*(1-F1635))*G1635))</f>
        <v>0</v>
      </c>
      <c r="J1635" s="592">
        <f>IF(H1635="warranty",0,(I1635*($J$1782)))</f>
        <v>0</v>
      </c>
      <c r="K1635" s="834">
        <f t="shared" si="3978"/>
        <v>0</v>
      </c>
      <c r="L1635" s="834"/>
      <c r="M1635" s="832" t="str">
        <f>IF($H$1784=0,"",IF(G1635=0,"",IF(F1635="Qty=",CONCATENATE("$",ROUND(K1635*(1-$H$1784),2)," with ",($H$1784*100),"% discount"),CONCATENATE("$",ROUND(K1635*(1-$H$1784),2)," with ",(($H$1784*100+F1635*100)-($H$1784*100*F1635)),IF(F1635&gt;0,"% discounts",IF($H$1781&gt;0,"% discounts","% discount"))))))</f>
        <v/>
      </c>
      <c r="N1635" s="832"/>
      <c r="O1635" s="832"/>
      <c r="P1635" s="832"/>
      <c r="Q1635" s="832"/>
      <c r="R1635" s="832"/>
      <c r="S1635" s="303">
        <f t="shared" ref="S1635" si="3986">E1635*G1635</f>
        <v>0</v>
      </c>
      <c r="T1635" s="541">
        <f>VLOOKUP(A1635,'Discount Lookup'!D:E,2,FALSE)*G1635</f>
        <v>0</v>
      </c>
      <c r="U1635" s="83">
        <f>VLOOKUP(A1635,'Discount Lookup'!G:H,2,FALSE)*G1635</f>
        <v>0</v>
      </c>
      <c r="V1635" s="100">
        <f>E1635*($J$1782)*G1635</f>
        <v>0</v>
      </c>
      <c r="W1635" s="100">
        <f t="shared" ref="W1635" si="3987">I1635</f>
        <v>0</v>
      </c>
      <c r="X1635" s="100" t="b">
        <f>IF(G1635&gt;0,IF(AD1635="me","",G1635))</f>
        <v>0</v>
      </c>
      <c r="Y1635" s="201"/>
      <c r="Z1635" s="829" t="str">
        <f t="shared" si="3894"/>
        <v/>
      </c>
      <c r="AA1635" s="829"/>
      <c r="AB1635" s="830" t="str">
        <f>IF(G1635=0,"",IF(AD1635="free","re-planting",IF(AD1635="me","not NVP, by",IF($AD$8="yes",(VLOOKUP(A1635,'Discount Lookup'!J:K,2)*G1635*(1-$AC$1786)*(1+$AC$1788)),IF(AD1635="NVP",(VLOOKUP(A1635,'Discount Lookup'!J:K,2)*G1635*(1-$AC$1786)*(1+$AC$1788)),IF(AD1635="free","re-planting",IF(G1635=0,"",IF($AD$8="",IF(AD1635="me","not NVP, by",IF(AD1635="",IF(G1635&gt;0,(VLOOKUP(A1635,'Discount Lookup'!J:K,2)*G1635*(1-$AC$1786)*(1+$AC$1788)),""),"")),"not NVP, by"))))))))</f>
        <v/>
      </c>
      <c r="AC1635" s="830"/>
      <c r="AD1635" s="375" t="str">
        <f t="shared" si="3843"/>
        <v/>
      </c>
      <c r="AE1635" s="833" t="str">
        <f t="shared" ref="AE1635" si="3988">IF(G1635&gt;0,(CONCATENATE((G1635)," quantity, ",(A1635)," ",B1635)),"")</f>
        <v/>
      </c>
      <c r="AF1635" s="833"/>
      <c r="AG1635" s="833"/>
      <c r="AH1635" s="91">
        <f>IF(AD1635="free",0,IF(AD1635="me",0,IF(G1635&gt;0,(VLOOKUP(A1635,'Discount Lookup'!J:K,2)*G1635),0)))</f>
        <v>0</v>
      </c>
      <c r="AI1635" s="92" t="str">
        <f t="shared" si="3903"/>
        <v/>
      </c>
      <c r="AJ1635" s="828" t="str">
        <f t="shared" si="3896"/>
        <v/>
      </c>
      <c r="AK1635" s="828"/>
      <c r="AL1635" s="313" t="str">
        <f t="shared" si="3938"/>
        <v/>
      </c>
      <c r="AM1635" s="312"/>
      <c r="AN1635" s="101"/>
      <c r="AO1635" s="101"/>
      <c r="AP1635" s="101"/>
      <c r="AQ1635" s="101"/>
      <c r="AR1635" s="101"/>
      <c r="AS1635" s="101"/>
      <c r="AT1635" s="101"/>
    </row>
    <row r="1636" spans="1:46" ht="12.95" customHeight="1">
      <c r="A1636" s="383">
        <v>3</v>
      </c>
      <c r="B1636" s="158" t="s">
        <v>50</v>
      </c>
      <c r="C1636" s="168" t="s">
        <v>136</v>
      </c>
      <c r="D1636" s="161" t="s">
        <v>90</v>
      </c>
      <c r="E1636" s="162">
        <v>26.95</v>
      </c>
      <c r="F1636" s="713" t="s">
        <v>1306</v>
      </c>
      <c r="G1636" s="357">
        <v>0</v>
      </c>
      <c r="H1636" s="748" t="str">
        <f t="shared" si="3984"/>
        <v/>
      </c>
      <c r="I1636" s="592">
        <f t="shared" si="3985"/>
        <v>0</v>
      </c>
      <c r="J1636" s="592">
        <f>IF(H1636="warranty",0,(I1636*($J$1782)))</f>
        <v>0</v>
      </c>
      <c r="K1636" s="834">
        <f t="shared" si="3978"/>
        <v>0</v>
      </c>
      <c r="L1636" s="834"/>
      <c r="M1636" s="832" t="str">
        <f>IF($H$1784=0,"",IF(G1636=0,"",IF(F1636="Qty=",CONCATENATE("$",ROUND(K1636*(1-$H$1784),2)," with ",($H$1784*100),"% discount"),CONCATENATE("$",ROUND(K1636*(1-$H$1784),2)," with ",(($H$1784*100+F1636*100)-($H$1784*100*F1636)),IF(F1636&gt;0,"% discounts",IF($H$1781&gt;0,"% discounts","% discount"))))))</f>
        <v/>
      </c>
      <c r="N1636" s="832"/>
      <c r="O1636" s="832"/>
      <c r="P1636" s="832"/>
      <c r="Q1636" s="832"/>
      <c r="R1636" s="832"/>
      <c r="S1636" s="303">
        <f t="shared" ref="S1636" si="3989">E1636*G1636</f>
        <v>0</v>
      </c>
      <c r="T1636" s="541">
        <f>VLOOKUP(A1636,'Discount Lookup'!D:E,2,FALSE)*G1636</f>
        <v>0</v>
      </c>
      <c r="U1636" s="83">
        <f>VLOOKUP(A1636,'Discount Lookup'!G:H,2,FALSE)*G1636</f>
        <v>0</v>
      </c>
      <c r="V1636" s="100">
        <f>E1636*($J$1782)*G1636</f>
        <v>0</v>
      </c>
      <c r="W1636" s="100">
        <f t="shared" ref="W1636" si="3990">I1636</f>
        <v>0</v>
      </c>
      <c r="X1636" s="100" t="b">
        <f>IF(G1636&gt;0,IF(AD1636="me","",G1636))</f>
        <v>0</v>
      </c>
      <c r="Y1636" s="201"/>
      <c r="Z1636" s="829" t="str">
        <f t="shared" si="3894"/>
        <v/>
      </c>
      <c r="AA1636" s="829"/>
      <c r="AB1636" s="830" t="str">
        <f>IF(G1636=0,"",IF(AD1636="free","re-planting",IF(AD1636="me","not NVP, by",IF($AD$8="yes",(VLOOKUP(A1636,'Discount Lookup'!J:K,2)*G1636*(1-$AC$1786)*(1+$AC$1788)),IF(AD1636="NVP",(VLOOKUP(A1636,'Discount Lookup'!J:K,2)*G1636*(1-$AC$1786)*(1+$AC$1788)),IF(AD1636="free","re-planting",IF(G1636=0,"",IF($AD$8="",IF(AD1636="me","not NVP, by",IF(AD1636="",IF(G1636&gt;0,(VLOOKUP(A1636,'Discount Lookup'!J:K,2)*G1636*(1-$AC$1786)*(1+$AC$1788)),""),"")),"not NVP, by"))))))))</f>
        <v/>
      </c>
      <c r="AC1636" s="830"/>
      <c r="AD1636" s="375" t="str">
        <f t="shared" si="3843"/>
        <v/>
      </c>
      <c r="AE1636" s="833" t="str">
        <f t="shared" si="3957"/>
        <v/>
      </c>
      <c r="AF1636" s="833"/>
      <c r="AG1636" s="833"/>
      <c r="AH1636" s="91">
        <f>IF(AD1636="free",0,IF(AD1636="me",0,IF(G1636&gt;0,(VLOOKUP(A1636,'Discount Lookup'!J:K,2)*G1636),0)))</f>
        <v>0</v>
      </c>
      <c r="AI1636" s="92" t="str">
        <f t="shared" si="3903"/>
        <v/>
      </c>
      <c r="AJ1636" s="828" t="str">
        <f t="shared" si="3896"/>
        <v/>
      </c>
      <c r="AK1636" s="828"/>
      <c r="AL1636" s="313" t="str">
        <f t="shared" si="3938"/>
        <v/>
      </c>
      <c r="AM1636" s="312"/>
      <c r="AN1636" s="101"/>
      <c r="AO1636" s="101"/>
      <c r="AP1636" s="101"/>
      <c r="AQ1636" s="101"/>
      <c r="AR1636" s="101"/>
      <c r="AS1636" s="101"/>
      <c r="AT1636" s="101"/>
    </row>
    <row r="1637" spans="1:46" ht="13.5" customHeight="1">
      <c r="A1637" s="474"/>
      <c r="B1637" s="103" t="s">
        <v>853</v>
      </c>
      <c r="C1637" s="130"/>
      <c r="D1637" s="104"/>
      <c r="E1637" s="131"/>
      <c r="F1637" s="710"/>
      <c r="G1637" s="356"/>
      <c r="H1637" s="744"/>
      <c r="I1637" s="131"/>
      <c r="J1637" s="131"/>
      <c r="K1637" s="608"/>
      <c r="L1637" s="608"/>
      <c r="M1637" s="121"/>
      <c r="N1637" s="122" t="s">
        <v>277</v>
      </c>
      <c r="O1637" s="123"/>
      <c r="P1637" s="124"/>
      <c r="Q1637" s="124"/>
      <c r="R1637" s="83"/>
      <c r="S1637" s="82">
        <f>E1637*G1637</f>
        <v>0</v>
      </c>
      <c r="T1637" s="540"/>
      <c r="U1637" s="83"/>
      <c r="V1637" s="100" t="b">
        <f>IF(G1637&gt;0,IF(AD1637="me","",G1637))</f>
        <v>0</v>
      </c>
      <c r="W1637" s="100"/>
      <c r="X1637" s="100"/>
      <c r="Y1637" s="201"/>
      <c r="Z1637" s="829" t="str">
        <f t="shared" si="3894"/>
        <v/>
      </c>
      <c r="AA1637" s="829"/>
      <c r="AB1637" s="830" t="str">
        <f>IF(G1637=0,"",IF(AD1637="free","re-planting",IF(AD1637="me","not NVP, by",IF($AD$8="yes",(VLOOKUP(A1637,'Discount Lookup'!J:K,2)*G1637*(1-$AC$1786)*(1+$AC$1788)),IF(AD1637="NVP",(VLOOKUP(A1637,'Discount Lookup'!J:K,2)*G1637*(1-$AC$1786)*(1+$AC$1788)),IF(AD1637="free","re-planting",IF(G1637=0,"",IF($AD$8="",IF(AD1637="me","not NVP, by",IF(AD1637="",IF(G1637&gt;0,(VLOOKUP(A1637,'Discount Lookup'!J:K,2)*G1637*(1-$AC$1786)*(1+$AC$1788)),""),"")),"not NVP, by"))))))))</f>
        <v/>
      </c>
      <c r="AC1637" s="830"/>
      <c r="AD1637" s="375" t="str">
        <f t="shared" si="3843"/>
        <v/>
      </c>
      <c r="AE1637" s="833" t="str">
        <f t="shared" si="3957"/>
        <v/>
      </c>
      <c r="AF1637" s="833"/>
      <c r="AG1637" s="833"/>
      <c r="AH1637" s="91">
        <f>IF(AD1637="free",0,IF(AD1637="me",0,IF(G1637&gt;0,(VLOOKUP(A1637,'Discount Lookup'!J:K,2)*G1637),0)))</f>
        <v>0</v>
      </c>
      <c r="AI1637" s="92" t="str">
        <f t="shared" si="3903"/>
        <v/>
      </c>
      <c r="AJ1637" s="828" t="str">
        <f t="shared" si="3896"/>
        <v/>
      </c>
      <c r="AK1637" s="828"/>
      <c r="AL1637" s="313" t="str">
        <f t="shared" si="3938"/>
        <v/>
      </c>
      <c r="AM1637" s="312"/>
      <c r="AN1637" s="101"/>
      <c r="AO1637" s="101"/>
      <c r="AP1637" s="101"/>
      <c r="AQ1637" s="101"/>
      <c r="AR1637" s="101"/>
      <c r="AS1637" s="101"/>
      <c r="AT1637" s="101"/>
    </row>
    <row r="1638" spans="1:46" ht="13.5" customHeight="1">
      <c r="A1638" s="836" t="s">
        <v>854</v>
      </c>
      <c r="B1638" s="837"/>
      <c r="C1638" s="837"/>
      <c r="D1638" s="837"/>
      <c r="E1638" s="837"/>
      <c r="F1638" s="837"/>
      <c r="G1638" s="837"/>
      <c r="H1638" s="775" t="s">
        <v>855</v>
      </c>
      <c r="I1638" s="164" t="s">
        <v>79</v>
      </c>
      <c r="J1638" s="157"/>
      <c r="K1638" s="611" t="s">
        <v>45</v>
      </c>
      <c r="L1638" s="630" t="s">
        <v>46</v>
      </c>
      <c r="M1638" s="157"/>
      <c r="N1638" s="175" t="s">
        <v>157</v>
      </c>
      <c r="O1638" s="175"/>
      <c r="P1638" s="175"/>
      <c r="Q1638" s="175"/>
      <c r="R1638" s="157"/>
      <c r="S1638" s="170"/>
      <c r="T1638" s="547"/>
      <c r="U1638" s="171"/>
      <c r="V1638" s="100" t="b">
        <f>IF(G1638&gt;0,IF(AD1638="me","",G1638))</f>
        <v>0</v>
      </c>
      <c r="W1638" s="100"/>
      <c r="X1638" s="100"/>
      <c r="Y1638" s="201"/>
      <c r="Z1638" s="829" t="str">
        <f t="shared" si="3894"/>
        <v/>
      </c>
      <c r="AA1638" s="829"/>
      <c r="AB1638" s="830" t="str">
        <f>IF(G1638=0,"",IF(AD1638="free","re-planting",IF(AD1638="me","not NVP, by",IF($AD$8="yes",(VLOOKUP(A1638,'Discount Lookup'!J:K,2)*G1638*(1-$AC$1786)*(1+$AC$1788)),IF(AD1638="NVP",(VLOOKUP(A1638,'Discount Lookup'!J:K,2)*G1638*(1-$AC$1786)*(1+$AC$1788)),IF(AD1638="free","re-planting",IF(G1638=0,"",IF($AD$8="",IF(AD1638="me","not NVP, by",IF(AD1638="",IF(G1638&gt;0,(VLOOKUP(A1638,'Discount Lookup'!J:K,2)*G1638*(1-$AC$1786)*(1+$AC$1788)),""),"")),"not NVP, by"))))))))</f>
        <v/>
      </c>
      <c r="AC1638" s="830"/>
      <c r="AD1638" s="375" t="str">
        <f t="shared" si="3843"/>
        <v/>
      </c>
      <c r="AE1638" s="833" t="str">
        <f t="shared" si="3957"/>
        <v/>
      </c>
      <c r="AF1638" s="833"/>
      <c r="AG1638" s="833"/>
      <c r="AH1638" s="91">
        <f>IF(AD1638="free",0,IF(AD1638="me",0,IF(G1638&gt;0,(VLOOKUP(A1638,'Discount Lookup'!J:K,2)*G1638),0)))</f>
        <v>0</v>
      </c>
      <c r="AI1638" s="92" t="str">
        <f t="shared" si="3903"/>
        <v/>
      </c>
      <c r="AJ1638" s="828" t="str">
        <f t="shared" si="3896"/>
        <v/>
      </c>
      <c r="AK1638" s="828"/>
      <c r="AL1638" s="313" t="str">
        <f t="shared" si="3938"/>
        <v/>
      </c>
      <c r="AM1638" s="312"/>
      <c r="AN1638" s="101"/>
      <c r="AO1638" s="101"/>
      <c r="AP1638" s="101"/>
      <c r="AQ1638" s="101"/>
      <c r="AR1638" s="101"/>
      <c r="AS1638" s="101"/>
      <c r="AT1638" s="101"/>
    </row>
    <row r="1639" spans="1:46" ht="13.5" customHeight="1">
      <c r="A1639" s="383">
        <v>1</v>
      </c>
      <c r="B1639" s="158" t="s">
        <v>50</v>
      </c>
      <c r="C1639" s="168" t="s">
        <v>236</v>
      </c>
      <c r="D1639" s="161" t="s">
        <v>63</v>
      </c>
      <c r="E1639" s="162">
        <v>18.95</v>
      </c>
      <c r="F1639" s="713" t="s">
        <v>1306</v>
      </c>
      <c r="G1639" s="357">
        <v>0</v>
      </c>
      <c r="H1639" s="748" t="str">
        <f t="shared" ref="H1639:H1640" si="3991">IF(G1639=0,"",IF(F1639="Qty=",IF(G1639=1,"plant","plants"),IF(F1639&gt;0.0001,"warranty","Error")))</f>
        <v/>
      </c>
      <c r="I1639" s="592">
        <f t="shared" ref="I1639:I1640" si="3992">IF(F1639="Qty=",(E1639*G1639),((E1639*(1-F1639))*G1639))</f>
        <v>0</v>
      </c>
      <c r="J1639" s="592">
        <f>IF(H1639="warranty",0,(I1639*($J$1782)))</f>
        <v>0</v>
      </c>
      <c r="K1639" s="834">
        <f t="shared" ref="K1639:K1640" si="3993">I1639+J1639</f>
        <v>0</v>
      </c>
      <c r="L1639" s="834"/>
      <c r="M1639" s="832" t="str">
        <f>IF($H$1784=0,"",IF(G1639=0,"",IF(F1639="Qty=",CONCATENATE("$",ROUND(K1639*(1-$H$1784),2)," with ",($H$1784*100),"% discount"),CONCATENATE("$",ROUND(K1639*(1-$H$1784),2)," with ",(($H$1784*100+F1639*100)-($H$1784*100*F1639)),IF(F1639&gt;0,"% discounts",IF($H$1781&gt;0,"% discounts","% discount"))))))</f>
        <v/>
      </c>
      <c r="N1639" s="832"/>
      <c r="O1639" s="832"/>
      <c r="P1639" s="832"/>
      <c r="Q1639" s="832"/>
      <c r="R1639" s="832"/>
      <c r="S1639" s="303">
        <f t="shared" ref="S1639:S1640" si="3994">E1639*G1639</f>
        <v>0</v>
      </c>
      <c r="T1639" s="541">
        <f>VLOOKUP(A1639,'Discount Lookup'!D:E,2,FALSE)*G1639</f>
        <v>0</v>
      </c>
      <c r="U1639" s="83">
        <f>VLOOKUP(A1639,'Discount Lookup'!G:H,2,FALSE)*G1639</f>
        <v>0</v>
      </c>
      <c r="V1639" s="100">
        <f>E1639*($J$1782)*G1639</f>
        <v>0</v>
      </c>
      <c r="W1639" s="100">
        <f t="shared" ref="W1639:W1640" si="3995">I1639</f>
        <v>0</v>
      </c>
      <c r="X1639" s="100" t="b">
        <f>IF(G1639&gt;0,IF(AD1639="me","",G1639))</f>
        <v>0</v>
      </c>
      <c r="Y1639" s="201"/>
      <c r="Z1639" s="829" t="str">
        <f t="shared" si="3894"/>
        <v/>
      </c>
      <c r="AA1639" s="829"/>
      <c r="AB1639" s="830" t="str">
        <f>IF(G1639=0,"",IF(AD1639="free","re-planting",IF(AD1639="me","not NVP, by",IF($AD$8="yes",(VLOOKUP(A1639,'Discount Lookup'!J:K,2)*G1639*(1-$AC$1786)*(1+$AC$1788)),IF(AD1639="NVP",(VLOOKUP(A1639,'Discount Lookup'!J:K,2)*G1639*(1-$AC$1786)*(1+$AC$1788)),IF(AD1639="free","re-planting",IF(G1639=0,"",IF($AD$8="",IF(AD1639="me","not NVP, by",IF(AD1639="",IF(G1639&gt;0,(VLOOKUP(A1639,'Discount Lookup'!J:K,2)*G1639*(1-$AC$1786)*(1+$AC$1788)),""),"")),"not NVP, by"))))))))</f>
        <v/>
      </c>
      <c r="AC1639" s="830"/>
      <c r="AD1639" s="375" t="str">
        <f t="shared" si="3843"/>
        <v/>
      </c>
      <c r="AE1639" s="833" t="str">
        <f t="shared" si="3957"/>
        <v/>
      </c>
      <c r="AF1639" s="833"/>
      <c r="AG1639" s="833"/>
      <c r="AH1639" s="91">
        <f>IF(AD1639="free",0,IF(AD1639="me",0,IF(G1639&gt;0,(VLOOKUP(A1639,'Discount Lookup'!J:K,2)*G1639),0)))</f>
        <v>0</v>
      </c>
      <c r="AI1639" s="92" t="str">
        <f t="shared" si="3903"/>
        <v/>
      </c>
      <c r="AJ1639" s="828" t="str">
        <f t="shared" si="3896"/>
        <v/>
      </c>
      <c r="AK1639" s="828"/>
      <c r="AL1639" s="313" t="str">
        <f t="shared" si="3938"/>
        <v/>
      </c>
      <c r="AM1639" s="312"/>
      <c r="AN1639" s="101"/>
      <c r="AO1639" s="101"/>
      <c r="AP1639" s="101"/>
      <c r="AQ1639" s="101"/>
      <c r="AR1639" s="101"/>
      <c r="AS1639" s="101"/>
      <c r="AT1639" s="101"/>
    </row>
    <row r="1640" spans="1:46" ht="12.95" customHeight="1">
      <c r="A1640" s="383">
        <v>3</v>
      </c>
      <c r="B1640" s="158" t="s">
        <v>50</v>
      </c>
      <c r="C1640" s="168" t="s">
        <v>136</v>
      </c>
      <c r="D1640" s="161" t="s">
        <v>90</v>
      </c>
      <c r="E1640" s="162">
        <v>36.950000000000003</v>
      </c>
      <c r="F1640" s="713" t="s">
        <v>1306</v>
      </c>
      <c r="G1640" s="357">
        <v>0</v>
      </c>
      <c r="H1640" s="748" t="str">
        <f t="shared" si="3991"/>
        <v/>
      </c>
      <c r="I1640" s="592">
        <f t="shared" si="3992"/>
        <v>0</v>
      </c>
      <c r="J1640" s="592">
        <f>IF(H1640="warranty",0,(I1640*($J$1782)))</f>
        <v>0</v>
      </c>
      <c r="K1640" s="834">
        <f t="shared" si="3993"/>
        <v>0</v>
      </c>
      <c r="L1640" s="834"/>
      <c r="M1640" s="832" t="str">
        <f>IF($H$1784=0,"",IF(G1640=0,"",IF(F1640="Qty=",CONCATENATE("$",ROUND(K1640*(1-$H$1784),2)," with ",($H$1784*100),"% discount"),CONCATENATE("$",ROUND(K1640*(1-$H$1784),2)," with ",(($H$1784*100+F1640*100)-($H$1784*100*F1640)),IF(F1640&gt;0,"% discounts",IF($H$1781&gt;0,"% discounts","% discount"))))))</f>
        <v/>
      </c>
      <c r="N1640" s="832"/>
      <c r="O1640" s="832"/>
      <c r="P1640" s="832"/>
      <c r="Q1640" s="832"/>
      <c r="R1640" s="832"/>
      <c r="S1640" s="303">
        <f t="shared" si="3994"/>
        <v>0</v>
      </c>
      <c r="T1640" s="541">
        <f>VLOOKUP(A1640,'Discount Lookup'!D:E,2,FALSE)*G1640</f>
        <v>0</v>
      </c>
      <c r="U1640" s="83">
        <f>VLOOKUP(A1640,'Discount Lookup'!G:H,2,FALSE)*G1640</f>
        <v>0</v>
      </c>
      <c r="V1640" s="100">
        <f>E1640*($J$1782)*G1640</f>
        <v>0</v>
      </c>
      <c r="W1640" s="100">
        <f t="shared" si="3995"/>
        <v>0</v>
      </c>
      <c r="X1640" s="100" t="b">
        <f>IF(G1640&gt;0,IF(AD1640="me","",G1640))</f>
        <v>0</v>
      </c>
      <c r="Y1640" s="201"/>
      <c r="Z1640" s="829" t="str">
        <f t="shared" si="3894"/>
        <v/>
      </c>
      <c r="AA1640" s="829"/>
      <c r="AB1640" s="830" t="str">
        <f>IF(G1640=0,"",IF(AD1640="free","re-planting",IF(AD1640="me","not NVP, by",IF($AD$8="yes",(VLOOKUP(A1640,'Discount Lookup'!J:K,2)*G1640*(1-$AC$1786)*(1+$AC$1788)),IF(AD1640="NVP",(VLOOKUP(A1640,'Discount Lookup'!J:K,2)*G1640*(1-$AC$1786)*(1+$AC$1788)),IF(AD1640="free","re-planting",IF(G1640=0,"",IF($AD$8="",IF(AD1640="me","not NVP, by",IF(AD1640="",IF(G1640&gt;0,(VLOOKUP(A1640,'Discount Lookup'!J:K,2)*G1640*(1-$AC$1786)*(1+$AC$1788)),""),"")),"not NVP, by"))))))))</f>
        <v/>
      </c>
      <c r="AC1640" s="830"/>
      <c r="AD1640" s="375" t="str">
        <f t="shared" si="3843"/>
        <v/>
      </c>
      <c r="AE1640" s="833" t="str">
        <f t="shared" si="3957"/>
        <v/>
      </c>
      <c r="AF1640" s="833"/>
      <c r="AG1640" s="833"/>
      <c r="AH1640" s="91">
        <f>IF(AD1640="free",0,IF(AD1640="me",0,IF(G1640&gt;0,(VLOOKUP(A1640,'Discount Lookup'!J:K,2)*G1640),0)))</f>
        <v>0</v>
      </c>
      <c r="AI1640" s="92" t="str">
        <f t="shared" si="3903"/>
        <v/>
      </c>
      <c r="AJ1640" s="828" t="str">
        <f t="shared" si="3896"/>
        <v/>
      </c>
      <c r="AK1640" s="828"/>
      <c r="AL1640" s="313" t="str">
        <f t="shared" si="3938"/>
        <v/>
      </c>
      <c r="AM1640" s="312"/>
      <c r="AN1640" s="101"/>
      <c r="AO1640" s="101"/>
      <c r="AP1640" s="101"/>
      <c r="AQ1640" s="101"/>
      <c r="AR1640" s="101"/>
      <c r="AS1640" s="101"/>
      <c r="AT1640" s="101"/>
    </row>
    <row r="1641" spans="1:46" ht="12.95" customHeight="1">
      <c r="A1641" s="477"/>
      <c r="B1641" s="103" t="s">
        <v>856</v>
      </c>
      <c r="C1641" s="118"/>
      <c r="D1641" s="118"/>
      <c r="E1641" s="119"/>
      <c r="F1641" s="711"/>
      <c r="G1641" s="358"/>
      <c r="H1641" s="745"/>
      <c r="I1641" s="119"/>
      <c r="J1641" s="119"/>
      <c r="K1641" s="609"/>
      <c r="L1641" s="609"/>
      <c r="M1641" s="121"/>
      <c r="N1641" s="174" t="s">
        <v>857</v>
      </c>
      <c r="O1641" s="123"/>
      <c r="P1641" s="124"/>
      <c r="Q1641" s="124"/>
      <c r="R1641" s="83"/>
      <c r="S1641" s="82">
        <f>E1641*G1641</f>
        <v>0</v>
      </c>
      <c r="T1641" s="540"/>
      <c r="U1641" s="83"/>
      <c r="V1641" s="100" t="b">
        <f>IF(G1641&gt;0,IF(AD1641="me","",G1641))</f>
        <v>0</v>
      </c>
      <c r="W1641" s="100"/>
      <c r="X1641" s="100"/>
      <c r="Y1641" s="201"/>
      <c r="Z1641" s="829" t="str">
        <f t="shared" si="3894"/>
        <v/>
      </c>
      <c r="AA1641" s="829"/>
      <c r="AB1641" s="830" t="str">
        <f>IF(G1641=0,"",IF(AD1641="free","re-planting",IF(AD1641="me","not NVP, by",IF($AD$8="yes",(VLOOKUP(A1641,'Discount Lookup'!J:K,2)*G1641*(1-$AC$1786)*(1+$AC$1788)),IF(AD1641="NVP",(VLOOKUP(A1641,'Discount Lookup'!J:K,2)*G1641*(1-$AC$1786)*(1+$AC$1788)),IF(AD1641="free","re-planting",IF(G1641=0,"",IF($AD$8="",IF(AD1641="me","not NVP, by",IF(AD1641="",IF(G1641&gt;0,(VLOOKUP(A1641,'Discount Lookup'!J:K,2)*G1641*(1-$AC$1786)*(1+$AC$1788)),""),"")),"not NVP, by"))))))))</f>
        <v/>
      </c>
      <c r="AC1641" s="830"/>
      <c r="AD1641" s="375" t="str">
        <f t="shared" si="3843"/>
        <v/>
      </c>
      <c r="AE1641" s="833" t="str">
        <f t="shared" si="3957"/>
        <v/>
      </c>
      <c r="AF1641" s="833"/>
      <c r="AG1641" s="833"/>
      <c r="AH1641" s="91">
        <f>IF(AD1641="free",0,IF(AD1641="me",0,IF(G1641&gt;0,(VLOOKUP(A1641,'Discount Lookup'!J:K,2)*G1641),0)))</f>
        <v>0</v>
      </c>
      <c r="AI1641" s="92" t="str">
        <f t="shared" si="3903"/>
        <v/>
      </c>
      <c r="AJ1641" s="828" t="str">
        <f t="shared" si="3896"/>
        <v/>
      </c>
      <c r="AK1641" s="828"/>
      <c r="AL1641" s="313" t="str">
        <f t="shared" si="3938"/>
        <v/>
      </c>
      <c r="AM1641" s="312"/>
      <c r="AN1641" s="101"/>
      <c r="AO1641" s="101"/>
      <c r="AP1641" s="101"/>
      <c r="AQ1641" s="101"/>
      <c r="AR1641" s="101"/>
      <c r="AS1641" s="101"/>
      <c r="AT1641" s="101"/>
    </row>
    <row r="1642" spans="1:46" ht="12.95" customHeight="1">
      <c r="A1642" s="926" t="s">
        <v>1296</v>
      </c>
      <c r="B1642" s="837"/>
      <c r="C1642" s="837"/>
      <c r="D1642" s="837"/>
      <c r="E1642" s="837"/>
      <c r="F1642" s="837"/>
      <c r="G1642" s="837"/>
      <c r="H1642" s="775" t="s">
        <v>560</v>
      </c>
      <c r="I1642" s="349" t="s">
        <v>280</v>
      </c>
      <c r="J1642" s="157"/>
      <c r="K1642" s="611" t="s">
        <v>45</v>
      </c>
      <c r="L1642" s="630" t="s">
        <v>46</v>
      </c>
      <c r="M1642" s="157"/>
      <c r="N1642" s="158" t="s">
        <v>1371</v>
      </c>
      <c r="O1642" s="158"/>
      <c r="P1642" s="164"/>
      <c r="Q1642" s="164"/>
      <c r="R1642" s="157"/>
      <c r="S1642" s="170"/>
      <c r="T1642" s="547"/>
      <c r="U1642" s="159" t="s">
        <v>1370</v>
      </c>
      <c r="V1642" s="100" t="b">
        <f>IF(G1642&gt;0,IF(AD1642="me","",G1642))</f>
        <v>0</v>
      </c>
      <c r="W1642" s="100"/>
      <c r="X1642" s="100"/>
      <c r="Y1642" s="201"/>
      <c r="Z1642" s="829" t="str">
        <f t="shared" si="3894"/>
        <v/>
      </c>
      <c r="AA1642" s="829"/>
      <c r="AB1642" s="830" t="str">
        <f>IF(G1642=0,"",IF(AD1642="free","re-planting",IF(AD1642="me","not NVP, by",IF($AD$8="yes",(VLOOKUP(A1642,'Discount Lookup'!J:K,2)*G1642*(1-$AC$1786)*(1+$AC$1788)),IF(AD1642="NVP",(VLOOKUP(A1642,'Discount Lookup'!J:K,2)*G1642*(1-$AC$1786)*(1+$AC$1788)),IF(AD1642="free","re-planting",IF(G1642=0,"",IF($AD$8="",IF(AD1642="me","not NVP, by",IF(AD1642="",IF(G1642&gt;0,(VLOOKUP(A1642,'Discount Lookup'!J:K,2)*G1642*(1-$AC$1786)*(1+$AC$1788)),""),"")),"not NVP, by"))))))))</f>
        <v/>
      </c>
      <c r="AC1642" s="830"/>
      <c r="AD1642" s="375" t="str">
        <f t="shared" si="3843"/>
        <v/>
      </c>
      <c r="AE1642" s="833" t="str">
        <f t="shared" ref="AE1642:AE1647" si="3996">IF(G1642&gt;0,(CONCATENATE((G1642)," quantity, ",(A1642)," ",B1642)),"")</f>
        <v/>
      </c>
      <c r="AF1642" s="833"/>
      <c r="AG1642" s="833"/>
      <c r="AH1642" s="91">
        <f>IF(AD1642="free",0,IF(AD1642="me",0,IF(G1642&gt;0,(VLOOKUP(A1642,'Discount Lookup'!J:K,2)*G1642),0)))</f>
        <v>0</v>
      </c>
      <c r="AI1642" s="92" t="str">
        <f t="shared" si="3903"/>
        <v/>
      </c>
      <c r="AJ1642" s="828" t="str">
        <f t="shared" si="3896"/>
        <v/>
      </c>
      <c r="AK1642" s="828"/>
      <c r="AL1642" s="313" t="str">
        <f t="shared" si="3938"/>
        <v/>
      </c>
      <c r="AM1642" s="312"/>
      <c r="AN1642" s="101"/>
      <c r="AO1642" s="101"/>
      <c r="AP1642" s="101"/>
      <c r="AQ1642" s="101"/>
      <c r="AR1642" s="101"/>
      <c r="AS1642" s="101"/>
      <c r="AT1642" s="101"/>
    </row>
    <row r="1643" spans="1:46" ht="12.95" customHeight="1">
      <c r="A1643" s="448">
        <v>2</v>
      </c>
      <c r="B1643" s="158" t="s">
        <v>50</v>
      </c>
      <c r="C1643" s="168" t="s">
        <v>236</v>
      </c>
      <c r="D1643" s="161" t="s">
        <v>90</v>
      </c>
      <c r="E1643" s="162">
        <v>23.95</v>
      </c>
      <c r="F1643" s="713" t="s">
        <v>1306</v>
      </c>
      <c r="G1643" s="357">
        <v>0</v>
      </c>
      <c r="H1643" s="748" t="str">
        <f t="shared" ref="H1643" si="3997">IF(G1643=0,"",IF(F1643="Qty=",IF(G1643=1,"plant","plants"),IF(F1643&gt;0.0001,"warranty","Error")))</f>
        <v/>
      </c>
      <c r="I1643" s="592">
        <f t="shared" ref="I1643" si="3998">IF(F1643="Qty=",(E1643*G1643),((E1643*(1-F1643))*G1643))</f>
        <v>0</v>
      </c>
      <c r="J1643" s="592">
        <f>IF(H1643="warranty",0,(I1643*($J$1782)))</f>
        <v>0</v>
      </c>
      <c r="K1643" s="834">
        <f t="shared" ref="K1643" si="3999">I1643+J1643</f>
        <v>0</v>
      </c>
      <c r="L1643" s="834"/>
      <c r="M1643" s="832" t="str">
        <f>IF($H$1784=0,"",IF(G1643=0,"",IF(F1643="Qty=",CONCATENATE("$",ROUND(K1643*(1-$H$1784),2)," with ",($H$1784*100),"% discount"),CONCATENATE("$",ROUND(K1643*(1-$H$1784),2)," with ",(($H$1784*100+F1643*100)-($H$1784*100*F1643)),IF(F1643&gt;0,"% discounts",IF($H$1781&gt;0,"% discounts","% discount"))))))</f>
        <v/>
      </c>
      <c r="N1643" s="832"/>
      <c r="O1643" s="832"/>
      <c r="P1643" s="832"/>
      <c r="Q1643" s="832"/>
      <c r="R1643" s="832"/>
      <c r="S1643" s="303">
        <f t="shared" ref="S1643" si="4000">E1643*G1643</f>
        <v>0</v>
      </c>
      <c r="T1643" s="541">
        <f>VLOOKUP(A1643,'Discount Lookup'!D:E,2,FALSE)*G1643</f>
        <v>0</v>
      </c>
      <c r="U1643" s="83">
        <f>VLOOKUP(A1643,'Discount Lookup'!G:H,2,FALSE)*G1643</f>
        <v>0</v>
      </c>
      <c r="V1643" s="100">
        <f>E1643*($J$1782)*G1643</f>
        <v>0</v>
      </c>
      <c r="W1643" s="100">
        <f t="shared" ref="W1643" si="4001">I1643</f>
        <v>0</v>
      </c>
      <c r="X1643" s="100" t="b">
        <f>IF(G1643&gt;0,IF(AD1643="me","",G1643))</f>
        <v>0</v>
      </c>
      <c r="Y1643" s="201"/>
      <c r="Z1643" s="829" t="str">
        <f t="shared" si="3894"/>
        <v/>
      </c>
      <c r="AA1643" s="829"/>
      <c r="AB1643" s="830" t="str">
        <f>IF(G1643=0,"",IF(AD1643="free","re-planting",IF(AD1643="me","not NVP, by",IF($AD$8="yes",(VLOOKUP(A1643,'Discount Lookup'!J:K,2)*G1643*(1-$AC$1786)*(1+$AC$1788)),IF(AD1643="NVP",(VLOOKUP(A1643,'Discount Lookup'!J:K,2)*G1643*(1-$AC$1786)*(1+$AC$1788)),IF(AD1643="free","re-planting",IF(G1643=0,"",IF($AD$8="",IF(AD1643="me","not NVP, by",IF(AD1643="",IF(G1643&gt;0,(VLOOKUP(A1643,'Discount Lookup'!J:K,2)*G1643*(1-$AC$1786)*(1+$AC$1788)),""),"")),"not NVP, by"))))))))</f>
        <v/>
      </c>
      <c r="AC1643" s="830"/>
      <c r="AD1643" s="375" t="str">
        <f t="shared" ref="AD1643:AD1698" si="4002">IF(G1643=0,"",IF($AD$8="me","me",IF(H1643="warranty","free",IF($AD$8="yes","NVP",""))))</f>
        <v/>
      </c>
      <c r="AE1643" s="833" t="str">
        <f t="shared" si="3996"/>
        <v/>
      </c>
      <c r="AF1643" s="833"/>
      <c r="AG1643" s="833"/>
      <c r="AH1643" s="91">
        <f>IF(AD1643="free",0,IF(AD1643="me",0,IF(G1643&gt;0,(VLOOKUP(A1643,'Discount Lookup'!J:K,2)*G1643),0)))</f>
        <v>0</v>
      </c>
      <c r="AI1643" s="92" t="str">
        <f t="shared" si="3903"/>
        <v/>
      </c>
      <c r="AJ1643" s="828" t="str">
        <f t="shared" si="3896"/>
        <v/>
      </c>
      <c r="AK1643" s="828"/>
      <c r="AL1643" s="313" t="str">
        <f t="shared" si="3938"/>
        <v/>
      </c>
      <c r="AM1643" s="312"/>
      <c r="AN1643" s="101"/>
      <c r="AO1643" s="101"/>
      <c r="AP1643" s="101"/>
      <c r="AQ1643" s="101"/>
      <c r="AR1643" s="101"/>
      <c r="AS1643" s="101"/>
      <c r="AT1643" s="101"/>
    </row>
    <row r="1644" spans="1:46" ht="12.95" customHeight="1">
      <c r="A1644" s="507"/>
      <c r="B1644" s="221" t="s">
        <v>1272</v>
      </c>
      <c r="C1644" s="104"/>
      <c r="D1644" s="104"/>
      <c r="E1644" s="131"/>
      <c r="F1644" s="710"/>
      <c r="G1644" s="358"/>
      <c r="H1644" s="744"/>
      <c r="I1644" s="131"/>
      <c r="J1644" s="131"/>
      <c r="K1644" s="608"/>
      <c r="L1644" s="636"/>
      <c r="M1644" s="110"/>
      <c r="N1644" s="122" t="s">
        <v>959</v>
      </c>
      <c r="O1644" s="48"/>
      <c r="P1644" s="111"/>
      <c r="Q1644" s="111"/>
      <c r="R1644" s="48"/>
      <c r="S1644" s="82"/>
      <c r="T1644" s="540"/>
      <c r="U1644" s="83"/>
      <c r="V1644" s="100"/>
      <c r="W1644" s="100"/>
      <c r="X1644" s="100"/>
      <c r="Y1644" s="201"/>
      <c r="Z1644" s="829" t="str">
        <f t="shared" si="3894"/>
        <v/>
      </c>
      <c r="AA1644" s="829"/>
      <c r="AB1644" s="830" t="str">
        <f>IF(G1644=0,"",IF(AD1644="free","re-planting",IF(AD1644="me","not NVP, by",IF($AD$8="yes",(VLOOKUP(A1644,'Discount Lookup'!J:K,2)*G1644*(1-$AC$1786)*(1+$AC$1788)),IF(AD1644="NVP",(VLOOKUP(A1644,'Discount Lookup'!J:K,2)*G1644*(1-$AC$1786)*(1+$AC$1788)),IF(AD1644="free","re-planting",IF(G1644=0,"",IF($AD$8="",IF(AD1644="me","not NVP, by",IF(AD1644="",IF(G1644&gt;0,(VLOOKUP(A1644,'Discount Lookup'!J:K,2)*G1644*(1-$AC$1786)*(1+$AC$1788)),""),"")),"not NVP, by"))))))))</f>
        <v/>
      </c>
      <c r="AC1644" s="830"/>
      <c r="AD1644" s="375" t="str">
        <f t="shared" si="4002"/>
        <v/>
      </c>
      <c r="AE1644" s="833" t="str">
        <f t="shared" si="3996"/>
        <v/>
      </c>
      <c r="AF1644" s="833"/>
      <c r="AG1644" s="833"/>
      <c r="AH1644" s="91">
        <f>IF(AD1644="free",0,IF(AD1644="me",0,IF(G1644&gt;0,(VLOOKUP(A1644,'Discount Lookup'!J:K,2)*G1644),0)))</f>
        <v>0</v>
      </c>
      <c r="AI1644" s="92" t="str">
        <f t="shared" si="3903"/>
        <v/>
      </c>
      <c r="AJ1644" s="828" t="str">
        <f t="shared" si="3896"/>
        <v/>
      </c>
      <c r="AK1644" s="828"/>
      <c r="AL1644" s="313" t="str">
        <f t="shared" si="3938"/>
        <v/>
      </c>
      <c r="AM1644" s="312"/>
      <c r="AN1644" s="101"/>
      <c r="AO1644" s="101"/>
      <c r="AP1644" s="101"/>
      <c r="AQ1644" s="101"/>
      <c r="AR1644" s="101"/>
      <c r="AS1644" s="101"/>
      <c r="AT1644" s="101"/>
    </row>
    <row r="1645" spans="1:46" ht="12.95" customHeight="1">
      <c r="A1645" s="926" t="s">
        <v>970</v>
      </c>
      <c r="B1645" s="837"/>
      <c r="C1645" s="837"/>
      <c r="D1645" s="837"/>
      <c r="E1645" s="837"/>
      <c r="F1645" s="837"/>
      <c r="G1645" s="837"/>
      <c r="H1645" s="775" t="s">
        <v>444</v>
      </c>
      <c r="I1645" s="349" t="s">
        <v>280</v>
      </c>
      <c r="J1645" s="157"/>
      <c r="K1645" s="611" t="s">
        <v>45</v>
      </c>
      <c r="L1645" s="630" t="s">
        <v>46</v>
      </c>
      <c r="M1645" s="157"/>
      <c r="N1645" s="158" t="s">
        <v>98</v>
      </c>
      <c r="O1645" s="158"/>
      <c r="P1645" s="158"/>
      <c r="Q1645" s="158"/>
      <c r="R1645" s="835" t="s">
        <v>49</v>
      </c>
      <c r="S1645" s="835"/>
      <c r="T1645" s="835"/>
      <c r="U1645" s="835"/>
      <c r="V1645" s="100" t="b">
        <f>IF(G1645&gt;0,IF(AD1645="me","",G1645))</f>
        <v>0</v>
      </c>
      <c r="W1645" s="100"/>
      <c r="X1645" s="100"/>
      <c r="Y1645" s="201"/>
      <c r="Z1645" s="829" t="str">
        <f t="shared" si="3894"/>
        <v/>
      </c>
      <c r="AA1645" s="829"/>
      <c r="AB1645" s="830" t="str">
        <f>IF(G1645=0,"",IF(AD1645="free","re-planting",IF(AD1645="me","not NVP, by",IF($AD$8="yes",(VLOOKUP(A1645,'Discount Lookup'!J:K,2)*G1645*(1-$AC$1786)*(1+$AC$1788)),IF(AD1645="NVP",(VLOOKUP(A1645,'Discount Lookup'!J:K,2)*G1645*(1-$AC$1786)*(1+$AC$1788)),IF(AD1645="free","re-planting",IF(G1645=0,"",IF($AD$8="",IF(AD1645="me","not NVP, by",IF(AD1645="",IF(G1645&gt;0,(VLOOKUP(A1645,'Discount Lookup'!J:K,2)*G1645*(1-$AC$1786)*(1+$AC$1788)),""),"")),"not NVP, by"))))))))</f>
        <v/>
      </c>
      <c r="AC1645" s="830"/>
      <c r="AD1645" s="375" t="str">
        <f t="shared" si="4002"/>
        <v/>
      </c>
      <c r="AE1645" s="833" t="str">
        <f t="shared" si="3996"/>
        <v/>
      </c>
      <c r="AF1645" s="833"/>
      <c r="AG1645" s="833"/>
      <c r="AH1645" s="91">
        <f>IF(AD1645="free",0,IF(AD1645="me",0,IF(G1645&gt;0,(VLOOKUP(A1645,'Discount Lookup'!J:K,2)*G1645),0)))</f>
        <v>0</v>
      </c>
      <c r="AI1645" s="92" t="str">
        <f t="shared" si="3903"/>
        <v/>
      </c>
      <c r="AJ1645" s="828" t="str">
        <f t="shared" si="3896"/>
        <v/>
      </c>
      <c r="AK1645" s="828"/>
      <c r="AL1645" s="313" t="str">
        <f t="shared" si="3938"/>
        <v/>
      </c>
      <c r="AM1645" s="312"/>
      <c r="AN1645" s="101"/>
      <c r="AO1645" s="101"/>
      <c r="AP1645" s="101"/>
      <c r="AQ1645" s="101"/>
      <c r="AR1645" s="101"/>
      <c r="AS1645" s="101"/>
      <c r="AT1645" s="101"/>
    </row>
    <row r="1646" spans="1:46" ht="12.95" customHeight="1">
      <c r="A1646" s="448">
        <v>3</v>
      </c>
      <c r="B1646" s="158" t="s">
        <v>50</v>
      </c>
      <c r="C1646" s="168" t="s">
        <v>136</v>
      </c>
      <c r="D1646" s="161" t="s">
        <v>86</v>
      </c>
      <c r="E1646" s="162">
        <v>24.95</v>
      </c>
      <c r="F1646" s="713" t="s">
        <v>1306</v>
      </c>
      <c r="G1646" s="357">
        <v>0</v>
      </c>
      <c r="H1646" s="748" t="str">
        <f t="shared" ref="H1646" si="4003">IF(G1646=0,"",IF(F1646="Qty=",IF(G1646=1,"plant","plants"),IF(F1646&gt;0.0001,"warranty","Error")))</f>
        <v/>
      </c>
      <c r="I1646" s="592">
        <f t="shared" ref="I1646" si="4004">IF(F1646="Qty=",(E1646*G1646),((E1646*(1-F1646))*G1646))</f>
        <v>0</v>
      </c>
      <c r="J1646" s="592">
        <f>IF(H1646="warranty",0,(I1646*($J$1782)))</f>
        <v>0</v>
      </c>
      <c r="K1646" s="834">
        <f t="shared" ref="K1646" si="4005">I1646+J1646</f>
        <v>0</v>
      </c>
      <c r="L1646" s="834"/>
      <c r="M1646" s="832" t="str">
        <f>IF($H$1784=0,"",IF(G1646=0,"",IF(F1646="Qty=",CONCATENATE("$",ROUND(K1646*(1-$H$1784),2)," with ",($H$1784*100),"% discount"),CONCATENATE("$",ROUND(K1646*(1-$H$1784),2)," with ",(($H$1784*100+F1646*100)-($H$1784*100*F1646)),IF(F1646&gt;0,"% discounts",IF($H$1781&gt;0,"% discounts","% discount"))))))</f>
        <v/>
      </c>
      <c r="N1646" s="832"/>
      <c r="O1646" s="832"/>
      <c r="P1646" s="832"/>
      <c r="Q1646" s="832"/>
      <c r="R1646" s="832"/>
      <c r="S1646" s="303">
        <f t="shared" ref="S1646" si="4006">E1646*G1646</f>
        <v>0</v>
      </c>
      <c r="T1646" s="541">
        <f>VLOOKUP(A1646,'Discount Lookup'!D:E,2,FALSE)*G1646</f>
        <v>0</v>
      </c>
      <c r="U1646" s="83">
        <f>VLOOKUP(A1646,'Discount Lookup'!G:H,2,FALSE)*G1646</f>
        <v>0</v>
      </c>
      <c r="V1646" s="100">
        <f>E1646*($J$1782)*G1646</f>
        <v>0</v>
      </c>
      <c r="W1646" s="100">
        <f t="shared" ref="W1646" si="4007">I1646</f>
        <v>0</v>
      </c>
      <c r="X1646" s="100" t="b">
        <f>IF(G1646&gt;0,IF(AD1646="me","",G1646))</f>
        <v>0</v>
      </c>
      <c r="Y1646" s="201"/>
      <c r="Z1646" s="829" t="str">
        <f t="shared" si="3894"/>
        <v/>
      </c>
      <c r="AA1646" s="829"/>
      <c r="AB1646" s="830" t="str">
        <f>IF(G1646=0,"",IF(AD1646="free","re-planting",IF(AD1646="me","not NVP, by",IF($AD$8="yes",(VLOOKUP(A1646,'Discount Lookup'!J:K,2)*G1646*(1-$AC$1786)*(1+$AC$1788)),IF(AD1646="NVP",(VLOOKUP(A1646,'Discount Lookup'!J:K,2)*G1646*(1-$AC$1786)*(1+$AC$1788)),IF(AD1646="free","re-planting",IF(G1646=0,"",IF($AD$8="",IF(AD1646="me","not NVP, by",IF(AD1646="",IF(G1646&gt;0,(VLOOKUP(A1646,'Discount Lookup'!J:K,2)*G1646*(1-$AC$1786)*(1+$AC$1788)),""),"")),"not NVP, by"))))))))</f>
        <v/>
      </c>
      <c r="AC1646" s="830"/>
      <c r="AD1646" s="375" t="str">
        <f t="shared" si="4002"/>
        <v/>
      </c>
      <c r="AE1646" s="833" t="str">
        <f t="shared" si="3996"/>
        <v/>
      </c>
      <c r="AF1646" s="833"/>
      <c r="AG1646" s="833"/>
      <c r="AH1646" s="91">
        <f>IF(AD1646="free",0,IF(AD1646="me",0,IF(G1646&gt;0,(VLOOKUP(A1646,'Discount Lookup'!J:K,2)*G1646),0)))</f>
        <v>0</v>
      </c>
      <c r="AI1646" s="92" t="str">
        <f t="shared" si="3903"/>
        <v/>
      </c>
      <c r="AJ1646" s="828" t="str">
        <f t="shared" si="3896"/>
        <v/>
      </c>
      <c r="AK1646" s="828"/>
      <c r="AL1646" s="313" t="str">
        <f t="shared" si="3938"/>
        <v/>
      </c>
      <c r="AM1646" s="312"/>
      <c r="AN1646" s="101"/>
      <c r="AO1646" s="101"/>
      <c r="AP1646" s="101"/>
      <c r="AQ1646" s="101"/>
      <c r="AR1646" s="101"/>
      <c r="AS1646" s="101"/>
      <c r="AT1646" s="101"/>
    </row>
    <row r="1647" spans="1:46" ht="12.95" customHeight="1">
      <c r="A1647" s="505"/>
      <c r="B1647" s="103" t="s">
        <v>971</v>
      </c>
      <c r="C1647" s="117"/>
      <c r="D1647" s="118"/>
      <c r="E1647" s="119"/>
      <c r="F1647" s="711"/>
      <c r="G1647" s="356"/>
      <c r="H1647" s="745"/>
      <c r="I1647" s="119"/>
      <c r="J1647" s="119"/>
      <c r="K1647" s="609"/>
      <c r="L1647" s="609"/>
      <c r="M1647" s="121"/>
      <c r="N1647" s="122" t="s">
        <v>277</v>
      </c>
      <c r="O1647" s="123"/>
      <c r="P1647" s="124"/>
      <c r="Q1647" s="124"/>
      <c r="R1647" s="48"/>
      <c r="S1647" s="48"/>
      <c r="T1647" s="546"/>
      <c r="V1647" s="100"/>
      <c r="W1647" s="100"/>
      <c r="X1647" s="100"/>
      <c r="Y1647" s="201"/>
      <c r="Z1647" s="829" t="str">
        <f t="shared" si="3894"/>
        <v/>
      </c>
      <c r="AA1647" s="829"/>
      <c r="AB1647" s="830" t="str">
        <f>IF(G1647=0,"",IF(AD1647="free","re-planting",IF(AD1647="me","not NVP, by",IF($AD$8="yes",(VLOOKUP(A1647,'Discount Lookup'!J:K,2)*G1647*(1-$AC$1786)*(1+$AC$1788)),IF(AD1647="NVP",(VLOOKUP(A1647,'Discount Lookup'!J:K,2)*G1647*(1-$AC$1786)*(1+$AC$1788)),IF(AD1647="free","re-planting",IF(G1647=0,"",IF($AD$8="",IF(AD1647="me","not NVP, by",IF(AD1647="",IF(G1647&gt;0,(VLOOKUP(A1647,'Discount Lookup'!J:K,2)*G1647*(1-$AC$1786)*(1+$AC$1788)),""),"")),"not NVP, by"))))))))</f>
        <v/>
      </c>
      <c r="AC1647" s="830"/>
      <c r="AD1647" s="375" t="str">
        <f t="shared" si="4002"/>
        <v/>
      </c>
      <c r="AE1647" s="833" t="str">
        <f t="shared" si="3996"/>
        <v/>
      </c>
      <c r="AF1647" s="833"/>
      <c r="AG1647" s="833"/>
      <c r="AH1647" s="91">
        <f>IF(AD1647="free",0,IF(AD1647="me",0,IF(G1647&gt;0,(VLOOKUP(A1647,'Discount Lookup'!J:K,2)*G1647),0)))</f>
        <v>0</v>
      </c>
      <c r="AI1647" s="92" t="str">
        <f t="shared" si="3903"/>
        <v/>
      </c>
      <c r="AJ1647" s="828" t="str">
        <f t="shared" si="3896"/>
        <v/>
      </c>
      <c r="AK1647" s="828"/>
      <c r="AL1647" s="313" t="str">
        <f t="shared" si="3938"/>
        <v/>
      </c>
      <c r="AM1647" s="312"/>
      <c r="AN1647" s="101"/>
      <c r="AO1647" s="101"/>
      <c r="AP1647" s="101"/>
      <c r="AQ1647" s="101"/>
      <c r="AR1647" s="101"/>
      <c r="AS1647" s="101"/>
      <c r="AT1647" s="101"/>
    </row>
    <row r="1648" spans="1:46" ht="12.95" customHeight="1">
      <c r="A1648" s="836" t="s">
        <v>858</v>
      </c>
      <c r="B1648" s="837"/>
      <c r="C1648" s="837"/>
      <c r="D1648" s="837"/>
      <c r="E1648" s="837"/>
      <c r="F1648" s="837"/>
      <c r="G1648" s="837"/>
      <c r="H1648" s="775" t="s">
        <v>444</v>
      </c>
      <c r="I1648" s="349" t="s">
        <v>280</v>
      </c>
      <c r="J1648" s="157"/>
      <c r="K1648" s="611" t="s">
        <v>45</v>
      </c>
      <c r="L1648" s="630" t="s">
        <v>46</v>
      </c>
      <c r="M1648" s="157"/>
      <c r="N1648" s="158" t="s">
        <v>98</v>
      </c>
      <c r="O1648" s="158"/>
      <c r="P1648" s="158"/>
      <c r="Q1648" s="158"/>
      <c r="R1648" s="157"/>
      <c r="S1648" s="170"/>
      <c r="T1648" s="547"/>
      <c r="U1648" s="171"/>
      <c r="V1648" s="100" t="b">
        <f>IF(G1648&gt;0,IF(AD1648="me","",G1648))</f>
        <v>0</v>
      </c>
      <c r="W1648" s="100"/>
      <c r="X1648" s="100"/>
      <c r="Y1648" s="201"/>
      <c r="Z1648" s="829" t="str">
        <f t="shared" si="3894"/>
        <v/>
      </c>
      <c r="AA1648" s="829"/>
      <c r="AB1648" s="830" t="str">
        <f>IF(G1648=0,"",IF(AD1648="free","re-planting",IF(AD1648="me","not NVP, by",IF($AD$8="yes",(VLOOKUP(A1648,'Discount Lookup'!J:K,2)*G1648*(1-$AC$1786)*(1+$AC$1788)),IF(AD1648="NVP",(VLOOKUP(A1648,'Discount Lookup'!J:K,2)*G1648*(1-$AC$1786)*(1+$AC$1788)),IF(AD1648="free","re-planting",IF(G1648=0,"",IF($AD$8="",IF(AD1648="me","not NVP, by",IF(AD1648="",IF(G1648&gt;0,(VLOOKUP(A1648,'Discount Lookup'!J:K,2)*G1648*(1-$AC$1786)*(1+$AC$1788)),""),"")),"not NVP, by"))))))))</f>
        <v/>
      </c>
      <c r="AC1648" s="830"/>
      <c r="AD1648" s="375" t="str">
        <f t="shared" si="4002"/>
        <v/>
      </c>
      <c r="AE1648" s="833" t="str">
        <f t="shared" si="3957"/>
        <v/>
      </c>
      <c r="AF1648" s="833"/>
      <c r="AG1648" s="833"/>
      <c r="AH1648" s="91">
        <f>IF(AD1648="free",0,IF(AD1648="me",0,IF(G1648&gt;0,(VLOOKUP(A1648,'Discount Lookup'!J:K,2)*G1648),0)))</f>
        <v>0</v>
      </c>
      <c r="AI1648" s="92" t="str">
        <f t="shared" si="3903"/>
        <v/>
      </c>
      <c r="AJ1648" s="828" t="str">
        <f t="shared" si="3896"/>
        <v/>
      </c>
      <c r="AK1648" s="828"/>
      <c r="AL1648" s="313" t="str">
        <f t="shared" si="3938"/>
        <v/>
      </c>
      <c r="AM1648" s="312"/>
      <c r="AN1648" s="101"/>
      <c r="AO1648" s="101"/>
      <c r="AP1648" s="101"/>
      <c r="AQ1648" s="101"/>
      <c r="AR1648" s="101"/>
      <c r="AS1648" s="101"/>
      <c r="AT1648" s="101"/>
    </row>
    <row r="1649" spans="1:46" ht="12.95" customHeight="1">
      <c r="A1649" s="383">
        <v>3</v>
      </c>
      <c r="B1649" s="158" t="s">
        <v>50</v>
      </c>
      <c r="C1649" s="168" t="s">
        <v>136</v>
      </c>
      <c r="D1649" s="161" t="s">
        <v>87</v>
      </c>
      <c r="E1649" s="162">
        <v>25.95</v>
      </c>
      <c r="F1649" s="713" t="s">
        <v>1306</v>
      </c>
      <c r="G1649" s="357">
        <v>0</v>
      </c>
      <c r="H1649" s="748" t="str">
        <f>IF(G1649=0,"",IF(F1649="Qty=",IF(G1649=1,"plant","plants"),IF(F1649&gt;0.0001,"warranty","Error")))</f>
        <v/>
      </c>
      <c r="I1649" s="592">
        <f>IF(F1649="Qty=",(E1649*G1649),((E1649*(1-F1649))*G1649))</f>
        <v>0</v>
      </c>
      <c r="J1649" s="592">
        <f>IF(H1649="warranty",0,(I1649*($J$1782)))</f>
        <v>0</v>
      </c>
      <c r="K1649" s="834">
        <f t="shared" ref="K1649:K1650" si="4008">I1649+J1649</f>
        <v>0</v>
      </c>
      <c r="L1649" s="834"/>
      <c r="M1649" s="832" t="str">
        <f>IF($H$1784=0,"",IF(G1649=0,"",IF(F1649="Qty=",CONCATENATE("$",ROUND(K1649*(1-$H$1784),2)," with ",($H$1784*100),"% discount"),CONCATENATE("$",ROUND(K1649*(1-$H$1784),2)," with ",(($H$1784*100+F1649*100)-($H$1784*100*F1649)),IF(F1649&gt;0,"% discounts",IF($H$1781&gt;0,"% discounts","% discount"))))))</f>
        <v/>
      </c>
      <c r="N1649" s="832"/>
      <c r="O1649" s="832"/>
      <c r="P1649" s="832"/>
      <c r="Q1649" s="832"/>
      <c r="R1649" s="832"/>
      <c r="S1649" s="303">
        <f t="shared" ref="S1649" si="4009">E1649*G1649</f>
        <v>0</v>
      </c>
      <c r="T1649" s="541">
        <f>VLOOKUP(A1649,'Discount Lookup'!D:E,2,FALSE)*G1649</f>
        <v>0</v>
      </c>
      <c r="U1649" s="83">
        <f>VLOOKUP(A1649,'Discount Lookup'!G:H,2,FALSE)*G1649</f>
        <v>0</v>
      </c>
      <c r="V1649" s="100">
        <f>E1649*($J$1782)*G1649</f>
        <v>0</v>
      </c>
      <c r="W1649" s="100">
        <f t="shared" ref="W1649" si="4010">I1649</f>
        <v>0</v>
      </c>
      <c r="X1649" s="100" t="b">
        <f>IF(G1649&gt;0,IF(AD1649="me","",G1649))</f>
        <v>0</v>
      </c>
      <c r="Y1649" s="201"/>
      <c r="Z1649" s="829" t="str">
        <f t="shared" si="3894"/>
        <v/>
      </c>
      <c r="AA1649" s="829"/>
      <c r="AB1649" s="830" t="str">
        <f>IF(G1649=0,"",IF(AD1649="free","re-planting",IF(AD1649="me","not NVP, by",IF($AD$8="yes",(VLOOKUP(A1649,'Discount Lookup'!J:K,2)*G1649*(1-$AC$1786)*(1+$AC$1788)),IF(AD1649="NVP",(VLOOKUP(A1649,'Discount Lookup'!J:K,2)*G1649*(1-$AC$1786)*(1+$AC$1788)),IF(AD1649="free","re-planting",IF(G1649=0,"",IF($AD$8="",IF(AD1649="me","not NVP, by",IF(AD1649="",IF(G1649&gt;0,(VLOOKUP(A1649,'Discount Lookup'!J:K,2)*G1649*(1-$AC$1786)*(1+$AC$1788)),""),"")),"not NVP, by"))))))))</f>
        <v/>
      </c>
      <c r="AC1649" s="830"/>
      <c r="AD1649" s="375" t="str">
        <f t="shared" si="4002"/>
        <v/>
      </c>
      <c r="AE1649" s="833" t="str">
        <f t="shared" si="3957"/>
        <v/>
      </c>
      <c r="AF1649" s="833"/>
      <c r="AG1649" s="833"/>
      <c r="AH1649" s="91">
        <f>IF(AD1649="free",0,IF(AD1649="me",0,IF(G1649&gt;0,(VLOOKUP(A1649,'Discount Lookup'!J:K,2)*G1649),0)))</f>
        <v>0</v>
      </c>
      <c r="AI1649" s="92" t="str">
        <f t="shared" si="3903"/>
        <v/>
      </c>
      <c r="AJ1649" s="828" t="str">
        <f t="shared" si="3896"/>
        <v/>
      </c>
      <c r="AK1649" s="828"/>
      <c r="AL1649" s="313" t="str">
        <f t="shared" si="3938"/>
        <v/>
      </c>
      <c r="AM1649" s="312"/>
      <c r="AN1649" s="101"/>
      <c r="AO1649" s="101"/>
      <c r="AP1649" s="101"/>
      <c r="AQ1649" s="101"/>
      <c r="AR1649" s="101"/>
      <c r="AS1649" s="101"/>
      <c r="AT1649" s="101"/>
    </row>
    <row r="1650" spans="1:46" ht="12.95" customHeight="1">
      <c r="A1650" s="383">
        <v>3</v>
      </c>
      <c r="B1650" s="158" t="s">
        <v>50</v>
      </c>
      <c r="C1650" s="168" t="s">
        <v>136</v>
      </c>
      <c r="D1650" s="161" t="s">
        <v>90</v>
      </c>
      <c r="E1650" s="162">
        <v>26.95</v>
      </c>
      <c r="F1650" s="713" t="s">
        <v>1306</v>
      </c>
      <c r="G1650" s="357">
        <v>0</v>
      </c>
      <c r="H1650" s="748" t="str">
        <f t="shared" ref="H1650" si="4011">IF(G1650=0,"",IF(F1650="Qty=",IF(G1650=1,"plant","plants"),IF(F1650&gt;0.0001,"warranty","Error")))</f>
        <v/>
      </c>
      <c r="I1650" s="592">
        <f t="shared" ref="I1650" si="4012">IF(F1650="Qty=",(E1650*G1650),((E1650*(1-F1650))*G1650))</f>
        <v>0</v>
      </c>
      <c r="J1650" s="592">
        <f>IF(H1650="warranty",0,(I1650*($J$1782)))</f>
        <v>0</v>
      </c>
      <c r="K1650" s="834">
        <f t="shared" si="4008"/>
        <v>0</v>
      </c>
      <c r="L1650" s="834"/>
      <c r="M1650" s="832" t="str">
        <f>IF($H$1784=0,"",IF(G1650=0,"",IF(F1650="Qty=",CONCATENATE("$",ROUND(K1650*(1-$H$1784),2)," with ",($H$1784*100),"% discount"),CONCATENATE("$",ROUND(K1650*(1-$H$1784),2)," with ",(($H$1784*100+F1650*100)-($H$1784*100*F1650)),IF(F1650&gt;0,"% discounts",IF($H$1781&gt;0,"% discounts","% discount"))))))</f>
        <v/>
      </c>
      <c r="N1650" s="832"/>
      <c r="O1650" s="832"/>
      <c r="P1650" s="832"/>
      <c r="Q1650" s="832"/>
      <c r="R1650" s="832"/>
      <c r="S1650" s="303">
        <f t="shared" ref="S1650" si="4013">E1650*G1650</f>
        <v>0</v>
      </c>
      <c r="T1650" s="541">
        <f>VLOOKUP(A1650,'Discount Lookup'!D:E,2,FALSE)*G1650</f>
        <v>0</v>
      </c>
      <c r="U1650" s="83">
        <f>VLOOKUP(A1650,'Discount Lookup'!G:H,2,FALSE)*G1650</f>
        <v>0</v>
      </c>
      <c r="V1650" s="100">
        <f>E1650*($J$1782)*G1650</f>
        <v>0</v>
      </c>
      <c r="W1650" s="100">
        <f t="shared" ref="W1650" si="4014">I1650</f>
        <v>0</v>
      </c>
      <c r="X1650" s="100" t="b">
        <f>IF(G1650&gt;0,IF(AD1650="me","",G1650))</f>
        <v>0</v>
      </c>
      <c r="Y1650" s="201"/>
      <c r="Z1650" s="829" t="str">
        <f t="shared" si="3894"/>
        <v/>
      </c>
      <c r="AA1650" s="829"/>
      <c r="AB1650" s="830" t="str">
        <f>IF(G1650=0,"",IF(AD1650="free","re-planting",IF(AD1650="me","not NVP, by",IF($AD$8="yes",(VLOOKUP(A1650,'Discount Lookup'!J:K,2)*G1650*(1-$AC$1786)*(1+$AC$1788)),IF(AD1650="NVP",(VLOOKUP(A1650,'Discount Lookup'!J:K,2)*G1650*(1-$AC$1786)*(1+$AC$1788)),IF(AD1650="free","re-planting",IF(G1650=0,"",IF($AD$8="",IF(AD1650="me","not NVP, by",IF(AD1650="",IF(G1650&gt;0,(VLOOKUP(A1650,'Discount Lookup'!J:K,2)*G1650*(1-$AC$1786)*(1+$AC$1788)),""),"")),"not NVP, by"))))))))</f>
        <v/>
      </c>
      <c r="AC1650" s="830"/>
      <c r="AD1650" s="375" t="str">
        <f t="shared" si="4002"/>
        <v/>
      </c>
      <c r="AE1650" s="833" t="str">
        <f t="shared" si="3957"/>
        <v/>
      </c>
      <c r="AF1650" s="833"/>
      <c r="AG1650" s="833"/>
      <c r="AH1650" s="91">
        <f>IF(AD1650="free",0,IF(AD1650="me",0,IF(G1650&gt;0,(VLOOKUP(A1650,'Discount Lookup'!J:K,2)*G1650),0)))</f>
        <v>0</v>
      </c>
      <c r="AI1650" s="92" t="str">
        <f t="shared" si="3903"/>
        <v/>
      </c>
      <c r="AJ1650" s="828" t="str">
        <f t="shared" si="3896"/>
        <v/>
      </c>
      <c r="AK1650" s="828"/>
      <c r="AL1650" s="313" t="str">
        <f t="shared" si="3938"/>
        <v/>
      </c>
      <c r="AM1650" s="312"/>
      <c r="AN1650" s="101"/>
      <c r="AO1650" s="101"/>
      <c r="AP1650" s="101"/>
      <c r="AQ1650" s="101"/>
      <c r="AR1650" s="101"/>
      <c r="AS1650" s="101"/>
      <c r="AT1650" s="101"/>
    </row>
    <row r="1651" spans="1:46" ht="12.95" customHeight="1">
      <c r="A1651" s="474"/>
      <c r="B1651" s="103" t="s">
        <v>859</v>
      </c>
      <c r="C1651" s="130"/>
      <c r="D1651" s="104"/>
      <c r="E1651" s="131"/>
      <c r="F1651" s="710"/>
      <c r="G1651" s="356"/>
      <c r="H1651" s="744"/>
      <c r="I1651" s="131"/>
      <c r="J1651" s="131"/>
      <c r="K1651" s="608"/>
      <c r="L1651" s="608"/>
      <c r="M1651" s="121"/>
      <c r="N1651" s="121"/>
      <c r="O1651" s="123"/>
      <c r="P1651" s="124"/>
      <c r="Q1651" s="841" t="s">
        <v>125</v>
      </c>
      <c r="R1651" s="841"/>
      <c r="S1651" s="841"/>
      <c r="T1651" s="841"/>
      <c r="U1651" s="841"/>
      <c r="V1651" s="841"/>
      <c r="Y1651" s="132"/>
      <c r="Z1651" s="829" t="str">
        <f t="shared" si="3894"/>
        <v/>
      </c>
      <c r="AA1651" s="829"/>
      <c r="AB1651" s="830" t="str">
        <f>IF(G1651=0,"",IF(AD1651="free","re-planting",IF(AD1651="me","not NVP, by",IF($AD$8="yes",(VLOOKUP(A1651,'Discount Lookup'!J:K,2)*G1651*(1-$AC$1786)*(1+$AC$1788)),IF(AD1651="NVP",(VLOOKUP(A1651,'Discount Lookup'!J:K,2)*G1651*(1-$AC$1786)*(1+$AC$1788)),IF(AD1651="free","re-planting",IF(G1651=0,"",IF($AD$8="",IF(AD1651="me","not NVP, by",IF(AD1651="",IF(G1651&gt;0,(VLOOKUP(A1651,'Discount Lookup'!J:K,2)*G1651*(1-$AC$1786)*(1+$AC$1788)),""),"")),"not NVP, by"))))))))</f>
        <v/>
      </c>
      <c r="AC1651" s="830"/>
      <c r="AD1651" s="375" t="str">
        <f t="shared" si="4002"/>
        <v/>
      </c>
      <c r="AE1651" s="833" t="str">
        <f t="shared" si="3957"/>
        <v/>
      </c>
      <c r="AF1651" s="833"/>
      <c r="AG1651" s="833"/>
      <c r="AH1651" s="91">
        <f>IF(AD1651="free",0,IF(AD1651="me",0,IF(G1651&gt;0,(VLOOKUP(A1651,'Discount Lookup'!J:K,2)*G1651),0)))</f>
        <v>0</v>
      </c>
      <c r="AI1651" s="92" t="str">
        <f t="shared" si="3903"/>
        <v/>
      </c>
      <c r="AJ1651" s="828" t="str">
        <f t="shared" si="3896"/>
        <v/>
      </c>
      <c r="AK1651" s="828"/>
      <c r="AL1651" s="313" t="str">
        <f t="shared" si="3938"/>
        <v/>
      </c>
      <c r="AM1651" s="312"/>
      <c r="AN1651" s="101"/>
      <c r="AO1651" s="101"/>
      <c r="AP1651" s="101"/>
      <c r="AQ1651" s="101"/>
      <c r="AR1651" s="101"/>
      <c r="AS1651" s="101"/>
      <c r="AT1651" s="101"/>
    </row>
    <row r="1652" spans="1:46" ht="12.95" customHeight="1">
      <c r="A1652" s="836" t="s">
        <v>860</v>
      </c>
      <c r="B1652" s="837"/>
      <c r="C1652" s="837"/>
      <c r="D1652" s="837"/>
      <c r="E1652" s="837"/>
      <c r="F1652" s="837"/>
      <c r="G1652" s="837"/>
      <c r="H1652" s="775" t="s">
        <v>580</v>
      </c>
      <c r="I1652" s="164" t="s">
        <v>79</v>
      </c>
      <c r="J1652" s="157"/>
      <c r="K1652" s="611" t="s">
        <v>45</v>
      </c>
      <c r="L1652" s="630" t="s">
        <v>46</v>
      </c>
      <c r="M1652" s="157"/>
      <c r="N1652" s="175" t="s">
        <v>157</v>
      </c>
      <c r="O1652" s="175"/>
      <c r="P1652" s="175"/>
      <c r="Q1652" s="175"/>
      <c r="R1652" s="157"/>
      <c r="S1652" s="170"/>
      <c r="T1652" s="547"/>
      <c r="U1652" s="171"/>
      <c r="V1652" s="100" t="b">
        <f>IF(G1652&gt;0,IF(AD1652="me","",G1652))</f>
        <v>0</v>
      </c>
      <c r="W1652" s="100"/>
      <c r="X1652" s="100"/>
      <c r="Y1652" s="201"/>
      <c r="Z1652" s="829" t="str">
        <f t="shared" si="3894"/>
        <v/>
      </c>
      <c r="AA1652" s="829"/>
      <c r="AB1652" s="830" t="str">
        <f>IF(G1652=0,"",IF(AD1652="free","re-planting",IF(AD1652="me","not NVP, by",IF($AD$8="yes",(VLOOKUP(A1652,'Discount Lookup'!J:K,2)*G1652*(1-$AC$1786)*(1+$AC$1788)),IF(AD1652="NVP",(VLOOKUP(A1652,'Discount Lookup'!J:K,2)*G1652*(1-$AC$1786)*(1+$AC$1788)),IF(AD1652="free","re-planting",IF(G1652=0,"",IF($AD$8="",IF(AD1652="me","not NVP, by",IF(AD1652="",IF(G1652&gt;0,(VLOOKUP(A1652,'Discount Lookup'!J:K,2)*G1652*(1-$AC$1786)*(1+$AC$1788)),""),"")),"not NVP, by"))))))))</f>
        <v/>
      </c>
      <c r="AC1652" s="830"/>
      <c r="AD1652" s="375" t="str">
        <f t="shared" si="4002"/>
        <v/>
      </c>
      <c r="AE1652" s="833" t="str">
        <f t="shared" si="3957"/>
        <v/>
      </c>
      <c r="AF1652" s="833"/>
      <c r="AG1652" s="833"/>
      <c r="AH1652" s="91">
        <f>IF(AD1652="free",0,IF(AD1652="me",0,IF(G1652&gt;0,(VLOOKUP(A1652,'Discount Lookup'!J:K,2)*G1652),0)))</f>
        <v>0</v>
      </c>
      <c r="AI1652" s="92" t="str">
        <f t="shared" si="3903"/>
        <v/>
      </c>
      <c r="AJ1652" s="828" t="str">
        <f t="shared" si="3896"/>
        <v/>
      </c>
      <c r="AK1652" s="828"/>
      <c r="AL1652" s="313" t="str">
        <f t="shared" si="3938"/>
        <v/>
      </c>
      <c r="AM1652" s="312"/>
      <c r="AN1652" s="101"/>
      <c r="AO1652" s="101"/>
      <c r="AP1652" s="101"/>
      <c r="AQ1652" s="101"/>
      <c r="AR1652" s="101"/>
      <c r="AS1652" s="101"/>
      <c r="AT1652" s="101"/>
    </row>
    <row r="1653" spans="1:46" ht="12.95" customHeight="1">
      <c r="A1653" s="383" t="s">
        <v>668</v>
      </c>
      <c r="B1653" s="158" t="s">
        <v>669</v>
      </c>
      <c r="C1653" s="168" t="s">
        <v>136</v>
      </c>
      <c r="D1653" s="161" t="s">
        <v>87</v>
      </c>
      <c r="E1653" s="162">
        <v>14.95</v>
      </c>
      <c r="F1653" s="713" t="s">
        <v>1306</v>
      </c>
      <c r="G1653" s="357">
        <v>0</v>
      </c>
      <c r="H1653" s="748" t="str">
        <f t="shared" ref="H1653" si="4015">IF(G1653=0,"",IF(F1653="Qty=",IF(G1653=1,"plant","plants"),IF(F1653&gt;0.0001,"warranty","Error")))</f>
        <v/>
      </c>
      <c r="I1653" s="592">
        <f t="shared" ref="I1653" si="4016">IF(F1653="Qty=",(E1653*G1653),((E1653*(1-F1653))*G1653))</f>
        <v>0</v>
      </c>
      <c r="J1653" s="592">
        <f>IF(H1653="warranty",0,(I1653*($J$1782)))</f>
        <v>0</v>
      </c>
      <c r="K1653" s="834">
        <f t="shared" ref="K1653:K1654" si="4017">I1653+J1653</f>
        <v>0</v>
      </c>
      <c r="L1653" s="834"/>
      <c r="M1653" s="832" t="str">
        <f>IF($H$1784=0,"",IF(G1653=0,"",IF(F1653="Qty=",CONCATENATE("$",ROUND(K1653*(1-$H$1784),2)," with ",($H$1784*100),"% discount"),CONCATENATE("$",ROUND(K1653*(1-$H$1784),2)," with ",(($H$1784*100+F1653*100)-($H$1784*100*F1653)),IF(F1653&gt;0,"% discounts",IF($H$1781&gt;0,"% discounts","% discount"))))))</f>
        <v/>
      </c>
      <c r="N1653" s="832"/>
      <c r="O1653" s="832"/>
      <c r="P1653" s="832"/>
      <c r="Q1653" s="832"/>
      <c r="R1653" s="832"/>
      <c r="S1653" s="303">
        <f t="shared" ref="S1653" si="4018">E1653*G1653</f>
        <v>0</v>
      </c>
      <c r="T1653" s="541">
        <f>VLOOKUP(A1653,'Discount Lookup'!D:E,2,FALSE)*G1653</f>
        <v>0</v>
      </c>
      <c r="U1653" s="83">
        <f>VLOOKUP(A1653,'Discount Lookup'!G:H,2,FALSE)*G1653</f>
        <v>0</v>
      </c>
      <c r="V1653" s="100">
        <f>E1653*($J$1782)*G1653</f>
        <v>0</v>
      </c>
      <c r="W1653" s="100">
        <f t="shared" ref="W1653" si="4019">I1653</f>
        <v>0</v>
      </c>
      <c r="X1653" s="100" t="b">
        <f>IF(G1653&gt;0,IF(AD1653="me","",G1653))</f>
        <v>0</v>
      </c>
      <c r="Y1653" s="201"/>
      <c r="Z1653" s="829" t="str">
        <f t="shared" si="3894"/>
        <v/>
      </c>
      <c r="AA1653" s="829"/>
      <c r="AB1653" s="830" t="str">
        <f>IF(G1653=0,"",IF(AD1653="free","re-planting",IF(AD1653="me","not NVP, by",IF($AD$8="yes",(VLOOKUP(A1653,'Discount Lookup'!J:K,2)*G1653*(1-$AC$1786)*(1+$AC$1788)),IF(AD1653="NVP",(VLOOKUP(A1653,'Discount Lookup'!J:K,2)*G1653*(1-$AC$1786)*(1+$AC$1788)),IF(AD1653="free","re-planting",IF(G1653=0,"",IF($AD$8="",IF(AD1653="me","not NVP, by",IF(AD1653="",IF(G1653&gt;0,(VLOOKUP(A1653,'Discount Lookup'!J:K,2)*G1653*(1-$AC$1786)*(1+$AC$1788)),""),"")),"not NVP, by"))))))))</f>
        <v/>
      </c>
      <c r="AC1653" s="830"/>
      <c r="AD1653" s="375" t="str">
        <f t="shared" si="4002"/>
        <v/>
      </c>
      <c r="AE1653" s="833" t="str">
        <f t="shared" si="3957"/>
        <v/>
      </c>
      <c r="AF1653" s="833"/>
      <c r="AG1653" s="833"/>
      <c r="AH1653" s="91">
        <f>IF(AD1653="free",0,IF(AD1653="me",0,IF(G1653&gt;0,(VLOOKUP(A1653,'Discount Lookup'!J:K,2)*G1653),0)))</f>
        <v>0</v>
      </c>
      <c r="AI1653" s="92" t="str">
        <f t="shared" si="3903"/>
        <v/>
      </c>
      <c r="AJ1653" s="828" t="str">
        <f t="shared" si="3896"/>
        <v/>
      </c>
      <c r="AK1653" s="828"/>
      <c r="AL1653" s="313" t="str">
        <f t="shared" si="3938"/>
        <v/>
      </c>
      <c r="AM1653" s="312"/>
      <c r="AN1653" s="101"/>
      <c r="AO1653" s="101"/>
      <c r="AP1653" s="101"/>
      <c r="AQ1653" s="101"/>
      <c r="AR1653" s="101"/>
      <c r="AS1653" s="101"/>
      <c r="AT1653" s="101"/>
    </row>
    <row r="1654" spans="1:46" ht="12.95" customHeight="1">
      <c r="A1654" s="383">
        <v>3</v>
      </c>
      <c r="B1654" s="158" t="s">
        <v>50</v>
      </c>
      <c r="C1654" s="168" t="s">
        <v>136</v>
      </c>
      <c r="D1654" s="161" t="s">
        <v>94</v>
      </c>
      <c r="E1654" s="162">
        <v>18.95</v>
      </c>
      <c r="F1654" s="713" t="s">
        <v>1306</v>
      </c>
      <c r="G1654" s="357">
        <v>0</v>
      </c>
      <c r="H1654" s="748" t="str">
        <f t="shared" ref="H1654" si="4020">IF(G1654=0,"",IF(F1654="Qty=",IF(G1654=1,"plant","plants"),IF(F1654&gt;0.0001,"warranty","Error")))</f>
        <v/>
      </c>
      <c r="I1654" s="592">
        <f t="shared" ref="I1654" si="4021">IF(F1654="Qty=",(E1654*G1654),((E1654*(1-F1654))*G1654))</f>
        <v>0</v>
      </c>
      <c r="J1654" s="592">
        <f>IF(H1654="warranty",0,(I1654*($J$1782)))</f>
        <v>0</v>
      </c>
      <c r="K1654" s="834">
        <f t="shared" si="4017"/>
        <v>0</v>
      </c>
      <c r="L1654" s="834"/>
      <c r="M1654" s="832" t="str">
        <f>IF($H$1784=0,"",IF(G1654=0,"",IF(F1654="Qty=",CONCATENATE("$",ROUND(K1654*(1-$H$1784),2)," with ",($H$1784*100),"% discount"),CONCATENATE("$",ROUND(K1654*(1-$H$1784),2)," with ",(($H$1784*100+F1654*100)-($H$1784*100*F1654)),IF(F1654&gt;0,"% discounts",IF($H$1781&gt;0,"% discounts","% discount"))))))</f>
        <v/>
      </c>
      <c r="N1654" s="832"/>
      <c r="O1654" s="832"/>
      <c r="P1654" s="832"/>
      <c r="Q1654" s="832"/>
      <c r="R1654" s="832"/>
      <c r="S1654" s="303">
        <f t="shared" ref="S1654" si="4022">E1654*G1654</f>
        <v>0</v>
      </c>
      <c r="T1654" s="541">
        <f>VLOOKUP(A1654,'Discount Lookup'!D:E,2,FALSE)*G1654</f>
        <v>0</v>
      </c>
      <c r="U1654" s="83">
        <f>VLOOKUP(A1654,'Discount Lookup'!G:H,2,FALSE)*G1654</f>
        <v>0</v>
      </c>
      <c r="V1654" s="100">
        <f>E1654*($J$1782)*G1654</f>
        <v>0</v>
      </c>
      <c r="W1654" s="100">
        <f t="shared" ref="W1654" si="4023">I1654</f>
        <v>0</v>
      </c>
      <c r="X1654" s="100" t="b">
        <f>IF(G1654&gt;0,IF(AD1654="me","",G1654))</f>
        <v>0</v>
      </c>
      <c r="Y1654" s="201"/>
      <c r="Z1654" s="829" t="str">
        <f t="shared" ref="Z1654" si="4024">IF(G1654=0,"",IF(AD1654="me","",IF($AD$8="me","",IF(AD1654="free","warranty",IF($AD$8="yes","NVP planting:","to NVP install:")))))</f>
        <v/>
      </c>
      <c r="AA1654" s="829"/>
      <c r="AB1654" s="830" t="str">
        <f>IF(G1654=0,"",IF(AD1654="free","re-planting",IF(AD1654="me","not NVP, by",IF($AD$8="yes",(VLOOKUP(A1654,'Discount Lookup'!J:K,2)*G1654*(1-$AC$1786)*(1+$AC$1788)),IF(AD1654="NVP",(VLOOKUP(A1654,'Discount Lookup'!J:K,2)*G1654*(1-$AC$1786)*(1+$AC$1788)),IF(AD1654="free","re-planting",IF(G1654=0,"",IF($AD$8="",IF(AD1654="me","not NVP, by",IF(AD1654="",IF(G1654&gt;0,(VLOOKUP(A1654,'Discount Lookup'!J:K,2)*G1654*(1-$AC$1786)*(1+$AC$1788)),""),"")),"not NVP, by"))))))))</f>
        <v/>
      </c>
      <c r="AC1654" s="830"/>
      <c r="AD1654" s="375" t="str">
        <f t="shared" si="4002"/>
        <v/>
      </c>
      <c r="AE1654" s="833" t="str">
        <f t="shared" ref="AE1654" si="4025">IF(G1654&gt;0,(CONCATENATE((G1654)," quantity, ",(A1654)," ",B1654)),"")</f>
        <v/>
      </c>
      <c r="AF1654" s="833"/>
      <c r="AG1654" s="833"/>
      <c r="AH1654" s="91">
        <f>IF(AD1654="free",0,IF(AD1654="me",0,IF(G1654&gt;0,(VLOOKUP(A1654,'Discount Lookup'!J:K,2)*G1654),0)))</f>
        <v>0</v>
      </c>
      <c r="AI1654" s="92" t="str">
        <f t="shared" si="3903"/>
        <v/>
      </c>
      <c r="AJ1654" s="828" t="str">
        <f t="shared" ref="AJ1654" si="4026">IF(G1654=0,"",IF(AD1654="me","  delivery-only",IF($AD$8="me","  delivery-only",CONCATENATE(" $",ROUND(AI1654/G1654,2)," each"))))</f>
        <v/>
      </c>
      <c r="AK1654" s="828"/>
      <c r="AL1654" s="313" t="str">
        <f t="shared" si="3938"/>
        <v/>
      </c>
      <c r="AM1654" s="312"/>
      <c r="AN1654" s="101"/>
      <c r="AO1654" s="101"/>
      <c r="AP1654" s="101"/>
      <c r="AQ1654" s="101"/>
      <c r="AR1654" s="101"/>
      <c r="AS1654" s="101"/>
      <c r="AT1654" s="101"/>
    </row>
    <row r="1655" spans="1:46" ht="12.95" customHeight="1">
      <c r="A1655" s="481"/>
      <c r="B1655" s="103" t="s">
        <v>861</v>
      </c>
      <c r="G1655" s="361"/>
      <c r="H1655" s="749"/>
      <c r="M1655" s="48"/>
      <c r="N1655" s="174" t="s">
        <v>857</v>
      </c>
      <c r="O1655" s="48"/>
      <c r="P1655" s="111"/>
      <c r="Q1655" s="111"/>
      <c r="R1655" s="48"/>
      <c r="S1655" s="48"/>
      <c r="T1655" s="546"/>
      <c r="V1655" s="100" t="b">
        <f>IF(G1655&gt;0,IF(AD1655="me","",G1655))</f>
        <v>0</v>
      </c>
      <c r="W1655" s="100"/>
      <c r="X1655" s="100"/>
      <c r="Y1655" s="201"/>
      <c r="Z1655" s="829" t="str">
        <f t="shared" si="3894"/>
        <v/>
      </c>
      <c r="AA1655" s="829"/>
      <c r="AB1655" s="830" t="str">
        <f>IF(G1655=0,"",IF(AD1655="free","re-planting",IF(AD1655="me","not NVP, by",IF($AD$8="yes",(VLOOKUP(A1655,'Discount Lookup'!J:K,2)*G1655*(1-$AC$1786)*(1+$AC$1788)),IF(AD1655="NVP",(VLOOKUP(A1655,'Discount Lookup'!J:K,2)*G1655*(1-$AC$1786)*(1+$AC$1788)),IF(AD1655="free","re-planting",IF(G1655=0,"",IF($AD$8="",IF(AD1655="me","not NVP, by",IF(AD1655="",IF(G1655&gt;0,(VLOOKUP(A1655,'Discount Lookup'!J:K,2)*G1655*(1-$AC$1786)*(1+$AC$1788)),""),"")),"not NVP, by"))))))))</f>
        <v/>
      </c>
      <c r="AC1655" s="830"/>
      <c r="AD1655" s="375" t="str">
        <f t="shared" si="4002"/>
        <v/>
      </c>
      <c r="AE1655" s="833" t="str">
        <f t="shared" si="3957"/>
        <v/>
      </c>
      <c r="AF1655" s="833"/>
      <c r="AG1655" s="833"/>
      <c r="AH1655" s="91">
        <f>IF(AD1655="free",0,IF(AD1655="me",0,IF(G1655&gt;0,(VLOOKUP(A1655,'Discount Lookup'!J:K,2)*G1655),0)))</f>
        <v>0</v>
      </c>
      <c r="AI1655" s="92" t="str">
        <f t="shared" si="3903"/>
        <v/>
      </c>
      <c r="AJ1655" s="828" t="str">
        <f t="shared" si="3896"/>
        <v/>
      </c>
      <c r="AK1655" s="828"/>
      <c r="AL1655" s="313" t="str">
        <f t="shared" si="3938"/>
        <v/>
      </c>
      <c r="AM1655" s="312"/>
      <c r="AN1655" s="101"/>
      <c r="AO1655" s="101"/>
      <c r="AP1655" s="101"/>
      <c r="AQ1655" s="101"/>
      <c r="AR1655" s="101"/>
      <c r="AS1655" s="101"/>
      <c r="AT1655" s="101"/>
    </row>
    <row r="1656" spans="1:46" ht="12.95" customHeight="1">
      <c r="A1656" s="836" t="s">
        <v>862</v>
      </c>
      <c r="B1656" s="837"/>
      <c r="C1656" s="837"/>
      <c r="D1656" s="837"/>
      <c r="E1656" s="837"/>
      <c r="F1656" s="837"/>
      <c r="G1656" s="837"/>
      <c r="H1656" s="775" t="s">
        <v>602</v>
      </c>
      <c r="I1656" s="349" t="s">
        <v>280</v>
      </c>
      <c r="J1656" s="157"/>
      <c r="K1656" s="611" t="s">
        <v>45</v>
      </c>
      <c r="L1656" s="630" t="s">
        <v>46</v>
      </c>
      <c r="M1656" s="157"/>
      <c r="N1656" s="158" t="s">
        <v>98</v>
      </c>
      <c r="O1656" s="158"/>
      <c r="P1656" s="158"/>
      <c r="Q1656" s="158"/>
      <c r="R1656" s="157"/>
      <c r="S1656" s="170"/>
      <c r="T1656" s="547"/>
      <c r="U1656" s="171"/>
      <c r="V1656" s="100" t="b">
        <f>IF(G1656&gt;0,IF(AD1656="me","",G1656))</f>
        <v>0</v>
      </c>
      <c r="W1656" s="100"/>
      <c r="X1656" s="100"/>
      <c r="Y1656" s="201"/>
      <c r="Z1656" s="829" t="str">
        <f t="shared" si="3894"/>
        <v/>
      </c>
      <c r="AA1656" s="829"/>
      <c r="AB1656" s="830" t="str">
        <f>IF(G1656=0,"",IF(AD1656="free","re-planting",IF(AD1656="me","not NVP, by",IF($AD$8="yes",(VLOOKUP(A1656,'Discount Lookup'!J:K,2)*G1656*(1-$AC$1786)*(1+$AC$1788)),IF(AD1656="NVP",(VLOOKUP(A1656,'Discount Lookup'!J:K,2)*G1656*(1-$AC$1786)*(1+$AC$1788)),IF(AD1656="free","re-planting",IF(G1656=0,"",IF($AD$8="",IF(AD1656="me","not NVP, by",IF(AD1656="",IF(G1656&gt;0,(VLOOKUP(A1656,'Discount Lookup'!J:K,2)*G1656*(1-$AC$1786)*(1+$AC$1788)),""),"")),"not NVP, by"))))))))</f>
        <v/>
      </c>
      <c r="AC1656" s="830"/>
      <c r="AD1656" s="375" t="str">
        <f t="shared" si="4002"/>
        <v/>
      </c>
      <c r="AE1656" s="833" t="str">
        <f t="shared" ref="AE1656:AE1660" si="4027">IF(G1656&gt;0,(CONCATENATE((G1656)," quantity, ",(A1656)," ",B1656)),"")</f>
        <v/>
      </c>
      <c r="AF1656" s="833"/>
      <c r="AG1656" s="833"/>
      <c r="AH1656" s="91" t="str">
        <f>IF(AD1656="free",0,IF(AD1656="me","",IF(G1656&gt;0,(VLOOKUP(A1656,'Discount Lookup'!J:K,2)*G1656),"")))</f>
        <v/>
      </c>
      <c r="AI1656" s="92" t="str">
        <f t="shared" si="3903"/>
        <v/>
      </c>
      <c r="AJ1656" s="828" t="str">
        <f t="shared" si="3896"/>
        <v/>
      </c>
      <c r="AK1656" s="828"/>
      <c r="AL1656" s="313" t="str">
        <f t="shared" si="3938"/>
        <v/>
      </c>
      <c r="AM1656" s="312"/>
      <c r="AN1656" s="101"/>
      <c r="AO1656" s="101"/>
      <c r="AP1656" s="101"/>
      <c r="AQ1656" s="101"/>
      <c r="AR1656" s="101"/>
      <c r="AS1656" s="101"/>
      <c r="AT1656" s="101"/>
    </row>
    <row r="1657" spans="1:46" ht="12.95" customHeight="1">
      <c r="A1657" s="383">
        <v>3</v>
      </c>
      <c r="B1657" s="158" t="s">
        <v>50</v>
      </c>
      <c r="C1657" s="168" t="s">
        <v>136</v>
      </c>
      <c r="D1657" s="161" t="s">
        <v>86</v>
      </c>
      <c r="E1657" s="162">
        <v>24.95</v>
      </c>
      <c r="F1657" s="713" t="s">
        <v>1306</v>
      </c>
      <c r="G1657" s="357">
        <v>0</v>
      </c>
      <c r="H1657" s="748" t="str">
        <f t="shared" ref="H1657:H1659" si="4028">IF(G1657=0,"",IF(F1657="Qty=",IF(G1657=1,"plant","plants"),IF(F1657&gt;0.0001,"warranty","Error")))</f>
        <v/>
      </c>
      <c r="I1657" s="592">
        <f t="shared" ref="I1657:I1659" si="4029">IF(F1657="Qty=",(E1657*G1657),((E1657*(1-F1657))*G1657))</f>
        <v>0</v>
      </c>
      <c r="J1657" s="592">
        <f>IF(H1657="warranty",0,(I1657*($J$1782)))</f>
        <v>0</v>
      </c>
      <c r="K1657" s="834">
        <f t="shared" ref="K1657:K1659" si="4030">I1657+J1657</f>
        <v>0</v>
      </c>
      <c r="L1657" s="834"/>
      <c r="M1657" s="832" t="str">
        <f>IF($H$1784=0,"",IF(G1657=0,"",IF(F1657="Qty=",CONCATENATE("$",ROUND(K1657*(1-$H$1784),2)," with ",($H$1784*100),"% discount"),CONCATENATE("$",ROUND(K1657*(1-$H$1784),2)," with ",(($H$1784*100+F1657*100)-($H$1784*100*F1657)),IF(F1657&gt;0,"% discounts",IF($H$1781&gt;0,"% discounts","% discount"))))))</f>
        <v/>
      </c>
      <c r="N1657" s="832"/>
      <c r="O1657" s="832"/>
      <c r="P1657" s="832"/>
      <c r="Q1657" s="832"/>
      <c r="R1657" s="832"/>
      <c r="S1657" s="303">
        <f t="shared" ref="S1657" si="4031">E1657*G1657</f>
        <v>0</v>
      </c>
      <c r="T1657" s="541">
        <f>VLOOKUP(A1657,'Discount Lookup'!D:E,2,FALSE)*G1657</f>
        <v>0</v>
      </c>
      <c r="U1657" s="83">
        <f>VLOOKUP(A1657,'Discount Lookup'!G:H,2,FALSE)*G1657</f>
        <v>0</v>
      </c>
      <c r="V1657" s="100">
        <f>E1657*($J$1782)*G1657</f>
        <v>0</v>
      </c>
      <c r="W1657" s="100">
        <f t="shared" ref="W1657" si="4032">I1657</f>
        <v>0</v>
      </c>
      <c r="X1657" s="100" t="b">
        <f>IF(G1657&gt;0,IF(AD1657="me","",G1657))</f>
        <v>0</v>
      </c>
      <c r="Y1657" s="201"/>
      <c r="Z1657" s="829" t="str">
        <f t="shared" si="3894"/>
        <v/>
      </c>
      <c r="AA1657" s="829"/>
      <c r="AB1657" s="830" t="str">
        <f>IF(G1657=0,"",IF(AD1657="free","re-planting",IF(AD1657="me","not NVP, by",IF($AD$8="yes",(VLOOKUP(A1657,'Discount Lookup'!J:K,2)*G1657*(1-$AC$1786)*(1+$AC$1788)),IF(AD1657="NVP",(VLOOKUP(A1657,'Discount Lookup'!J:K,2)*G1657*(1-$AC$1786)*(1+$AC$1788)),IF(AD1657="free","re-planting",IF(G1657=0,"",IF($AD$8="",IF(AD1657="me","not NVP, by",IF(AD1657="",IF(G1657&gt;0,(VLOOKUP(A1657,'Discount Lookup'!J:K,2)*G1657*(1-$AC$1786)*(1+$AC$1788)),""),"")),"not NVP, by"))))))))</f>
        <v/>
      </c>
      <c r="AC1657" s="830"/>
      <c r="AD1657" s="375" t="str">
        <f t="shared" si="4002"/>
        <v/>
      </c>
      <c r="AE1657" s="833" t="str">
        <f t="shared" si="4027"/>
        <v/>
      </c>
      <c r="AF1657" s="833"/>
      <c r="AG1657" s="833"/>
      <c r="AH1657" s="91" t="str">
        <f>IF(AD1657="free",0,IF(AD1657="me","",IF(G1657&gt;0,(VLOOKUP(A1657,'Discount Lookup'!J:K,2)*G1657),"")))</f>
        <v/>
      </c>
      <c r="AI1657" s="92" t="str">
        <f t="shared" si="3903"/>
        <v/>
      </c>
      <c r="AJ1657" s="828" t="str">
        <f t="shared" si="3896"/>
        <v/>
      </c>
      <c r="AK1657" s="828"/>
      <c r="AL1657" s="313" t="str">
        <f t="shared" si="3938"/>
        <v/>
      </c>
      <c r="AM1657" s="312"/>
      <c r="AN1657" s="101"/>
      <c r="AO1657" s="101"/>
      <c r="AP1657" s="101"/>
      <c r="AQ1657" s="101"/>
      <c r="AR1657" s="101"/>
      <c r="AS1657" s="101"/>
      <c r="AT1657" s="101"/>
    </row>
    <row r="1658" spans="1:46" ht="12.95" customHeight="1">
      <c r="A1658" s="383">
        <v>3</v>
      </c>
      <c r="B1658" s="158" t="s">
        <v>50</v>
      </c>
      <c r="C1658" s="168" t="s">
        <v>236</v>
      </c>
      <c r="D1658" s="161" t="s">
        <v>62</v>
      </c>
      <c r="E1658" s="162">
        <v>22.95</v>
      </c>
      <c r="F1658" s="713" t="s">
        <v>1306</v>
      </c>
      <c r="G1658" s="357">
        <v>0</v>
      </c>
      <c r="H1658" s="748" t="str">
        <f t="shared" ref="H1658" si="4033">IF(G1658=0,"",IF(F1658="Qty=",IF(G1658=1,"plant","plants"),IF(F1658&gt;0.0001,"warranty","Error")))</f>
        <v/>
      </c>
      <c r="I1658" s="592">
        <f t="shared" ref="I1658" si="4034">IF(F1658="Qty=",(E1658*G1658),((E1658*(1-F1658))*G1658))</f>
        <v>0</v>
      </c>
      <c r="J1658" s="592">
        <f>IF(H1658="warranty",0,(I1658*($J$1782)))</f>
        <v>0</v>
      </c>
      <c r="K1658" s="834">
        <f t="shared" si="4030"/>
        <v>0</v>
      </c>
      <c r="L1658" s="834"/>
      <c r="M1658" s="832" t="str">
        <f>IF($H$1784=0,"",IF(G1658=0,"",IF(F1658="Qty=",CONCATENATE("$",ROUND(K1658*(1-$H$1784),2)," with ",($H$1784*100),"% discount"),CONCATENATE("$",ROUND(K1658*(1-$H$1784),2)," with ",(($H$1784*100+F1658*100)-($H$1784*100*F1658)),IF(F1658&gt;0,"% discounts",IF($H$1781&gt;0,"% discounts","% discount"))))))</f>
        <v/>
      </c>
      <c r="N1658" s="832"/>
      <c r="O1658" s="832"/>
      <c r="P1658" s="832"/>
      <c r="Q1658" s="832"/>
      <c r="R1658" s="832"/>
      <c r="S1658" s="303">
        <f t="shared" ref="S1658" si="4035">E1658*G1658</f>
        <v>0</v>
      </c>
      <c r="T1658" s="541">
        <f>VLOOKUP(A1658,'Discount Lookup'!D:E,2,FALSE)*G1658</f>
        <v>0</v>
      </c>
      <c r="U1658" s="83">
        <f>VLOOKUP(A1658,'Discount Lookup'!G:H,2,FALSE)*G1658</f>
        <v>0</v>
      </c>
      <c r="V1658" s="100">
        <f>E1658*($J$1782)*G1658</f>
        <v>0</v>
      </c>
      <c r="W1658" s="100">
        <f t="shared" ref="W1658" si="4036">I1658</f>
        <v>0</v>
      </c>
      <c r="X1658" s="100" t="b">
        <f>IF(G1658&gt;0,IF(AD1658="me","",G1658))</f>
        <v>0</v>
      </c>
      <c r="Y1658" s="201"/>
      <c r="Z1658" s="829" t="str">
        <f t="shared" ref="Z1658" si="4037">IF(G1658=0,"",IF(AD1658="me","",IF($AD$8="me","",IF(AD1658="free","warranty",IF($AD$8="yes","NVP planting:","to NVP install:")))))</f>
        <v/>
      </c>
      <c r="AA1658" s="829"/>
      <c r="AB1658" s="830" t="str">
        <f>IF(G1658=0,"",IF(AD1658="free","re-planting",IF(AD1658="me","not NVP, by",IF($AD$8="yes",(VLOOKUP(A1658,'Discount Lookup'!J:K,2)*G1658*(1-$AC$1786)*(1+$AC$1788)),IF(AD1658="NVP",(VLOOKUP(A1658,'Discount Lookup'!J:K,2)*G1658*(1-$AC$1786)*(1+$AC$1788)),IF(AD1658="free","re-planting",IF(G1658=0,"",IF($AD$8="",IF(AD1658="me","not NVP, by",IF(AD1658="",IF(G1658&gt;0,(VLOOKUP(A1658,'Discount Lookup'!J:K,2)*G1658*(1-$AC$1786)*(1+$AC$1788)),""),"")),"not NVP, by"))))))))</f>
        <v/>
      </c>
      <c r="AC1658" s="830"/>
      <c r="AD1658" s="375" t="str">
        <f t="shared" si="4002"/>
        <v/>
      </c>
      <c r="AE1658" s="833" t="str">
        <f t="shared" ref="AE1658" si="4038">IF(G1658&gt;0,(CONCATENATE((G1658)," quantity, ",(A1658)," ",B1658)),"")</f>
        <v/>
      </c>
      <c r="AF1658" s="833"/>
      <c r="AG1658" s="833"/>
      <c r="AH1658" s="91" t="str">
        <f>IF(AD1658="free",0,IF(AD1658="me","",IF(G1658&gt;0,(VLOOKUP(A1658,'Discount Lookup'!J:K,2)*G1658),"")))</f>
        <v/>
      </c>
      <c r="AI1658" s="92" t="str">
        <f t="shared" si="3903"/>
        <v/>
      </c>
      <c r="AJ1658" s="828" t="str">
        <f t="shared" ref="AJ1658" si="4039">IF(G1658=0,"",IF(AD1658="me","  delivery-only",IF($AD$8="me","  delivery-only",CONCATENATE(" $",ROUND(AI1658/G1658,2)," each"))))</f>
        <v/>
      </c>
      <c r="AK1658" s="828"/>
      <c r="AL1658" s="313" t="str">
        <f t="shared" si="3938"/>
        <v/>
      </c>
      <c r="AM1658" s="312"/>
      <c r="AN1658" s="101"/>
      <c r="AO1658" s="101"/>
      <c r="AP1658" s="101"/>
      <c r="AQ1658" s="101"/>
      <c r="AR1658" s="101"/>
      <c r="AS1658" s="101"/>
      <c r="AT1658" s="101"/>
    </row>
    <row r="1659" spans="1:46" ht="12.95" customHeight="1">
      <c r="A1659" s="383">
        <v>3</v>
      </c>
      <c r="B1659" s="158" t="s">
        <v>50</v>
      </c>
      <c r="C1659" s="168" t="s">
        <v>136</v>
      </c>
      <c r="D1659" s="161" t="s">
        <v>90</v>
      </c>
      <c r="E1659" s="162">
        <v>29.95</v>
      </c>
      <c r="F1659" s="713" t="s">
        <v>1306</v>
      </c>
      <c r="G1659" s="357">
        <v>0</v>
      </c>
      <c r="H1659" s="748" t="str">
        <f t="shared" si="4028"/>
        <v/>
      </c>
      <c r="I1659" s="592">
        <f t="shared" si="4029"/>
        <v>0</v>
      </c>
      <c r="J1659" s="592">
        <f>IF(H1659="warranty",0,(I1659*($J$1782)))</f>
        <v>0</v>
      </c>
      <c r="K1659" s="834">
        <f t="shared" si="4030"/>
        <v>0</v>
      </c>
      <c r="L1659" s="834"/>
      <c r="M1659" s="832" t="str">
        <f>IF($H$1784=0,"",IF(G1659=0,"",IF(F1659="Qty=",CONCATENATE("$",ROUND(K1659*(1-$H$1784),2)," with ",($H$1784*100),"% discount"),CONCATENATE("$",ROUND(K1659*(1-$H$1784),2)," with ",(($H$1784*100+F1659*100)-($H$1784*100*F1659)),IF(F1659&gt;0,"% discounts",IF($H$1781&gt;0,"% discounts","% discount"))))))</f>
        <v/>
      </c>
      <c r="N1659" s="832"/>
      <c r="O1659" s="832"/>
      <c r="P1659" s="832"/>
      <c r="Q1659" s="832"/>
      <c r="R1659" s="832"/>
      <c r="S1659" s="303">
        <f t="shared" ref="S1659" si="4040">E1659*G1659</f>
        <v>0</v>
      </c>
      <c r="T1659" s="541">
        <f>VLOOKUP(A1659,'Discount Lookup'!D:E,2,FALSE)*G1659</f>
        <v>0</v>
      </c>
      <c r="U1659" s="83">
        <f>VLOOKUP(A1659,'Discount Lookup'!G:H,2,FALSE)*G1659</f>
        <v>0</v>
      </c>
      <c r="V1659" s="100">
        <f>E1659*($J$1782)*G1659</f>
        <v>0</v>
      </c>
      <c r="W1659" s="100">
        <f t="shared" ref="W1659" si="4041">I1659</f>
        <v>0</v>
      </c>
      <c r="X1659" s="100" t="b">
        <f>IF(G1659&gt;0,IF(AD1659="me","",G1659))</f>
        <v>0</v>
      </c>
      <c r="Y1659" s="201"/>
      <c r="Z1659" s="829" t="str">
        <f t="shared" si="3894"/>
        <v/>
      </c>
      <c r="AA1659" s="829"/>
      <c r="AB1659" s="830" t="str">
        <f>IF(G1659=0,"",IF(AD1659="free","re-planting",IF(AD1659="me","not NVP, by",IF($AD$8="yes",(VLOOKUP(A1659,'Discount Lookup'!J:K,2)*G1659*(1-$AC$1786)*(1+$AC$1788)),IF(AD1659="NVP",(VLOOKUP(A1659,'Discount Lookup'!J:K,2)*G1659*(1-$AC$1786)*(1+$AC$1788)),IF(AD1659="free","re-planting",IF(G1659=0,"",IF($AD$8="",IF(AD1659="me","not NVP, by",IF(AD1659="",IF(G1659&gt;0,(VLOOKUP(A1659,'Discount Lookup'!J:K,2)*G1659*(1-$AC$1786)*(1+$AC$1788)),""),"")),"not NVP, by"))))))))</f>
        <v/>
      </c>
      <c r="AC1659" s="830"/>
      <c r="AD1659" s="375" t="str">
        <f t="shared" si="4002"/>
        <v/>
      </c>
      <c r="AE1659" s="833" t="str">
        <f t="shared" si="4027"/>
        <v/>
      </c>
      <c r="AF1659" s="833"/>
      <c r="AG1659" s="833"/>
      <c r="AH1659" s="91" t="str">
        <f>IF(AD1659="free",0,IF(AD1659="me","",IF(G1659&gt;0,(VLOOKUP(A1659,'Discount Lookup'!J:K,2)*G1659),"")))</f>
        <v/>
      </c>
      <c r="AI1659" s="92" t="str">
        <f t="shared" si="3903"/>
        <v/>
      </c>
      <c r="AJ1659" s="828" t="str">
        <f t="shared" si="3896"/>
        <v/>
      </c>
      <c r="AK1659" s="828"/>
      <c r="AL1659" s="313" t="str">
        <f t="shared" si="3938"/>
        <v/>
      </c>
      <c r="AM1659" s="312"/>
      <c r="AN1659" s="101"/>
      <c r="AO1659" s="101"/>
      <c r="AP1659" s="101"/>
      <c r="AQ1659" s="101"/>
      <c r="AR1659" s="101"/>
      <c r="AS1659" s="101"/>
      <c r="AT1659" s="101"/>
    </row>
    <row r="1660" spans="1:46" ht="12.95" customHeight="1">
      <c r="A1660" s="477"/>
      <c r="B1660" s="103" t="s">
        <v>863</v>
      </c>
      <c r="C1660" s="118"/>
      <c r="D1660" s="118"/>
      <c r="E1660" s="119"/>
      <c r="F1660" s="711"/>
      <c r="G1660" s="358"/>
      <c r="H1660" s="745"/>
      <c r="I1660" s="119"/>
      <c r="J1660" s="119"/>
      <c r="K1660" s="609"/>
      <c r="L1660" s="609"/>
      <c r="M1660" s="121"/>
      <c r="N1660" s="122" t="s">
        <v>277</v>
      </c>
      <c r="O1660" s="123"/>
      <c r="P1660" s="124"/>
      <c r="Q1660" s="124"/>
      <c r="R1660" s="83"/>
      <c r="S1660" s="82">
        <f>E1660*G1660</f>
        <v>0</v>
      </c>
      <c r="T1660" s="540"/>
      <c r="U1660" s="83"/>
      <c r="V1660" s="100" t="b">
        <f>IF(G1660&gt;0,IF(AD1660="me","",G1660))</f>
        <v>0</v>
      </c>
      <c r="W1660" s="100"/>
      <c r="X1660" s="100"/>
      <c r="Y1660" s="201"/>
      <c r="Z1660" s="829" t="str">
        <f t="shared" si="3894"/>
        <v/>
      </c>
      <c r="AA1660" s="829"/>
      <c r="AB1660" s="830" t="str">
        <f>IF(G1660=0,"",IF(AD1660="free","re-planting",IF(AD1660="me","not NVP, by",IF($AD$8="yes",(VLOOKUP(A1660,'Discount Lookup'!J:K,2)*G1660*(1-$AC$1786)*(1+$AC$1788)),IF(AD1660="NVP",(VLOOKUP(A1660,'Discount Lookup'!J:K,2)*G1660*(1-$AC$1786)*(1+$AC$1788)),IF(AD1660="free","re-planting",IF(G1660=0,"",IF($AD$8="",IF(AD1660="me","not NVP, by",IF(AD1660="",IF(G1660&gt;0,(VLOOKUP(A1660,'Discount Lookup'!J:K,2)*G1660*(1-$AC$1786)*(1+$AC$1788)),""),"")),"not NVP, by"))))))))</f>
        <v/>
      </c>
      <c r="AC1660" s="830"/>
      <c r="AD1660" s="375" t="str">
        <f t="shared" si="4002"/>
        <v/>
      </c>
      <c r="AE1660" s="833" t="str">
        <f t="shared" si="4027"/>
        <v/>
      </c>
      <c r="AF1660" s="833"/>
      <c r="AG1660" s="833"/>
      <c r="AH1660" s="91" t="str">
        <f>IF(AD1660="free",0,IF(AD1660="me","",IF(G1660&gt;0,(VLOOKUP(A1660,'Discount Lookup'!J:K,2)*G1660),"")))</f>
        <v/>
      </c>
      <c r="AI1660" s="92" t="str">
        <f t="shared" si="3903"/>
        <v/>
      </c>
      <c r="AJ1660" s="828" t="str">
        <f t="shared" si="3896"/>
        <v/>
      </c>
      <c r="AK1660" s="828"/>
      <c r="AL1660" s="313" t="str">
        <f t="shared" si="3938"/>
        <v/>
      </c>
      <c r="AM1660" s="312"/>
      <c r="AN1660" s="101"/>
      <c r="AO1660" s="101"/>
      <c r="AP1660" s="101"/>
      <c r="AQ1660" s="101"/>
      <c r="AR1660" s="101"/>
      <c r="AS1660" s="101"/>
      <c r="AT1660" s="101"/>
    </row>
    <row r="1661" spans="1:46" ht="12.95" customHeight="1">
      <c r="A1661" s="836" t="s">
        <v>864</v>
      </c>
      <c r="B1661" s="837"/>
      <c r="C1661" s="837"/>
      <c r="D1661" s="837"/>
      <c r="E1661" s="837"/>
      <c r="F1661" s="837"/>
      <c r="G1661" s="837"/>
      <c r="H1661" s="775" t="s">
        <v>602</v>
      </c>
      <c r="I1661" s="349" t="s">
        <v>280</v>
      </c>
      <c r="J1661" s="157"/>
      <c r="K1661" s="611" t="s">
        <v>45</v>
      </c>
      <c r="L1661" s="630" t="s">
        <v>46</v>
      </c>
      <c r="M1661" s="157"/>
      <c r="N1661" s="158" t="s">
        <v>98</v>
      </c>
      <c r="O1661" s="158"/>
      <c r="P1661" s="158"/>
      <c r="Q1661" s="158"/>
      <c r="R1661" s="835" t="s">
        <v>49</v>
      </c>
      <c r="S1661" s="835"/>
      <c r="T1661" s="835"/>
      <c r="U1661" s="835"/>
      <c r="V1661" s="100" t="b">
        <f>IF(G1661&gt;0,IF(AD1661="me","",G1661))</f>
        <v>0</v>
      </c>
      <c r="W1661" s="100"/>
      <c r="X1661" s="100"/>
      <c r="Y1661" s="201"/>
      <c r="Z1661" s="829" t="str">
        <f t="shared" ref="Z1661:Z1713" si="4042">IF(G1661=0,"",IF(AD1661="me","",IF($AD$8="me","",IF(AD1661="free","warranty",IF($AD$8="yes","NVP planting:","to NVP install:")))))</f>
        <v/>
      </c>
      <c r="AA1661" s="829"/>
      <c r="AB1661" s="830" t="str">
        <f>IF(G1661=0,"",IF(AD1661="free","re-planting",IF(AD1661="me","not NVP, by",IF($AD$8="yes",(VLOOKUP(A1661,'Discount Lookup'!J:K,2)*G1661*(1-$AC$1786)*(1+$AC$1788)),IF(AD1661="NVP",(VLOOKUP(A1661,'Discount Lookup'!J:K,2)*G1661*(1-$AC$1786)*(1+$AC$1788)),IF(AD1661="free","re-planting",IF(G1661=0,"",IF($AD$8="",IF(AD1661="me","not NVP, by",IF(AD1661="",IF(G1661&gt;0,(VLOOKUP(A1661,'Discount Lookup'!J:K,2)*G1661*(1-$AC$1786)*(1+$AC$1788)),""),"")),"not NVP, by"))))))))</f>
        <v/>
      </c>
      <c r="AC1661" s="830"/>
      <c r="AD1661" s="375" t="str">
        <f t="shared" si="4002"/>
        <v/>
      </c>
      <c r="AE1661" s="833" t="str">
        <f t="shared" si="3957"/>
        <v/>
      </c>
      <c r="AF1661" s="833"/>
      <c r="AG1661" s="833"/>
      <c r="AH1661" s="91">
        <f>IF(AD1661="free",0,IF(AD1661="me",0,IF(G1661&gt;0,(VLOOKUP(A1661,'Discount Lookup'!J:K,2)*G1661),0)))</f>
        <v>0</v>
      </c>
      <c r="AI1661" s="92" t="str">
        <f t="shared" si="3903"/>
        <v/>
      </c>
      <c r="AJ1661" s="828" t="str">
        <f t="shared" ref="AJ1661:AJ1713" si="4043">IF(G1661=0,"",IF(AD1661="me","  delivery-only",IF($AD$8="me","  delivery-only",CONCATENATE(" $",ROUND(AI1661/G1661,2)," each"))))</f>
        <v/>
      </c>
      <c r="AK1661" s="828"/>
      <c r="AL1661" s="313" t="str">
        <f t="shared" si="3938"/>
        <v/>
      </c>
      <c r="AM1661" s="312"/>
      <c r="AN1661" s="101"/>
      <c r="AO1661" s="101"/>
      <c r="AP1661" s="101"/>
      <c r="AQ1661" s="101"/>
      <c r="AR1661" s="101"/>
      <c r="AS1661" s="101"/>
      <c r="AT1661" s="101"/>
    </row>
    <row r="1662" spans="1:46" ht="12.95" customHeight="1">
      <c r="A1662" s="383">
        <v>3</v>
      </c>
      <c r="B1662" s="158" t="s">
        <v>50</v>
      </c>
      <c r="C1662" s="168" t="s">
        <v>236</v>
      </c>
      <c r="D1662" s="161" t="s">
        <v>62</v>
      </c>
      <c r="E1662" s="162">
        <v>20.95</v>
      </c>
      <c r="F1662" s="713" t="s">
        <v>1306</v>
      </c>
      <c r="G1662" s="357">
        <v>0</v>
      </c>
      <c r="H1662" s="748" t="str">
        <f t="shared" ref="H1662" si="4044">IF(G1662=0,"",IF(F1662="Qty=",IF(G1662=1,"plant","plants"),IF(F1662&gt;0.0001,"warranty","Error")))</f>
        <v/>
      </c>
      <c r="I1662" s="592">
        <f t="shared" ref="I1662" si="4045">IF(F1662="Qty=",(E1662*G1662),((E1662*(1-F1662))*G1662))</f>
        <v>0</v>
      </c>
      <c r="J1662" s="592">
        <f>IF(H1662="warranty",0,(I1662*($J$1782)))</f>
        <v>0</v>
      </c>
      <c r="K1662" s="834">
        <f t="shared" ref="K1662" si="4046">I1662+J1662</f>
        <v>0</v>
      </c>
      <c r="L1662" s="834"/>
      <c r="M1662" s="832" t="str">
        <f>IF($H$1784=0,"",IF(G1662=0,"",IF(F1662="Qty=",CONCATENATE("$",ROUND(K1662*(1-$H$1784),2)," with ",($H$1784*100),"% discount"),CONCATENATE("$",ROUND(K1662*(1-$H$1784),2)," with ",(($H$1784*100+F1662*100)-($H$1784*100*F1662)),IF(F1662&gt;0,"% discounts",IF($H$1781&gt;0,"% discounts","% discount"))))))</f>
        <v/>
      </c>
      <c r="N1662" s="832"/>
      <c r="O1662" s="832"/>
      <c r="P1662" s="832"/>
      <c r="Q1662" s="832"/>
      <c r="R1662" s="832"/>
      <c r="S1662" s="303">
        <f t="shared" ref="S1662" si="4047">E1662*G1662</f>
        <v>0</v>
      </c>
      <c r="T1662" s="541">
        <f>VLOOKUP(A1662,'Discount Lookup'!D:E,2,FALSE)*G1662</f>
        <v>0</v>
      </c>
      <c r="U1662" s="83">
        <f>VLOOKUP(A1662,'Discount Lookup'!G:H,2,FALSE)*G1662</f>
        <v>0</v>
      </c>
      <c r="V1662" s="100">
        <f>E1662*($J$1782)*G1662</f>
        <v>0</v>
      </c>
      <c r="W1662" s="100">
        <f t="shared" ref="W1662" si="4048">I1662</f>
        <v>0</v>
      </c>
      <c r="X1662" s="100" t="b">
        <f>IF(G1662&gt;0,IF(AD1662="me","",G1662))</f>
        <v>0</v>
      </c>
      <c r="Y1662" s="201"/>
      <c r="Z1662" s="829" t="str">
        <f t="shared" si="4042"/>
        <v/>
      </c>
      <c r="AA1662" s="829"/>
      <c r="AB1662" s="830" t="str">
        <f>IF(G1662=0,"",IF(AD1662="free","re-planting",IF(AD1662="me","not NVP, by",IF($AD$8="yes",(VLOOKUP(A1662,'Discount Lookup'!J:K,2)*G1662*(1-$AC$1786)*(1+$AC$1788)),IF(AD1662="NVP",(VLOOKUP(A1662,'Discount Lookup'!J:K,2)*G1662*(1-$AC$1786)*(1+$AC$1788)),IF(AD1662="free","re-planting",IF(G1662=0,"",IF($AD$8="",IF(AD1662="me","not NVP, by",IF(AD1662="",IF(G1662&gt;0,(VLOOKUP(A1662,'Discount Lookup'!J:K,2)*G1662*(1-$AC$1786)*(1+$AC$1788)),""),"")),"not NVP, by"))))))))</f>
        <v/>
      </c>
      <c r="AC1662" s="830"/>
      <c r="AD1662" s="375" t="str">
        <f t="shared" ref="AD1662" si="4049">IF(G1662=0,"",IF($AD$8="me","me",IF(H1662="warranty","free",IF($AD$8="yes","NVP",""))))</f>
        <v/>
      </c>
      <c r="AE1662" s="833" t="str">
        <f t="shared" si="3957"/>
        <v/>
      </c>
      <c r="AF1662" s="833"/>
      <c r="AG1662" s="833"/>
      <c r="AH1662" s="91" t="str">
        <f>IF(AD1662="free",0,IF(AD1662="me","",IF(G1662&gt;0,(VLOOKUP(A1662,'Discount Lookup'!J:K,2)*G1662),"")))</f>
        <v/>
      </c>
      <c r="AI1662" s="92" t="str">
        <f t="shared" si="3903"/>
        <v/>
      </c>
      <c r="AJ1662" s="828" t="str">
        <f t="shared" si="4043"/>
        <v/>
      </c>
      <c r="AK1662" s="828"/>
      <c r="AL1662" s="313" t="str">
        <f t="shared" si="3938"/>
        <v/>
      </c>
      <c r="AM1662" s="312"/>
      <c r="AN1662" s="101"/>
      <c r="AO1662" s="101"/>
      <c r="AP1662" s="101"/>
      <c r="AQ1662" s="101"/>
      <c r="AR1662" s="101"/>
      <c r="AS1662" s="101"/>
      <c r="AT1662" s="101"/>
    </row>
    <row r="1663" spans="1:46" ht="12.95" customHeight="1">
      <c r="A1663" s="481"/>
      <c r="B1663" s="103" t="s">
        <v>865</v>
      </c>
      <c r="G1663" s="361"/>
      <c r="H1663" s="749"/>
      <c r="M1663" s="110"/>
      <c r="N1663" s="122" t="s">
        <v>176</v>
      </c>
      <c r="O1663" s="48"/>
      <c r="P1663" s="111"/>
      <c r="Q1663" s="111"/>
      <c r="R1663" s="48"/>
      <c r="S1663" s="82">
        <f>E1663*G1663</f>
        <v>0</v>
      </c>
      <c r="T1663" s="540"/>
      <c r="U1663" s="83"/>
      <c r="V1663" s="100" t="b">
        <f>IF(G1663&gt;0,IF(AD1663="me","",G1663))</f>
        <v>0</v>
      </c>
      <c r="W1663" s="100"/>
      <c r="X1663" s="100"/>
      <c r="Y1663" s="201"/>
      <c r="Z1663" s="829" t="str">
        <f t="shared" si="4042"/>
        <v/>
      </c>
      <c r="AA1663" s="829"/>
      <c r="AB1663" s="830" t="str">
        <f>IF(G1663=0,"",IF(AD1663="free","re-planting",IF(AD1663="me","not NVP, by",IF($AD$8="yes",(VLOOKUP(A1663,'Discount Lookup'!J:K,2)*G1663*(1-$AC$1786)*(1+$AC$1788)),IF(AD1663="NVP",(VLOOKUP(A1663,'Discount Lookup'!J:K,2)*G1663*(1-$AC$1786)*(1+$AC$1788)),IF(AD1663="free","re-planting",IF(G1663=0,"",IF($AD$8="",IF(AD1663="me","not NVP, by",IF(AD1663="",IF(G1663&gt;0,(VLOOKUP(A1663,'Discount Lookup'!J:K,2)*G1663*(1-$AC$1786)*(1+$AC$1788)),""),"")),"not NVP, by"))))))))</f>
        <v/>
      </c>
      <c r="AC1663" s="830"/>
      <c r="AD1663" s="375" t="str">
        <f t="shared" si="4002"/>
        <v/>
      </c>
      <c r="AE1663" s="833" t="str">
        <f t="shared" si="3957"/>
        <v/>
      </c>
      <c r="AF1663" s="833"/>
      <c r="AG1663" s="833"/>
      <c r="AH1663" s="91">
        <f>IF(AD1663="free",0,IF(AD1663="me",0,IF(G1663&gt;0,(VLOOKUP(A1663,'Discount Lookup'!J:K,2)*G1663),0)))</f>
        <v>0</v>
      </c>
      <c r="AI1663" s="92" t="str">
        <f t="shared" ref="AI1663:AI1725" si="4050">IF(G1663=0,"",IF(AD1663="free",(K1663*(1-$H$1784)),IF($AD$8="me",(K1663*(1-$H$1784)),IF(AD1663="me",(K1663*(1-$H$1784)),(K1663*(1-$H$1784))+AB1663))))</f>
        <v/>
      </c>
      <c r="AJ1663" s="828" t="str">
        <f t="shared" si="4043"/>
        <v/>
      </c>
      <c r="AK1663" s="828"/>
      <c r="AL1663" s="313" t="str">
        <f t="shared" si="3938"/>
        <v/>
      </c>
      <c r="AM1663" s="312"/>
      <c r="AN1663" s="101"/>
      <c r="AO1663" s="101"/>
      <c r="AP1663" s="101"/>
      <c r="AQ1663" s="101"/>
      <c r="AR1663" s="101"/>
      <c r="AS1663" s="101"/>
      <c r="AT1663" s="101"/>
    </row>
    <row r="1664" spans="1:46" ht="12.95" customHeight="1">
      <c r="A1664" s="836" t="s">
        <v>1627</v>
      </c>
      <c r="B1664" s="837"/>
      <c r="C1664" s="837"/>
      <c r="D1664" s="837"/>
      <c r="E1664" s="837"/>
      <c r="F1664" s="837"/>
      <c r="G1664" s="837"/>
      <c r="H1664" s="775" t="s">
        <v>614</v>
      </c>
      <c r="I1664" s="349" t="s">
        <v>280</v>
      </c>
      <c r="J1664" s="157"/>
      <c r="K1664" s="816" t="s">
        <v>45</v>
      </c>
      <c r="L1664" s="817" t="s">
        <v>46</v>
      </c>
      <c r="M1664" s="157"/>
      <c r="N1664" s="158" t="s">
        <v>98</v>
      </c>
      <c r="O1664" s="158"/>
      <c r="P1664" s="158"/>
      <c r="Q1664" s="158"/>
      <c r="R1664" s="157"/>
      <c r="S1664" s="170"/>
      <c r="T1664" s="547"/>
      <c r="U1664" s="159" t="s">
        <v>48</v>
      </c>
      <c r="V1664" s="100" t="b">
        <f>IF(G1664&gt;0,IF(AD1664="me","",G1664))</f>
        <v>0</v>
      </c>
      <c r="W1664" s="100"/>
      <c r="X1664" s="100"/>
      <c r="Y1664" s="201"/>
      <c r="Z1664" s="829" t="str">
        <f t="shared" ref="Z1664" si="4051">IF(G1664=0,"",IF(AD1664="me","",IF($AD$8="me","",IF(AD1664="free","warranty",IF($AD$8="yes","NVP planting:","to NVP install:")))))</f>
        <v/>
      </c>
      <c r="AA1664" s="829"/>
      <c r="AB1664" s="830" t="str">
        <f>IF(G1664=0,"",IF(AD1664="free","re-planting",IF(AD1664="me","not NVP, by",IF($AD$8="yes",(VLOOKUP(A1664,'Discount Lookup'!J:K,2)*G1664*(1-$AC$1786)*(1+$AC$1788)),IF(AD1664="NVP",(VLOOKUP(A1664,'Discount Lookup'!J:K,2)*G1664*(1-$AC$1786)*(1+$AC$1788)),IF(AD1664="free","re-planting",IF(G1664=0,"",IF($AD$8="",IF(AD1664="me","not NVP, by",IF(AD1664="",IF(G1664&gt;0,(VLOOKUP(A1664,'Discount Lookup'!J:K,2)*G1664*(1-$AC$1786)*(1+$AC$1788)),""),"")),"not NVP, by"))))))))</f>
        <v/>
      </c>
      <c r="AC1664" s="830"/>
      <c r="AD1664" s="375" t="str">
        <f>IF(G1664=0,"",IF($AD$8="me","me",IF(H1664="warranty","free",IF($AD$8="yes","NVP",""))))</f>
        <v/>
      </c>
      <c r="AE1664" s="833" t="str">
        <f>IF(G1664&gt;0,(CONCATENATE((G1664)," quantity, ",(A1664)," ",B1664)),"")</f>
        <v/>
      </c>
      <c r="AF1664" s="833"/>
      <c r="AG1664" s="833"/>
      <c r="AH1664" s="91">
        <f>IF(AD1664="free",0,IF(AD1664="me",0,IF(G1664&gt;0,(VLOOKUP(A1664,'Discount Lookup'!J:K,2)*G1664),0)))</f>
        <v>0</v>
      </c>
      <c r="AI1664" s="92" t="str">
        <f t="shared" si="4050"/>
        <v/>
      </c>
      <c r="AJ1664" s="828" t="str">
        <f>IF(G1664=0,"",IF(AD1664="me","  delivery-only",IF($AD$8="me","  delivery-only",CONCATENATE(" $",ROUND(AI1664/G1664,2)," each"))))</f>
        <v/>
      </c>
      <c r="AK1664" s="828"/>
      <c r="AL1664" s="313" t="str">
        <f t="shared" si="3938"/>
        <v/>
      </c>
      <c r="AM1664" s="312"/>
      <c r="AN1664" s="101"/>
      <c r="AO1664" s="101"/>
      <c r="AP1664" s="101"/>
      <c r="AQ1664" s="101"/>
      <c r="AR1664" s="101"/>
      <c r="AS1664" s="101"/>
      <c r="AT1664" s="101"/>
    </row>
    <row r="1665" spans="1:46" ht="12.95" customHeight="1">
      <c r="A1665" s="383">
        <v>1</v>
      </c>
      <c r="B1665" s="158" t="s">
        <v>50</v>
      </c>
      <c r="C1665" s="168" t="s">
        <v>136</v>
      </c>
      <c r="D1665" s="161" t="s">
        <v>87</v>
      </c>
      <c r="E1665" s="162">
        <v>13.95</v>
      </c>
      <c r="F1665" s="713" t="s">
        <v>1306</v>
      </c>
      <c r="G1665" s="357">
        <v>0</v>
      </c>
      <c r="H1665" s="748" t="str">
        <f t="shared" ref="H1665" si="4052">IF(G1665=0,"",IF(F1665="Qty=",IF(G1665=1,"plant","plants"),IF(F1665&gt;0.0001,"warranty","Error")))</f>
        <v/>
      </c>
      <c r="I1665" s="592">
        <f t="shared" ref="I1665" si="4053">IF(F1665="Qty=",(E1665*G1665),((E1665*(1-F1665))*G1665))</f>
        <v>0</v>
      </c>
      <c r="J1665" s="592">
        <f>IF(H1665="warranty",0,(I1665*($J$1782)))</f>
        <v>0</v>
      </c>
      <c r="K1665" s="834">
        <f t="shared" ref="K1665" si="4054">I1665+J1665</f>
        <v>0</v>
      </c>
      <c r="L1665" s="834"/>
      <c r="M1665" s="832" t="str">
        <f>IF($H$1784=0,"",IF(G1665=0,"",IF(F1665="Qty=",CONCATENATE("$",ROUND(K1665*(1-$H$1784),2)," with ",($H$1784*100),"% discount"),CONCATENATE("$",ROUND(K1665*(1-$H$1784),2)," with ",(($H$1784*100+F1665*100)-($H$1784*100*F1665)),IF(F1665&gt;0,"% discounts",IF($H$1781&gt;0,"% discounts","% discount"))))))</f>
        <v/>
      </c>
      <c r="N1665" s="832"/>
      <c r="O1665" s="832"/>
      <c r="P1665" s="832"/>
      <c r="Q1665" s="832"/>
      <c r="R1665" s="832"/>
      <c r="S1665" s="303">
        <f t="shared" ref="S1665" si="4055">E1665*G1665</f>
        <v>0</v>
      </c>
      <c r="T1665" s="541">
        <f>VLOOKUP(A1665,'Discount Lookup'!D:E,2,FALSE)*G1665</f>
        <v>0</v>
      </c>
      <c r="U1665" s="83">
        <f>VLOOKUP(A1665,'Discount Lookup'!G:H,2,FALSE)*G1665</f>
        <v>0</v>
      </c>
      <c r="V1665" s="100">
        <f>E1665*($J$1782)*G1665</f>
        <v>0</v>
      </c>
      <c r="W1665" s="100">
        <f t="shared" ref="W1665" si="4056">I1665</f>
        <v>0</v>
      </c>
      <c r="X1665" s="100" t="b">
        <f>IF(G1665&gt;0,IF(AD1665="me","",G1665))</f>
        <v>0</v>
      </c>
      <c r="Y1665" s="201"/>
      <c r="Z1665" s="829" t="str">
        <f>IF(G1665=0,"",IF(AD1665="me","",IF($AD$8="me","",IF(AD1665="free","warranty",IF($AD$8="yes","NVP planting:","to NVP install:")))))</f>
        <v/>
      </c>
      <c r="AA1665" s="829"/>
      <c r="AB1665" s="830" t="str">
        <f>IF(G1665=0,"",IF(AD1665="free","re-planting",IF(AD1665="me","not NVP, by",IF($AD$8="yes",(VLOOKUP(A1665,'Discount Lookup'!J:K,2)*G1665*(1-$AC$1786)*(1+$AC$1788)),IF(AD1665="NVP",(VLOOKUP(A1665,'Discount Lookup'!J:K,2)*G1665*(1-$AC$1786)*(1+$AC$1788)),IF(AD1665="free","re-planting",IF(G1665=0,"",IF($AD$8="",IF(AD1665="me","not NVP, by",IF(AD1665="",IF(G1665&gt;0,(VLOOKUP(A1665,'Discount Lookup'!J:K,2)*G1665*(1-$AC$1786)*(1+$AC$1788)),""),"")),"not NVP, by"))))))))</f>
        <v/>
      </c>
      <c r="AC1665" s="830"/>
      <c r="AD1665" s="375" t="str">
        <f>IF(G1665=0,"",IF($AD$8="me","me",IF(H1665="warranty","free",IF($AD$8="yes","NVP",""))))</f>
        <v/>
      </c>
      <c r="AE1665" s="833" t="str">
        <f>IF(G1665&gt;0,(CONCATENATE((G1665)," quantity, ",(A1665)," ",B1665)),"")</f>
        <v/>
      </c>
      <c r="AF1665" s="833"/>
      <c r="AG1665" s="833"/>
      <c r="AH1665" s="91">
        <f>IF(AD1665="free",0,IF(AD1665="me",0,IF(G1665&gt;0,(VLOOKUP(A1665,'Discount Lookup'!J:K,2)*G1665),0)))</f>
        <v>0</v>
      </c>
      <c r="AI1665" s="92" t="str">
        <f t="shared" si="4050"/>
        <v/>
      </c>
      <c r="AJ1665" s="828" t="str">
        <f>IF(G1665=0,"",IF(AD1665="me","  delivery-only",IF($AD$8="me","  delivery-only",CONCATENATE(" $",ROUND(AI1665/G1665,2)," each"))))</f>
        <v/>
      </c>
      <c r="AK1665" s="828"/>
      <c r="AL1665" s="313" t="str">
        <f t="shared" si="3938"/>
        <v/>
      </c>
      <c r="AM1665" s="312"/>
      <c r="AN1665" s="101"/>
      <c r="AO1665" s="101"/>
      <c r="AP1665" s="101"/>
      <c r="AQ1665" s="101"/>
      <c r="AR1665" s="101"/>
      <c r="AS1665" s="101"/>
      <c r="AT1665" s="101"/>
    </row>
    <row r="1666" spans="1:46" ht="12.95" customHeight="1">
      <c r="A1666" s="474"/>
      <c r="B1666" s="103" t="s">
        <v>1628</v>
      </c>
      <c r="C1666" s="130"/>
      <c r="D1666" s="104"/>
      <c r="E1666" s="131"/>
      <c r="F1666" s="710"/>
      <c r="G1666" s="356"/>
      <c r="H1666" s="744"/>
      <c r="I1666" s="131"/>
      <c r="J1666" s="131"/>
      <c r="K1666" s="608"/>
      <c r="L1666" s="608"/>
      <c r="M1666" s="121"/>
      <c r="N1666" s="122" t="s">
        <v>277</v>
      </c>
      <c r="O1666" s="123"/>
      <c r="P1666" s="124"/>
      <c r="Q1666" s="124"/>
      <c r="R1666" s="83"/>
      <c r="S1666" s="82">
        <f>E1666*G1666</f>
        <v>0</v>
      </c>
      <c r="T1666" s="540"/>
      <c r="U1666" s="83"/>
      <c r="V1666" s="100" t="b">
        <f>IF(G1666&gt;0,IF(AD1666="me","",G1666))</f>
        <v>0</v>
      </c>
      <c r="W1666" s="100"/>
      <c r="X1666" s="100"/>
      <c r="Y1666" s="201"/>
      <c r="Z1666" s="829" t="str">
        <f>IF(G1666=0,"",IF(AD1666="me","",IF($AD$8="me","",IF(AD1666="free","warranty",IF($AD$8="yes","NVP planting:","to NVP install:")))))</f>
        <v/>
      </c>
      <c r="AA1666" s="829"/>
      <c r="AB1666" s="830" t="str">
        <f>IF(G1666=0,"",IF(AD1666="free","re-planting",IF(AD1666="me","not NVP, by",IF($AD$8="yes",(VLOOKUP(A1666,'Discount Lookup'!J:K,2)*G1666*(1-$AC$1786)*(1+$AC$1788)),IF(AD1666="NVP",(VLOOKUP(A1666,'Discount Lookup'!J:K,2)*G1666*(1-$AC$1786)*(1+$AC$1788)),IF(AD1666="free","re-planting",IF(G1666=0,"",IF($AD$8="",IF(AD1666="me","not NVP, by",IF(AD1666="",IF(G1666&gt;0,(VLOOKUP(A1666,'Discount Lookup'!J:K,2)*G1666*(1-$AC$1786)*(1+$AC$1788)),""),"")),"not NVP, by"))))))))</f>
        <v/>
      </c>
      <c r="AC1666" s="830"/>
      <c r="AD1666" s="375" t="str">
        <f>IF(G1666=0,"",IF($AD$8="me","me",IF(H1666="warranty","free",IF($AD$8="yes","NVP",""))))</f>
        <v/>
      </c>
      <c r="AE1666" s="833" t="str">
        <f>IF(G1666&gt;0,(CONCATENATE((G1666)," quantity, ",(A1666)," ",B1666)),"")</f>
        <v/>
      </c>
      <c r="AF1666" s="833"/>
      <c r="AG1666" s="833"/>
      <c r="AH1666" s="91">
        <f>IF(AD1666="free",0,IF(AD1666="me",0,IF(G1666&gt;0,(VLOOKUP(A1666,'Discount Lookup'!J:K,2)*G1666),0)))</f>
        <v>0</v>
      </c>
      <c r="AI1666" s="92" t="str">
        <f t="shared" si="4050"/>
        <v/>
      </c>
      <c r="AJ1666" s="828" t="str">
        <f>IF(G1666=0,"",IF(AD1666="me","  delivery-only",IF($AD$8="me","  delivery-only",CONCATENATE(" $",ROUND(AI1666/G1666,2)," each"))))</f>
        <v/>
      </c>
      <c r="AK1666" s="828"/>
      <c r="AL1666" s="313" t="str">
        <f t="shared" si="3938"/>
        <v/>
      </c>
      <c r="AM1666" s="312"/>
      <c r="AN1666" s="101"/>
      <c r="AO1666" s="101"/>
      <c r="AP1666" s="101"/>
      <c r="AQ1666" s="101"/>
      <c r="AR1666" s="101"/>
      <c r="AS1666" s="101"/>
      <c r="AT1666" s="101"/>
    </row>
    <row r="1667" spans="1:46" ht="12.95" customHeight="1">
      <c r="A1667" s="836" t="s">
        <v>866</v>
      </c>
      <c r="B1667" s="837"/>
      <c r="C1667" s="837"/>
      <c r="D1667" s="837"/>
      <c r="E1667" s="837"/>
      <c r="F1667" s="837"/>
      <c r="G1667" s="837"/>
      <c r="H1667" s="775" t="s">
        <v>614</v>
      </c>
      <c r="I1667" s="349" t="s">
        <v>280</v>
      </c>
      <c r="J1667" s="157"/>
      <c r="K1667" s="611" t="s">
        <v>45</v>
      </c>
      <c r="L1667" s="630" t="s">
        <v>46</v>
      </c>
      <c r="M1667" s="157"/>
      <c r="N1667" s="158" t="s">
        <v>98</v>
      </c>
      <c r="O1667" s="158"/>
      <c r="P1667" s="158"/>
      <c r="Q1667" s="158"/>
      <c r="R1667" s="835" t="s">
        <v>49</v>
      </c>
      <c r="S1667" s="835"/>
      <c r="T1667" s="835"/>
      <c r="U1667" s="835"/>
      <c r="V1667" s="100" t="b">
        <f>IF(G1667&gt;0,IF(AD1667="me","",G1667))</f>
        <v>0</v>
      </c>
      <c r="W1667" s="100"/>
      <c r="X1667" s="100"/>
      <c r="Y1667" s="201"/>
      <c r="Z1667" s="829" t="str">
        <f t="shared" si="4042"/>
        <v/>
      </c>
      <c r="AA1667" s="829"/>
      <c r="AB1667" s="830" t="str">
        <f>IF(G1667=0,"",IF(AD1667="free","re-planting",IF(AD1667="me","not NVP, by",IF($AD$8="yes",(VLOOKUP(A1667,'Discount Lookup'!J:K,2)*G1667*(1-$AC$1786)*(1+$AC$1788)),IF(AD1667="NVP",(VLOOKUP(A1667,'Discount Lookup'!J:K,2)*G1667*(1-$AC$1786)*(1+$AC$1788)),IF(AD1667="free","re-planting",IF(G1667=0,"",IF($AD$8="",IF(AD1667="me","not NVP, by",IF(AD1667="",IF(G1667&gt;0,(VLOOKUP(A1667,'Discount Lookup'!J:K,2)*G1667*(1-$AC$1786)*(1+$AC$1788)),""),"")),"not NVP, by"))))))))</f>
        <v/>
      </c>
      <c r="AC1667" s="830"/>
      <c r="AD1667" s="375" t="str">
        <f t="shared" si="4002"/>
        <v/>
      </c>
      <c r="AE1667" s="833" t="str">
        <f t="shared" si="3957"/>
        <v/>
      </c>
      <c r="AF1667" s="833"/>
      <c r="AG1667" s="833"/>
      <c r="AH1667" s="91">
        <f>IF(AD1667="free",0,IF(AD1667="me",0,IF(G1667&gt;0,(VLOOKUP(A1667,'Discount Lookup'!J:K,2)*G1667),0)))</f>
        <v>0</v>
      </c>
      <c r="AI1667" s="92" t="str">
        <f t="shared" si="4050"/>
        <v/>
      </c>
      <c r="AJ1667" s="828" t="str">
        <f t="shared" si="4043"/>
        <v/>
      </c>
      <c r="AK1667" s="828"/>
      <c r="AL1667" s="313" t="str">
        <f t="shared" si="3938"/>
        <v/>
      </c>
      <c r="AM1667" s="312"/>
      <c r="AN1667" s="101"/>
      <c r="AO1667" s="101"/>
      <c r="AP1667" s="101"/>
      <c r="AQ1667" s="101"/>
      <c r="AR1667" s="101"/>
      <c r="AS1667" s="101"/>
      <c r="AT1667" s="101"/>
    </row>
    <row r="1668" spans="1:46" ht="12.95" customHeight="1">
      <c r="A1668" s="383">
        <v>3</v>
      </c>
      <c r="B1668" s="158" t="s">
        <v>50</v>
      </c>
      <c r="C1668" s="168" t="s">
        <v>136</v>
      </c>
      <c r="D1668" s="161" t="s">
        <v>86</v>
      </c>
      <c r="E1668" s="162">
        <v>24.95</v>
      </c>
      <c r="F1668" s="713" t="s">
        <v>1306</v>
      </c>
      <c r="G1668" s="357">
        <v>0</v>
      </c>
      <c r="H1668" s="748" t="str">
        <f t="shared" ref="H1668" si="4057">IF(G1668=0,"",IF(F1668="Qty=",IF(G1668=1,"plant","plants"),IF(F1668&gt;0.0001,"warranty","Error")))</f>
        <v/>
      </c>
      <c r="I1668" s="592">
        <f t="shared" ref="I1668" si="4058">IF(F1668="Qty=",(E1668*G1668),((E1668*(1-F1668))*G1668))</f>
        <v>0</v>
      </c>
      <c r="J1668" s="592">
        <f>IF(H1668="warranty",0,(I1668*($J$1782)))</f>
        <v>0</v>
      </c>
      <c r="K1668" s="834">
        <f t="shared" ref="K1668" si="4059">I1668+J1668</f>
        <v>0</v>
      </c>
      <c r="L1668" s="834"/>
      <c r="M1668" s="832" t="str">
        <f>IF($H$1784=0,"",IF(G1668=0,"",IF(F1668="Qty=",CONCATENATE("$",ROUND(K1668*(1-$H$1784),2)," with ",($H$1784*100),"% discount"),CONCATENATE("$",ROUND(K1668*(1-$H$1784),2)," with ",(($H$1784*100+F1668*100)-($H$1784*100*F1668)),IF(F1668&gt;0,"% discounts",IF($H$1781&gt;0,"% discounts","% discount"))))))</f>
        <v/>
      </c>
      <c r="N1668" s="832"/>
      <c r="O1668" s="832"/>
      <c r="P1668" s="832"/>
      <c r="Q1668" s="832"/>
      <c r="R1668" s="832"/>
      <c r="S1668" s="303">
        <f t="shared" ref="S1668" si="4060">E1668*G1668</f>
        <v>0</v>
      </c>
      <c r="T1668" s="541">
        <f>VLOOKUP(A1668,'Discount Lookup'!D:E,2,FALSE)*G1668</f>
        <v>0</v>
      </c>
      <c r="U1668" s="83">
        <f>VLOOKUP(A1668,'Discount Lookup'!G:H,2,FALSE)*G1668</f>
        <v>0</v>
      </c>
      <c r="V1668" s="100">
        <f>E1668*($J$1782)*G1668</f>
        <v>0</v>
      </c>
      <c r="W1668" s="100">
        <f t="shared" ref="W1668" si="4061">I1668</f>
        <v>0</v>
      </c>
      <c r="X1668" s="100" t="b">
        <f>IF(G1668&gt;0,IF(AD1668="me","",G1668))</f>
        <v>0</v>
      </c>
      <c r="Y1668" s="201"/>
      <c r="Z1668" s="829" t="str">
        <f t="shared" ref="Z1668" si="4062">IF(G1668=0,"",IF(AD1668="me","",IF($AD$8="me","",IF(AD1668="free","warranty",IF($AD$8="yes","NVP planting:","to NVP install:")))))</f>
        <v/>
      </c>
      <c r="AA1668" s="829"/>
      <c r="AB1668" s="830" t="str">
        <f>IF(G1668=0,"",IF(AD1668="free","re-planting",IF(AD1668="me","not NVP, by",IF($AD$8="yes",(VLOOKUP(A1668,'Discount Lookup'!J:K,2)*G1668*(1-$AC$1786)*(1+$AC$1788)),IF(AD1668="NVP",(VLOOKUP(A1668,'Discount Lookup'!J:K,2)*G1668*(1-$AC$1786)*(1+$AC$1788)),IF(AD1668="free","re-planting",IF(G1668=0,"",IF($AD$8="",IF(AD1668="me","not NVP, by",IF(AD1668="",IF(G1668&gt;0,(VLOOKUP(A1668,'Discount Lookup'!J:K,2)*G1668*(1-$AC$1786)*(1+$AC$1788)),""),"")),"not NVP, by"))))))))</f>
        <v/>
      </c>
      <c r="AC1668" s="830"/>
      <c r="AD1668" s="375" t="str">
        <f t="shared" ref="AD1668" si="4063">IF(G1668=0,"",IF($AD$8="me","me",IF(H1668="warranty","free",IF($AD$8="yes","NVP",""))))</f>
        <v/>
      </c>
      <c r="AE1668" s="833" t="str">
        <f t="shared" ref="AE1668" si="4064">IF(G1668&gt;0,(CONCATENATE((G1668)," quantity, ",(A1668)," ",B1668)),"")</f>
        <v/>
      </c>
      <c r="AF1668" s="833"/>
      <c r="AG1668" s="833"/>
      <c r="AH1668" s="91">
        <f>IF(AD1668="free",0,IF(AD1668="me",0,IF(G1668&gt;0,(VLOOKUP(A1668,'Discount Lookup'!J:K,2)*G1668),0)))</f>
        <v>0</v>
      </c>
      <c r="AI1668" s="92" t="str">
        <f t="shared" si="4050"/>
        <v/>
      </c>
      <c r="AJ1668" s="828" t="str">
        <f t="shared" ref="AJ1668" si="4065">IF(G1668=0,"",IF(AD1668="me","  delivery-only",IF($AD$8="me","  delivery-only",CONCATENATE(" $",ROUND(AI1668/G1668,2)," each"))))</f>
        <v/>
      </c>
      <c r="AK1668" s="828"/>
      <c r="AL1668" s="313" t="str">
        <f t="shared" si="3938"/>
        <v/>
      </c>
      <c r="AM1668" s="312"/>
      <c r="AN1668" s="101"/>
      <c r="AO1668" s="101"/>
      <c r="AP1668" s="101"/>
      <c r="AQ1668" s="101"/>
      <c r="AR1668" s="101"/>
      <c r="AS1668" s="101"/>
      <c r="AT1668" s="101"/>
    </row>
    <row r="1669" spans="1:46" ht="12.95" customHeight="1">
      <c r="A1669" s="383">
        <v>3</v>
      </c>
      <c r="B1669" s="158" t="s">
        <v>50</v>
      </c>
      <c r="C1669" s="168" t="s">
        <v>136</v>
      </c>
      <c r="D1669" s="161" t="s">
        <v>90</v>
      </c>
      <c r="E1669" s="162">
        <v>26.95</v>
      </c>
      <c r="F1669" s="713" t="s">
        <v>1306</v>
      </c>
      <c r="G1669" s="357">
        <v>0</v>
      </c>
      <c r="H1669" s="748" t="str">
        <f t="shared" ref="H1669" si="4066">IF(G1669=0,"",IF(F1669="Qty=",IF(G1669=1,"plant","plants"),IF(F1669&gt;0.0001,"warranty","Error")))</f>
        <v/>
      </c>
      <c r="I1669" s="592">
        <f t="shared" ref="I1669" si="4067">IF(F1669="Qty=",(E1669*G1669),((E1669*(1-F1669))*G1669))</f>
        <v>0</v>
      </c>
      <c r="J1669" s="592">
        <f>IF(H1669="warranty",0,(I1669*($J$1782)))</f>
        <v>0</v>
      </c>
      <c r="K1669" s="834">
        <f t="shared" ref="K1669" si="4068">I1669+J1669</f>
        <v>0</v>
      </c>
      <c r="L1669" s="834"/>
      <c r="M1669" s="832" t="str">
        <f>IF($H$1784=0,"",IF(G1669=0,"",IF(F1669="Qty=",CONCATENATE("$",ROUND(K1669*(1-$H$1784),2)," with ",($H$1784*100),"% discount"),CONCATENATE("$",ROUND(K1669*(1-$H$1784),2)," with ",(($H$1784*100+F1669*100)-($H$1784*100*F1669)),IF(F1669&gt;0,"% discounts",IF($H$1781&gt;0,"% discounts","% discount"))))))</f>
        <v/>
      </c>
      <c r="N1669" s="832"/>
      <c r="O1669" s="832"/>
      <c r="P1669" s="832"/>
      <c r="Q1669" s="832"/>
      <c r="R1669" s="832"/>
      <c r="S1669" s="303">
        <f t="shared" ref="S1669" si="4069">E1669*G1669</f>
        <v>0</v>
      </c>
      <c r="T1669" s="541">
        <f>VLOOKUP(A1669,'Discount Lookup'!D:E,2,FALSE)*G1669</f>
        <v>0</v>
      </c>
      <c r="U1669" s="83">
        <f>VLOOKUP(A1669,'Discount Lookup'!G:H,2,FALSE)*G1669</f>
        <v>0</v>
      </c>
      <c r="V1669" s="100">
        <f>E1669*($J$1782)*G1669</f>
        <v>0</v>
      </c>
      <c r="W1669" s="100">
        <f t="shared" ref="W1669" si="4070">I1669</f>
        <v>0</v>
      </c>
      <c r="X1669" s="100" t="b">
        <f>IF(G1669&gt;0,IF(AD1669="me","",G1669))</f>
        <v>0</v>
      </c>
      <c r="Y1669" s="201"/>
      <c r="Z1669" s="829" t="str">
        <f t="shared" si="4042"/>
        <v/>
      </c>
      <c r="AA1669" s="829"/>
      <c r="AB1669" s="830" t="str">
        <f>IF(G1669=0,"",IF(AD1669="free","re-planting",IF(AD1669="me","not NVP, by",IF($AD$8="yes",(VLOOKUP(A1669,'Discount Lookup'!J:K,2)*G1669*(1-$AC$1786)*(1+$AC$1788)),IF(AD1669="NVP",(VLOOKUP(A1669,'Discount Lookup'!J:K,2)*G1669*(1-$AC$1786)*(1+$AC$1788)),IF(AD1669="free","re-planting",IF(G1669=0,"",IF($AD$8="",IF(AD1669="me","not NVP, by",IF(AD1669="",IF(G1669&gt;0,(VLOOKUP(A1669,'Discount Lookup'!J:K,2)*G1669*(1-$AC$1786)*(1+$AC$1788)),""),"")),"not NVP, by"))))))))</f>
        <v/>
      </c>
      <c r="AC1669" s="830"/>
      <c r="AD1669" s="375" t="str">
        <f t="shared" si="4002"/>
        <v/>
      </c>
      <c r="AE1669" s="833" t="str">
        <f t="shared" si="3957"/>
        <v/>
      </c>
      <c r="AF1669" s="833"/>
      <c r="AG1669" s="833"/>
      <c r="AH1669" s="91">
        <f>IF(AD1669="free",0,IF(AD1669="me",0,IF(G1669&gt;0,(VLOOKUP(A1669,'Discount Lookup'!J:K,2)*G1669),0)))</f>
        <v>0</v>
      </c>
      <c r="AI1669" s="92" t="str">
        <f t="shared" si="4050"/>
        <v/>
      </c>
      <c r="AJ1669" s="828" t="str">
        <f t="shared" si="4043"/>
        <v/>
      </c>
      <c r="AK1669" s="828"/>
      <c r="AL1669" s="313" t="str">
        <f t="shared" si="3938"/>
        <v/>
      </c>
      <c r="AM1669" s="312"/>
      <c r="AN1669" s="101"/>
      <c r="AO1669" s="101"/>
      <c r="AP1669" s="101"/>
      <c r="AQ1669" s="101"/>
      <c r="AR1669" s="101"/>
      <c r="AS1669" s="101"/>
      <c r="AT1669" s="101"/>
    </row>
    <row r="1670" spans="1:46" ht="12.95" customHeight="1">
      <c r="A1670" s="474"/>
      <c r="B1670" s="103" t="s">
        <v>867</v>
      </c>
      <c r="C1670" s="104"/>
      <c r="D1670" s="104"/>
      <c r="E1670" s="131"/>
      <c r="F1670" s="710"/>
      <c r="G1670" s="358"/>
      <c r="H1670" s="744"/>
      <c r="I1670" s="131"/>
      <c r="J1670" s="131"/>
      <c r="K1670" s="608"/>
      <c r="L1670" s="608"/>
      <c r="M1670" s="121"/>
      <c r="N1670" s="122" t="s">
        <v>176</v>
      </c>
      <c r="O1670" s="123"/>
      <c r="P1670" s="124"/>
      <c r="Q1670" s="124"/>
      <c r="R1670" s="83"/>
      <c r="S1670" s="82">
        <f>E1670*G1670</f>
        <v>0</v>
      </c>
      <c r="T1670" s="540"/>
      <c r="U1670" s="83"/>
      <c r="V1670" s="100" t="b">
        <f>IF(G1670&gt;0,IF(AD1670="me","",G1670))</f>
        <v>0</v>
      </c>
      <c r="W1670" s="100"/>
      <c r="X1670" s="100"/>
      <c r="Y1670" s="201"/>
      <c r="Z1670" s="829" t="str">
        <f t="shared" si="4042"/>
        <v/>
      </c>
      <c r="AA1670" s="829"/>
      <c r="AB1670" s="830" t="str">
        <f>IF(G1670=0,"",IF(AD1670="free","re-planting",IF(AD1670="me","not NVP, by",IF($AD$8="yes",(VLOOKUP(A1670,'Discount Lookup'!J:K,2)*G1670*(1-$AC$1786)*(1+$AC$1788)),IF(AD1670="NVP",(VLOOKUP(A1670,'Discount Lookup'!J:K,2)*G1670*(1-$AC$1786)*(1+$AC$1788)),IF(AD1670="free","re-planting",IF(G1670=0,"",IF($AD$8="",IF(AD1670="me","not NVP, by",IF(AD1670="",IF(G1670&gt;0,(VLOOKUP(A1670,'Discount Lookup'!J:K,2)*G1670*(1-$AC$1786)*(1+$AC$1788)),""),"")),"not NVP, by"))))))))</f>
        <v/>
      </c>
      <c r="AC1670" s="830"/>
      <c r="AD1670" s="375" t="str">
        <f t="shared" si="4002"/>
        <v/>
      </c>
      <c r="AE1670" s="833" t="str">
        <f t="shared" si="3957"/>
        <v/>
      </c>
      <c r="AF1670" s="833"/>
      <c r="AG1670" s="833"/>
      <c r="AH1670" s="91">
        <f>IF(AD1670="free",0,IF(AD1670="me",0,IF(G1670&gt;0,(VLOOKUP(A1670,'Discount Lookup'!J:K,2)*G1670),0)))</f>
        <v>0</v>
      </c>
      <c r="AI1670" s="92" t="str">
        <f t="shared" si="4050"/>
        <v/>
      </c>
      <c r="AJ1670" s="828" t="str">
        <f t="shared" si="4043"/>
        <v/>
      </c>
      <c r="AK1670" s="828"/>
      <c r="AL1670" s="313" t="str">
        <f t="shared" si="3938"/>
        <v/>
      </c>
      <c r="AM1670" s="312"/>
      <c r="AN1670" s="101"/>
      <c r="AO1670" s="101"/>
      <c r="AP1670" s="101"/>
      <c r="AQ1670" s="101"/>
      <c r="AR1670" s="101"/>
      <c r="AS1670" s="101"/>
      <c r="AT1670" s="101"/>
    </row>
    <row r="1671" spans="1:46" ht="12.95" customHeight="1">
      <c r="A1671" s="836" t="s">
        <v>868</v>
      </c>
      <c r="B1671" s="837"/>
      <c r="C1671" s="837"/>
      <c r="D1671" s="837"/>
      <c r="E1671" s="837"/>
      <c r="F1671" s="837"/>
      <c r="G1671" s="837"/>
      <c r="H1671" s="775" t="s">
        <v>614</v>
      </c>
      <c r="I1671" s="164" t="s">
        <v>79</v>
      </c>
      <c r="J1671" s="157"/>
      <c r="K1671" s="611" t="s">
        <v>45</v>
      </c>
      <c r="L1671" s="630" t="s">
        <v>46</v>
      </c>
      <c r="M1671" s="157"/>
      <c r="N1671" s="158" t="s">
        <v>1371</v>
      </c>
      <c r="O1671" s="158"/>
      <c r="P1671" s="164"/>
      <c r="Q1671" s="164"/>
      <c r="R1671" s="157"/>
      <c r="S1671" s="170"/>
      <c r="T1671" s="547"/>
      <c r="U1671" s="159" t="s">
        <v>1370</v>
      </c>
      <c r="V1671" s="100" t="b">
        <f>IF(G1671&gt;0,IF(AD1671="me","",G1671))</f>
        <v>0</v>
      </c>
      <c r="W1671" s="100"/>
      <c r="X1671" s="100"/>
      <c r="Y1671" s="201"/>
      <c r="Z1671" s="829" t="str">
        <f t="shared" si="4042"/>
        <v/>
      </c>
      <c r="AA1671" s="829"/>
      <c r="AB1671" s="830" t="str">
        <f>IF(G1671=0,"",IF(AD1671="free","re-planting",IF(AD1671="me","not NVP, by",IF($AD$8="yes",(VLOOKUP(A1671,'Discount Lookup'!J:K,2)*G1671*(1-$AC$1786)*(1+$AC$1788)),IF(AD1671="NVP",(VLOOKUP(A1671,'Discount Lookup'!J:K,2)*G1671*(1-$AC$1786)*(1+$AC$1788)),IF(AD1671="free","re-planting",IF(G1671=0,"",IF($AD$8="",IF(AD1671="me","not NVP, by",IF(AD1671="",IF(G1671&gt;0,(VLOOKUP(A1671,'Discount Lookup'!J:K,2)*G1671*(1-$AC$1786)*(1+$AC$1788)),""),"")),"not NVP, by"))))))))</f>
        <v/>
      </c>
      <c r="AC1671" s="830"/>
      <c r="AD1671" s="375" t="str">
        <f t="shared" si="4002"/>
        <v/>
      </c>
      <c r="AE1671" s="833" t="str">
        <f t="shared" si="3957"/>
        <v/>
      </c>
      <c r="AF1671" s="833"/>
      <c r="AG1671" s="833"/>
      <c r="AH1671" s="91">
        <f>IF(AD1671="free",0,IF(AD1671="me",0,IF(G1671&gt;0,(VLOOKUP(A1671,'Discount Lookup'!J:K,2)*G1671),0)))</f>
        <v>0</v>
      </c>
      <c r="AI1671" s="92" t="str">
        <f t="shared" si="4050"/>
        <v/>
      </c>
      <c r="AJ1671" s="828" t="str">
        <f t="shared" si="4043"/>
        <v/>
      </c>
      <c r="AK1671" s="828"/>
      <c r="AL1671" s="313" t="str">
        <f t="shared" si="3938"/>
        <v/>
      </c>
      <c r="AM1671" s="312"/>
      <c r="AN1671" s="101"/>
      <c r="AO1671" s="101"/>
      <c r="AP1671" s="101"/>
      <c r="AQ1671" s="101"/>
      <c r="AR1671" s="101"/>
      <c r="AS1671" s="101"/>
      <c r="AT1671" s="101"/>
    </row>
    <row r="1672" spans="1:46" ht="12.95" customHeight="1">
      <c r="A1672" s="383">
        <v>2</v>
      </c>
      <c r="B1672" s="158" t="s">
        <v>50</v>
      </c>
      <c r="C1672" s="168" t="s">
        <v>136</v>
      </c>
      <c r="D1672" s="161" t="s">
        <v>94</v>
      </c>
      <c r="E1672" s="162">
        <v>19.95</v>
      </c>
      <c r="F1672" s="713" t="s">
        <v>1306</v>
      </c>
      <c r="G1672" s="357">
        <v>0</v>
      </c>
      <c r="H1672" s="748" t="str">
        <f t="shared" ref="H1672:H1673" si="4071">IF(G1672=0,"",IF(F1672="Qty=",IF(G1672=1,"plant","plants"),IF(F1672&gt;0.0001,"warranty","Error")))</f>
        <v/>
      </c>
      <c r="I1672" s="592">
        <f t="shared" ref="I1672:I1673" si="4072">IF(F1672="Qty=",(E1672*G1672),((E1672*(1-F1672))*G1672))</f>
        <v>0</v>
      </c>
      <c r="J1672" s="592">
        <f>IF(H1672="warranty",0,(I1672*($J$1782)))</f>
        <v>0</v>
      </c>
      <c r="K1672" s="834">
        <f t="shared" ref="K1672:K1673" si="4073">I1672+J1672</f>
        <v>0</v>
      </c>
      <c r="L1672" s="834"/>
      <c r="M1672" s="832" t="str">
        <f>IF($H$1784=0,"",IF(G1672=0,"",IF(F1672="Qty=",CONCATENATE("$",ROUND(K1672*(1-$H$1784),2)," with ",($H$1784*100),"% discount"),CONCATENATE("$",ROUND(K1672*(1-$H$1784),2)," with ",(($H$1784*100+F1672*100)-($H$1784*100*F1672)),IF(F1672&gt;0,"% discounts",IF($H$1781&gt;0,"% discounts","% discount"))))))</f>
        <v/>
      </c>
      <c r="N1672" s="832"/>
      <c r="O1672" s="832"/>
      <c r="P1672" s="832"/>
      <c r="Q1672" s="832"/>
      <c r="R1672" s="832"/>
      <c r="S1672" s="303">
        <f t="shared" ref="S1672:S1673" si="4074">E1672*G1672</f>
        <v>0</v>
      </c>
      <c r="T1672" s="541">
        <f>VLOOKUP(A1672,'Discount Lookup'!D:E,2,FALSE)*G1672</f>
        <v>0</v>
      </c>
      <c r="U1672" s="83">
        <f>VLOOKUP(A1672,'Discount Lookup'!G:H,2,FALSE)*G1672</f>
        <v>0</v>
      </c>
      <c r="V1672" s="100">
        <f>E1672*($J$1782)*G1672</f>
        <v>0</v>
      </c>
      <c r="W1672" s="100">
        <f t="shared" ref="W1672:W1673" si="4075">I1672</f>
        <v>0</v>
      </c>
      <c r="X1672" s="100" t="b">
        <f>IF(G1672&gt;0,IF(AD1672="me","",G1672))</f>
        <v>0</v>
      </c>
      <c r="Y1672" s="201"/>
      <c r="Z1672" s="829" t="str">
        <f t="shared" si="4042"/>
        <v/>
      </c>
      <c r="AA1672" s="829"/>
      <c r="AB1672" s="830" t="str">
        <f>IF(G1672=0,"",IF(AD1672="free","re-planting",IF(AD1672="me","not NVP, by",IF($AD$8="yes",(VLOOKUP(A1672,'Discount Lookup'!J:K,2)*G1672*(1-$AC$1786)*(1+$AC$1788)),IF(AD1672="NVP",(VLOOKUP(A1672,'Discount Lookup'!J:K,2)*G1672*(1-$AC$1786)*(1+$AC$1788)),IF(AD1672="free","re-planting",IF(G1672=0,"",IF($AD$8="",IF(AD1672="me","not NVP, by",IF(AD1672="",IF(G1672&gt;0,(VLOOKUP(A1672,'Discount Lookup'!J:K,2)*G1672*(1-$AC$1786)*(1+$AC$1788)),""),"")),"not NVP, by"))))))))</f>
        <v/>
      </c>
      <c r="AC1672" s="830"/>
      <c r="AD1672" s="375" t="str">
        <f t="shared" si="4002"/>
        <v/>
      </c>
      <c r="AE1672" s="833" t="str">
        <f t="shared" si="3957"/>
        <v/>
      </c>
      <c r="AF1672" s="833"/>
      <c r="AG1672" s="833"/>
      <c r="AH1672" s="91">
        <f>IF(AD1672="free",0,IF(AD1672="me",0,IF(G1672&gt;0,(VLOOKUP(A1672,'Discount Lookup'!J:K,2)*G1672),0)))</f>
        <v>0</v>
      </c>
      <c r="AI1672" s="92" t="str">
        <f t="shared" si="4050"/>
        <v/>
      </c>
      <c r="AJ1672" s="828" t="str">
        <f t="shared" si="4043"/>
        <v/>
      </c>
      <c r="AK1672" s="828"/>
      <c r="AL1672" s="313" t="str">
        <f t="shared" si="3938"/>
        <v/>
      </c>
      <c r="AM1672" s="312"/>
      <c r="AN1672" s="101"/>
      <c r="AO1672" s="101"/>
      <c r="AP1672" s="101"/>
      <c r="AQ1672" s="101"/>
      <c r="AR1672" s="101"/>
      <c r="AS1672" s="101"/>
      <c r="AT1672" s="101"/>
    </row>
    <row r="1673" spans="1:46" ht="12.95" customHeight="1">
      <c r="A1673" s="383">
        <v>3</v>
      </c>
      <c r="B1673" s="158" t="s">
        <v>50</v>
      </c>
      <c r="C1673" s="168" t="s">
        <v>136</v>
      </c>
      <c r="D1673" s="161" t="s">
        <v>54</v>
      </c>
      <c r="E1673" s="162">
        <v>30.95</v>
      </c>
      <c r="F1673" s="713" t="s">
        <v>1306</v>
      </c>
      <c r="G1673" s="357">
        <v>0</v>
      </c>
      <c r="H1673" s="748" t="str">
        <f t="shared" si="4071"/>
        <v/>
      </c>
      <c r="I1673" s="592">
        <f t="shared" si="4072"/>
        <v>0</v>
      </c>
      <c r="J1673" s="592">
        <f>IF(H1673="warranty",0,(I1673*($J$1782)))</f>
        <v>0</v>
      </c>
      <c r="K1673" s="834">
        <f t="shared" si="4073"/>
        <v>0</v>
      </c>
      <c r="L1673" s="834"/>
      <c r="M1673" s="832" t="str">
        <f>IF($H$1784=0,"",IF(G1673=0,"",IF(F1673="Qty=",CONCATENATE("$",ROUND(K1673*(1-$H$1784),2)," with ",($H$1784*100),"% discount"),CONCATENATE("$",ROUND(K1673*(1-$H$1784),2)," with ",(($H$1784*100+F1673*100)-($H$1784*100*F1673)),IF(F1673&gt;0,"% discounts",IF($H$1781&gt;0,"% discounts","% discount"))))))</f>
        <v/>
      </c>
      <c r="N1673" s="832"/>
      <c r="O1673" s="832"/>
      <c r="P1673" s="832"/>
      <c r="Q1673" s="832"/>
      <c r="R1673" s="832"/>
      <c r="S1673" s="303">
        <f t="shared" si="4074"/>
        <v>0</v>
      </c>
      <c r="T1673" s="541">
        <f>VLOOKUP(A1673,'Discount Lookup'!D:E,2,FALSE)*G1673</f>
        <v>0</v>
      </c>
      <c r="U1673" s="83">
        <f>VLOOKUP(A1673,'Discount Lookup'!G:H,2,FALSE)*G1673</f>
        <v>0</v>
      </c>
      <c r="V1673" s="100">
        <f>E1673*($J$1782)*G1673</f>
        <v>0</v>
      </c>
      <c r="W1673" s="100">
        <f t="shared" si="4075"/>
        <v>0</v>
      </c>
      <c r="X1673" s="100" t="b">
        <f>IF(G1673&gt;0,IF(AD1673="me","",G1673))</f>
        <v>0</v>
      </c>
      <c r="Y1673" s="201"/>
      <c r="Z1673" s="829" t="str">
        <f t="shared" si="4042"/>
        <v/>
      </c>
      <c r="AA1673" s="829"/>
      <c r="AB1673" s="830" t="str">
        <f>IF(G1673=0,"",IF(AD1673="free","re-planting",IF(AD1673="me","not NVP, by",IF($AD$8="yes",(VLOOKUP(A1673,'Discount Lookup'!J:K,2)*G1673*(1-$AC$1786)*(1+$AC$1788)),IF(AD1673="NVP",(VLOOKUP(A1673,'Discount Lookup'!J:K,2)*G1673*(1-$AC$1786)*(1+$AC$1788)),IF(AD1673="free","re-planting",IF(G1673=0,"",IF($AD$8="",IF(AD1673="me","not NVP, by",IF(AD1673="",IF(G1673&gt;0,(VLOOKUP(A1673,'Discount Lookup'!J:K,2)*G1673*(1-$AC$1786)*(1+$AC$1788)),""),"")),"not NVP, by"))))))))</f>
        <v/>
      </c>
      <c r="AC1673" s="830"/>
      <c r="AD1673" s="375" t="str">
        <f t="shared" si="4002"/>
        <v/>
      </c>
      <c r="AE1673" s="833" t="str">
        <f t="shared" si="3957"/>
        <v/>
      </c>
      <c r="AF1673" s="833"/>
      <c r="AG1673" s="833"/>
      <c r="AH1673" s="91">
        <f>IF(AD1673="free",0,IF(AD1673="me",0,IF(G1673&gt;0,(VLOOKUP(A1673,'Discount Lookup'!J:K,2)*G1673),0)))</f>
        <v>0</v>
      </c>
      <c r="AI1673" s="92" t="str">
        <f t="shared" si="4050"/>
        <v/>
      </c>
      <c r="AJ1673" s="828" t="str">
        <f t="shared" si="4043"/>
        <v/>
      </c>
      <c r="AK1673" s="828"/>
      <c r="AL1673" s="313" t="str">
        <f t="shared" si="3938"/>
        <v/>
      </c>
      <c r="AM1673" s="312"/>
      <c r="AN1673" s="101"/>
      <c r="AO1673" s="101"/>
      <c r="AP1673" s="101"/>
      <c r="AQ1673" s="101"/>
      <c r="AR1673" s="101"/>
      <c r="AS1673" s="101"/>
      <c r="AT1673" s="101"/>
    </row>
    <row r="1674" spans="1:46" ht="12.95" customHeight="1">
      <c r="A1674" s="477"/>
      <c r="B1674" s="103" t="s">
        <v>869</v>
      </c>
      <c r="C1674" s="118"/>
      <c r="D1674" s="118"/>
      <c r="E1674" s="119"/>
      <c r="F1674" s="711"/>
      <c r="G1674" s="358"/>
      <c r="H1674" s="745"/>
      <c r="I1674" s="119"/>
      <c r="J1674" s="119"/>
      <c r="K1674" s="609"/>
      <c r="L1674" s="609"/>
      <c r="M1674" s="121"/>
      <c r="N1674" s="145"/>
      <c r="O1674" s="123">
        <f>VLOOKUP(A1674,'Discount Lookup'!D:E,2,FALSE)*G1674</f>
        <v>0</v>
      </c>
      <c r="P1674" s="124">
        <f>VLOOKUP(A1674,'Discount Lookup'!G:H,2,FALSE)*G1674</f>
        <v>0</v>
      </c>
      <c r="Y1674" s="132"/>
      <c r="Z1674" s="829" t="str">
        <f t="shared" si="4042"/>
        <v/>
      </c>
      <c r="AA1674" s="829"/>
      <c r="AB1674" s="830" t="str">
        <f>IF(G1674=0,"",IF(AD1674="free","re-planting",IF(AD1674="me","not NVP, by",IF($AD$8="yes",(VLOOKUP(A1674,'Discount Lookup'!J:K,2)*G1674*(1-$AC$1786)*(1+$AC$1788)),IF(AD1674="NVP",(VLOOKUP(A1674,'Discount Lookup'!J:K,2)*G1674*(1-$AC$1786)*(1+$AC$1788)),IF(AD1674="free","re-planting",IF(G1674=0,"",IF($AD$8="",IF(AD1674="me","not NVP, by",IF(AD1674="",IF(G1674&gt;0,(VLOOKUP(A1674,'Discount Lookup'!J:K,2)*G1674*(1-$AC$1786)*(1+$AC$1788)),""),"")),"not NVP, by"))))))))</f>
        <v/>
      </c>
      <c r="AC1674" s="830"/>
      <c r="AD1674" s="375" t="str">
        <f t="shared" si="4002"/>
        <v/>
      </c>
      <c r="AE1674" s="833" t="str">
        <f t="shared" si="3957"/>
        <v/>
      </c>
      <c r="AF1674" s="833"/>
      <c r="AG1674" s="833"/>
      <c r="AH1674" s="91">
        <f>IF(AD1674="free",0,IF(AD1674="me",0,IF(G1674&gt;0,(VLOOKUP(A1674,'Discount Lookup'!J:K,2)*G1674),0)))</f>
        <v>0</v>
      </c>
      <c r="AI1674" s="92" t="str">
        <f t="shared" si="4050"/>
        <v/>
      </c>
      <c r="AJ1674" s="828" t="str">
        <f t="shared" si="4043"/>
        <v/>
      </c>
      <c r="AK1674" s="828"/>
      <c r="AL1674" s="313" t="str">
        <f t="shared" si="3938"/>
        <v/>
      </c>
      <c r="AM1674" s="312"/>
      <c r="AN1674" s="101"/>
      <c r="AO1674" s="101"/>
      <c r="AP1674" s="101"/>
      <c r="AQ1674" s="101"/>
      <c r="AR1674" s="101"/>
      <c r="AS1674" s="101"/>
      <c r="AT1674" s="101"/>
    </row>
    <row r="1675" spans="1:46" ht="12.95" customHeight="1">
      <c r="A1675" s="836" t="s">
        <v>870</v>
      </c>
      <c r="B1675" s="837"/>
      <c r="C1675" s="837"/>
      <c r="D1675" s="837"/>
      <c r="E1675" s="837"/>
      <c r="F1675" s="837"/>
      <c r="G1675" s="837"/>
      <c r="H1675" s="775" t="s">
        <v>619</v>
      </c>
      <c r="I1675" s="164" t="s">
        <v>174</v>
      </c>
      <c r="J1675" s="157"/>
      <c r="K1675" s="611" t="s">
        <v>45</v>
      </c>
      <c r="L1675" s="630" t="s">
        <v>46</v>
      </c>
      <c r="M1675" s="157"/>
      <c r="N1675" s="175" t="s">
        <v>157</v>
      </c>
      <c r="O1675" s="175"/>
      <c r="P1675" s="175"/>
      <c r="Q1675" s="175"/>
      <c r="R1675" s="157"/>
      <c r="S1675" s="170"/>
      <c r="T1675" s="547"/>
      <c r="U1675" s="171"/>
      <c r="V1675" s="100" t="b">
        <f>IF(G1675&gt;0,IF(AD1675="me","",G1675))</f>
        <v>0</v>
      </c>
      <c r="W1675" s="100"/>
      <c r="X1675" s="100"/>
      <c r="Y1675" s="201"/>
      <c r="Z1675" s="829" t="str">
        <f t="shared" si="4042"/>
        <v/>
      </c>
      <c r="AA1675" s="829"/>
      <c r="AB1675" s="830" t="str">
        <f>IF(G1675=0,"",IF(AD1675="free","re-planting",IF(AD1675="me","not NVP, by",IF($AD$8="yes",(VLOOKUP(A1675,'Discount Lookup'!J:K,2)*G1675*(1-$AC$1786)*(1+$AC$1788)),IF(AD1675="NVP",(VLOOKUP(A1675,'Discount Lookup'!J:K,2)*G1675*(1-$AC$1786)*(1+$AC$1788)),IF(AD1675="free","re-planting",IF(G1675=0,"",IF($AD$8="",IF(AD1675="me","not NVP, by",IF(AD1675="",IF(G1675&gt;0,(VLOOKUP(A1675,'Discount Lookup'!J:K,2)*G1675*(1-$AC$1786)*(1+$AC$1788)),""),"")),"not NVP, by"))))))))</f>
        <v/>
      </c>
      <c r="AC1675" s="830"/>
      <c r="AD1675" s="375" t="str">
        <f t="shared" si="4002"/>
        <v/>
      </c>
      <c r="AE1675" s="833" t="str">
        <f t="shared" si="3957"/>
        <v/>
      </c>
      <c r="AF1675" s="833"/>
      <c r="AG1675" s="833"/>
      <c r="AH1675" s="91">
        <f>IF(AD1675="free",0,IF(AD1675="me",0,IF(G1675&gt;0,(VLOOKUP(A1675,'Discount Lookup'!J:K,2)*G1675),0)))</f>
        <v>0</v>
      </c>
      <c r="AI1675" s="92" t="str">
        <f t="shared" si="4050"/>
        <v/>
      </c>
      <c r="AJ1675" s="828" t="str">
        <f t="shared" si="4043"/>
        <v/>
      </c>
      <c r="AK1675" s="828"/>
      <c r="AL1675" s="313" t="str">
        <f t="shared" ref="AL1675:AL1738" si="4076">IF(AD1675="free","      ~ discounts included, no tax or planting fee applies ~",IF(G1675=0,"",IF($AD$8="me",CONCATENATE(" $",ROUND(AI1675/G1675,2)," per plant, with tax &amp; discount"),IF(AD1675="me",CONCATENATE(" $",ROUND(AI1675/G1675,2)," per plant, with tax &amp; discount"),CONCATENATE("= $",ROUND((K1675*(1-$H$1784))/G1675,2)," per plant + $",AB1675/G1675,(" per planting      ~ includes tax &amp; discounts ~"))))))</f>
        <v/>
      </c>
      <c r="AM1675" s="312"/>
      <c r="AN1675" s="101"/>
      <c r="AO1675" s="101"/>
      <c r="AP1675" s="101"/>
      <c r="AQ1675" s="101"/>
      <c r="AR1675" s="101"/>
      <c r="AS1675" s="101"/>
      <c r="AT1675" s="101"/>
    </row>
    <row r="1676" spans="1:46" ht="12.95" customHeight="1">
      <c r="A1676" s="383" t="s">
        <v>668</v>
      </c>
      <c r="B1676" s="158" t="s">
        <v>669</v>
      </c>
      <c r="C1676" s="168" t="s">
        <v>236</v>
      </c>
      <c r="D1676" s="161" t="s">
        <v>87</v>
      </c>
      <c r="E1676" s="162">
        <v>14.95</v>
      </c>
      <c r="F1676" s="713" t="s">
        <v>1306</v>
      </c>
      <c r="G1676" s="357">
        <v>0</v>
      </c>
      <c r="H1676" s="748" t="str">
        <f t="shared" ref="H1676:H1677" si="4077">IF(G1676=0,"",IF(F1676="Qty=",IF(G1676=1,"plant","plants"),IF(F1676&gt;0.0001,"warranty","Error")))</f>
        <v/>
      </c>
      <c r="I1676" s="592">
        <f t="shared" ref="I1676:I1677" si="4078">IF(F1676="Qty=",(E1676*G1676),((E1676*(1-F1676))*G1676))</f>
        <v>0</v>
      </c>
      <c r="J1676" s="592">
        <f>IF(H1676="warranty",0,(I1676*($J$1782)))</f>
        <v>0</v>
      </c>
      <c r="K1676" s="834">
        <f t="shared" ref="K1676:K1677" si="4079">I1676+J1676</f>
        <v>0</v>
      </c>
      <c r="L1676" s="834"/>
      <c r="M1676" s="832" t="str">
        <f>IF($H$1784=0,"",IF(G1676=0,"",IF(F1676="Qty=",CONCATENATE("$",ROUND(K1676*(1-$H$1784),2)," with ",($H$1784*100),"% discount"),CONCATENATE("$",ROUND(K1676*(1-$H$1784),2)," with ",(($H$1784*100+F1676*100)-($H$1784*100*F1676)),IF(F1676&gt;0,"% discounts",IF($H$1781&gt;0,"% discounts","% discount"))))))</f>
        <v/>
      </c>
      <c r="N1676" s="832"/>
      <c r="O1676" s="832"/>
      <c r="P1676" s="832"/>
      <c r="Q1676" s="832"/>
      <c r="R1676" s="832"/>
      <c r="S1676" s="303">
        <f t="shared" ref="S1676:S1677" si="4080">E1676*G1676</f>
        <v>0</v>
      </c>
      <c r="T1676" s="541">
        <f>VLOOKUP(A1676,'Discount Lookup'!D:E,2,FALSE)*G1676</f>
        <v>0</v>
      </c>
      <c r="U1676" s="83">
        <f>VLOOKUP(A1676,'Discount Lookup'!G:H,2,FALSE)*G1676</f>
        <v>0</v>
      </c>
      <c r="V1676" s="100">
        <f>E1676*($J$1782)*G1676</f>
        <v>0</v>
      </c>
      <c r="W1676" s="100">
        <f t="shared" ref="W1676:W1677" si="4081">I1676</f>
        <v>0</v>
      </c>
      <c r="X1676" s="100" t="b">
        <f>IF(G1676&gt;0,IF(AD1676="me","",G1676))</f>
        <v>0</v>
      </c>
      <c r="Y1676" s="201"/>
      <c r="Z1676" s="829" t="str">
        <f t="shared" si="4042"/>
        <v/>
      </c>
      <c r="AA1676" s="829"/>
      <c r="AB1676" s="830" t="str">
        <f>IF(G1676=0,"",IF(AD1676="free","re-planting",IF(AD1676="me","not NVP, by",IF($AD$8="yes",(VLOOKUP(A1676,'Discount Lookup'!J:K,2)*G1676*(1-$AC$1786)*(1+$AC$1788)),IF(AD1676="NVP",(VLOOKUP(A1676,'Discount Lookup'!J:K,2)*G1676*(1-$AC$1786)*(1+$AC$1788)),IF(AD1676="free","re-planting",IF(G1676=0,"",IF($AD$8="",IF(AD1676="me","not NVP, by",IF(AD1676="",IF(G1676&gt;0,(VLOOKUP(A1676,'Discount Lookup'!J:K,2)*G1676*(1-$AC$1786)*(1+$AC$1788)),""),"")),"not NVP, by"))))))))</f>
        <v/>
      </c>
      <c r="AC1676" s="830"/>
      <c r="AD1676" s="375" t="str">
        <f t="shared" si="4002"/>
        <v/>
      </c>
      <c r="AE1676" s="833" t="str">
        <f t="shared" si="3957"/>
        <v/>
      </c>
      <c r="AF1676" s="833"/>
      <c r="AG1676" s="833"/>
      <c r="AH1676" s="91">
        <f>IF(AD1676="free",0,IF(AD1676="me",0,IF(G1676&gt;0,(VLOOKUP(A1676,'Discount Lookup'!J:K,2)*G1676),0)))</f>
        <v>0</v>
      </c>
      <c r="AI1676" s="92" t="str">
        <f t="shared" si="4050"/>
        <v/>
      </c>
      <c r="AJ1676" s="828" t="str">
        <f t="shared" si="4043"/>
        <v/>
      </c>
      <c r="AK1676" s="828"/>
      <c r="AL1676" s="313" t="str">
        <f t="shared" si="4076"/>
        <v/>
      </c>
      <c r="AM1676" s="312"/>
      <c r="AN1676" s="101"/>
      <c r="AO1676" s="101"/>
      <c r="AP1676" s="101"/>
      <c r="AQ1676" s="101"/>
      <c r="AR1676" s="101"/>
      <c r="AS1676" s="101"/>
      <c r="AT1676" s="101"/>
    </row>
    <row r="1677" spans="1:46" ht="12.95" customHeight="1">
      <c r="A1677" s="383">
        <v>3</v>
      </c>
      <c r="B1677" s="158" t="s">
        <v>50</v>
      </c>
      <c r="C1677" s="168" t="s">
        <v>136</v>
      </c>
      <c r="D1677" s="161" t="s">
        <v>90</v>
      </c>
      <c r="E1677" s="162">
        <v>33.950000000000003</v>
      </c>
      <c r="F1677" s="713" t="s">
        <v>1306</v>
      </c>
      <c r="G1677" s="357">
        <v>0</v>
      </c>
      <c r="H1677" s="748" t="str">
        <f t="shared" si="4077"/>
        <v/>
      </c>
      <c r="I1677" s="592">
        <f t="shared" si="4078"/>
        <v>0</v>
      </c>
      <c r="J1677" s="592">
        <f>IF(H1677="warranty",0,(I1677*($J$1782)))</f>
        <v>0</v>
      </c>
      <c r="K1677" s="834">
        <f t="shared" si="4079"/>
        <v>0</v>
      </c>
      <c r="L1677" s="834"/>
      <c r="M1677" s="832" t="str">
        <f>IF($H$1784=0,"",IF(G1677=0,"",IF(F1677="Qty=",CONCATENATE("$",ROUND(K1677*(1-$H$1784),2)," with ",($H$1784*100),"% discount"),CONCATENATE("$",ROUND(K1677*(1-$H$1784),2)," with ",(($H$1784*100+F1677*100)-($H$1784*100*F1677)),IF(F1677&gt;0,"% discounts",IF($H$1781&gt;0,"% discounts","% discount"))))))</f>
        <v/>
      </c>
      <c r="N1677" s="832"/>
      <c r="O1677" s="832"/>
      <c r="P1677" s="832"/>
      <c r="Q1677" s="832"/>
      <c r="R1677" s="832"/>
      <c r="S1677" s="303">
        <f t="shared" si="4080"/>
        <v>0</v>
      </c>
      <c r="T1677" s="541">
        <f>VLOOKUP(A1677,'Discount Lookup'!D:E,2,FALSE)*G1677</f>
        <v>0</v>
      </c>
      <c r="U1677" s="83">
        <f>VLOOKUP(A1677,'Discount Lookup'!G:H,2,FALSE)*G1677</f>
        <v>0</v>
      </c>
      <c r="V1677" s="100">
        <f>E1677*($J$1782)*G1677</f>
        <v>0</v>
      </c>
      <c r="W1677" s="100">
        <f t="shared" si="4081"/>
        <v>0</v>
      </c>
      <c r="X1677" s="100" t="b">
        <f>IF(G1677&gt;0,IF(AD1677="me","",G1677))</f>
        <v>0</v>
      </c>
      <c r="Y1677" s="201"/>
      <c r="Z1677" s="829" t="str">
        <f t="shared" si="4042"/>
        <v/>
      </c>
      <c r="AA1677" s="829"/>
      <c r="AB1677" s="830" t="str">
        <f>IF(G1677=0,"",IF(AD1677="free","re-planting",IF(AD1677="me","not NVP, by",IF($AD$8="yes",(VLOOKUP(A1677,'Discount Lookup'!J:K,2)*G1677*(1-$AC$1786)*(1+$AC$1788)),IF(AD1677="NVP",(VLOOKUP(A1677,'Discount Lookup'!J:K,2)*G1677*(1-$AC$1786)*(1+$AC$1788)),IF(AD1677="free","re-planting",IF(G1677=0,"",IF($AD$8="",IF(AD1677="me","not NVP, by",IF(AD1677="",IF(G1677&gt;0,(VLOOKUP(A1677,'Discount Lookup'!J:K,2)*G1677*(1-$AC$1786)*(1+$AC$1788)),""),"")),"not NVP, by"))))))))</f>
        <v/>
      </c>
      <c r="AC1677" s="830"/>
      <c r="AD1677" s="375" t="str">
        <f t="shared" si="4002"/>
        <v/>
      </c>
      <c r="AE1677" s="833" t="str">
        <f t="shared" si="3957"/>
        <v/>
      </c>
      <c r="AF1677" s="833"/>
      <c r="AG1677" s="833"/>
      <c r="AH1677" s="91">
        <f>IF(AD1677="free",0,IF(AD1677="me",0,IF(G1677&gt;0,(VLOOKUP(A1677,'Discount Lookup'!J:K,2)*G1677),0)))</f>
        <v>0</v>
      </c>
      <c r="AI1677" s="92" t="str">
        <f t="shared" si="4050"/>
        <v/>
      </c>
      <c r="AJ1677" s="828" t="str">
        <f t="shared" si="4043"/>
        <v/>
      </c>
      <c r="AK1677" s="828"/>
      <c r="AL1677" s="313" t="str">
        <f t="shared" si="4076"/>
        <v/>
      </c>
      <c r="AM1677" s="312"/>
      <c r="AN1677" s="101"/>
      <c r="AO1677" s="101"/>
      <c r="AP1677" s="101"/>
      <c r="AQ1677" s="101"/>
      <c r="AR1677" s="101"/>
      <c r="AS1677" s="101"/>
      <c r="AT1677" s="101"/>
    </row>
    <row r="1678" spans="1:46" ht="12.95" customHeight="1">
      <c r="A1678" s="481"/>
      <c r="B1678" s="103" t="s">
        <v>871</v>
      </c>
      <c r="F1678" s="711"/>
      <c r="G1678" s="358"/>
      <c r="H1678" s="745"/>
      <c r="I1678" s="119"/>
      <c r="J1678" s="119"/>
      <c r="K1678" s="609"/>
      <c r="L1678" s="609"/>
      <c r="M1678" s="904" t="str">
        <f>IF($H$1784=0,"",IF(G1678=0,"",IF(F1678="Qty=",CONCATENATE("$",ROUND(K1678*(1-$H$1784),2)," with ",($H$1784*100),"% discount"),CONCATENATE("$",ROUND(K1678*(1-$H$1784),2)," with ",(($H$1784*100+F1678*100)-($H$1784*100*F1678)),IF(F1678&gt;0,"% discounts",IF($H$1781&gt;0,"% discounts","% discount"))))))</f>
        <v/>
      </c>
      <c r="N1678" s="904"/>
      <c r="O1678" s="904"/>
      <c r="P1678" s="904"/>
      <c r="Q1678" s="904"/>
      <c r="R1678" s="904"/>
      <c r="S1678" s="48"/>
      <c r="T1678" s="546"/>
      <c r="V1678" s="100" t="b">
        <f>IF(G1678&gt;0,IF(AD1678="me","",G1678))</f>
        <v>0</v>
      </c>
      <c r="W1678" s="100"/>
      <c r="X1678" s="100"/>
      <c r="Y1678" s="201"/>
      <c r="Z1678" s="829" t="str">
        <f t="shared" si="4042"/>
        <v/>
      </c>
      <c r="AA1678" s="829"/>
      <c r="AB1678" s="830" t="str">
        <f>IF(G1678=0,"",IF(AD1678="free","re-planting",IF(AD1678="me","not NVP, by",IF($AD$8="yes",(VLOOKUP(A1678,'Discount Lookup'!J:K,2)*G1678*(1-$AC$1786)*(1+$AC$1788)),IF(AD1678="NVP",(VLOOKUP(A1678,'Discount Lookup'!J:K,2)*G1678*(1-$AC$1786)*(1+$AC$1788)),IF(AD1678="free","re-planting",IF(G1678=0,"",IF($AD$8="",IF(AD1678="me","not NVP, by",IF(AD1678="",IF(G1678&gt;0,(VLOOKUP(A1678,'Discount Lookup'!J:K,2)*G1678*(1-$AC$1786)*(1+$AC$1788)),""),"")),"not NVP, by"))))))))</f>
        <v/>
      </c>
      <c r="AC1678" s="830"/>
      <c r="AD1678" s="375" t="str">
        <f t="shared" si="4002"/>
        <v/>
      </c>
      <c r="AE1678" s="833" t="str">
        <f t="shared" si="3957"/>
        <v/>
      </c>
      <c r="AF1678" s="833"/>
      <c r="AG1678" s="833"/>
      <c r="AH1678" s="91">
        <f>IF(AD1678="free",0,IF(AD1678="me",0,IF(G1678&gt;0,(VLOOKUP(A1678,'Discount Lookup'!J:K,2)*G1678),0)))</f>
        <v>0</v>
      </c>
      <c r="AI1678" s="92" t="str">
        <f t="shared" si="4050"/>
        <v/>
      </c>
      <c r="AJ1678" s="828" t="str">
        <f t="shared" si="4043"/>
        <v/>
      </c>
      <c r="AK1678" s="828"/>
      <c r="AL1678" s="313" t="str">
        <f t="shared" si="4076"/>
        <v/>
      </c>
      <c r="AM1678" s="312"/>
      <c r="AN1678" s="101"/>
      <c r="AO1678" s="101"/>
      <c r="AP1678" s="101"/>
      <c r="AQ1678" s="101"/>
      <c r="AR1678" s="101"/>
      <c r="AS1678" s="101"/>
      <c r="AT1678" s="101"/>
    </row>
    <row r="1679" spans="1:46" ht="12.95" customHeight="1">
      <c r="A1679" s="836" t="s">
        <v>872</v>
      </c>
      <c r="B1679" s="837"/>
      <c r="C1679" s="837"/>
      <c r="D1679" s="837"/>
      <c r="E1679" s="837"/>
      <c r="F1679" s="837"/>
      <c r="G1679" s="837"/>
      <c r="H1679" s="775" t="s">
        <v>619</v>
      </c>
      <c r="I1679" s="164" t="s">
        <v>79</v>
      </c>
      <c r="J1679" s="157"/>
      <c r="K1679" s="611" t="s">
        <v>45</v>
      </c>
      <c r="L1679" s="630" t="s">
        <v>46</v>
      </c>
      <c r="M1679" s="157"/>
      <c r="N1679" s="158" t="s">
        <v>69</v>
      </c>
      <c r="O1679" s="158"/>
      <c r="P1679" s="158"/>
      <c r="Q1679" s="158"/>
      <c r="R1679" s="157"/>
      <c r="S1679" s="170"/>
      <c r="T1679" s="547"/>
      <c r="U1679" s="159" t="s">
        <v>48</v>
      </c>
      <c r="V1679" s="100" t="b">
        <f>IF(G1679&gt;0,IF(AD1679="me","",G1679))</f>
        <v>0</v>
      </c>
      <c r="W1679" s="100"/>
      <c r="X1679" s="100"/>
      <c r="Y1679" s="201"/>
      <c r="Z1679" s="829" t="str">
        <f t="shared" si="4042"/>
        <v/>
      </c>
      <c r="AA1679" s="829"/>
      <c r="AB1679" s="830" t="str">
        <f>IF(G1679=0,"",IF(AD1679="free","re-planting",IF(AD1679="me","not NVP, by",IF($AD$8="yes",(VLOOKUP(A1679,'Discount Lookup'!J:K,2)*G1679*(1-$AC$1786)*(1+$AC$1788)),IF(AD1679="NVP",(VLOOKUP(A1679,'Discount Lookup'!J:K,2)*G1679*(1-$AC$1786)*(1+$AC$1788)),IF(AD1679="free","re-planting",IF(G1679=0,"",IF($AD$8="",IF(AD1679="me","not NVP, by",IF(AD1679="",IF(G1679&gt;0,(VLOOKUP(A1679,'Discount Lookup'!J:K,2)*G1679*(1-$AC$1786)*(1+$AC$1788)),""),"")),"not NVP, by"))))))))</f>
        <v/>
      </c>
      <c r="AC1679" s="830"/>
      <c r="AD1679" s="375" t="str">
        <f t="shared" si="4002"/>
        <v/>
      </c>
      <c r="AE1679" s="833" t="str">
        <f t="shared" si="3957"/>
        <v/>
      </c>
      <c r="AF1679" s="833"/>
      <c r="AG1679" s="833"/>
      <c r="AH1679" s="91">
        <f>IF(AD1679="free",0,IF(AD1679="me",0,IF(G1679&gt;0,(VLOOKUP(A1679,'Discount Lookup'!J:K,2)*G1679),0)))</f>
        <v>0</v>
      </c>
      <c r="AI1679" s="92" t="str">
        <f t="shared" si="4050"/>
        <v/>
      </c>
      <c r="AJ1679" s="828" t="str">
        <f t="shared" si="4043"/>
        <v/>
      </c>
      <c r="AK1679" s="828"/>
      <c r="AL1679" s="313" t="str">
        <f t="shared" si="4076"/>
        <v/>
      </c>
      <c r="AM1679" s="312"/>
      <c r="AN1679" s="101"/>
      <c r="AO1679" s="101"/>
      <c r="AP1679" s="101"/>
      <c r="AQ1679" s="101"/>
      <c r="AR1679" s="101"/>
      <c r="AS1679" s="101"/>
      <c r="AT1679" s="101"/>
    </row>
    <row r="1680" spans="1:46" ht="12.95" customHeight="1">
      <c r="A1680" s="383">
        <v>1</v>
      </c>
      <c r="B1680" s="158" t="s">
        <v>50</v>
      </c>
      <c r="C1680" s="168" t="s">
        <v>136</v>
      </c>
      <c r="D1680" s="161" t="s">
        <v>94</v>
      </c>
      <c r="E1680" s="162">
        <v>10.95</v>
      </c>
      <c r="F1680" s="713" t="s">
        <v>1306</v>
      </c>
      <c r="G1680" s="357">
        <v>0</v>
      </c>
      <c r="H1680" s="748" t="str">
        <f t="shared" ref="H1680:H1681" si="4082">IF(G1680=0,"",IF(F1680="Qty=",IF(G1680=1,"plant","plants"),IF(F1680&gt;0.0001,"warranty","Error")))</f>
        <v/>
      </c>
      <c r="I1680" s="592">
        <f t="shared" ref="I1680:I1681" si="4083">IF(F1680="Qty=",(E1680*G1680),((E1680*(1-F1680))*G1680))</f>
        <v>0</v>
      </c>
      <c r="J1680" s="592">
        <f>IF(H1680="warranty",0,(I1680*($J$1782)))</f>
        <v>0</v>
      </c>
      <c r="K1680" s="834">
        <f t="shared" ref="K1680:K1681" si="4084">I1680+J1680</f>
        <v>0</v>
      </c>
      <c r="L1680" s="834"/>
      <c r="M1680" s="832" t="str">
        <f>IF($H$1784=0,"",IF(G1680=0,"",IF(F1680="Qty=",CONCATENATE("$",ROUND(K1680*(1-$H$1784),2)," with ",($H$1784*100),"% discount"),CONCATENATE("$",ROUND(K1680*(1-$H$1784),2)," with ",(($H$1784*100+F1680*100)-($H$1784*100*F1680)),IF(F1680&gt;0,"% discounts",IF($H$1781&gt;0,"% discounts","% discount"))))))</f>
        <v/>
      </c>
      <c r="N1680" s="832"/>
      <c r="O1680" s="832"/>
      <c r="P1680" s="832"/>
      <c r="Q1680" s="832"/>
      <c r="R1680" s="832"/>
      <c r="S1680" s="303">
        <f>E1680*G1680</f>
        <v>0</v>
      </c>
      <c r="T1680" s="541">
        <f>VLOOKUP(A1680,'Discount Lookup'!D:E,2,FALSE)*G1680</f>
        <v>0</v>
      </c>
      <c r="U1680" s="83">
        <f>VLOOKUP(A1680,'Discount Lookup'!G:H,2,FALSE)*G1680</f>
        <v>0</v>
      </c>
      <c r="V1680" s="100">
        <f>E1680*($J$1782)*G1680</f>
        <v>0</v>
      </c>
      <c r="W1680" s="100">
        <f>I1680</f>
        <v>0</v>
      </c>
      <c r="X1680" s="100" t="b">
        <f>IF(G1680&gt;0,IF(AD1680="me","",G1680))</f>
        <v>0</v>
      </c>
      <c r="Y1680" s="201"/>
      <c r="Z1680" s="829" t="str">
        <f t="shared" si="4042"/>
        <v/>
      </c>
      <c r="AA1680" s="829"/>
      <c r="AB1680" s="830" t="str">
        <f>IF(G1680=0,"",IF(AD1680="free","re-planting",IF(AD1680="me","not NVP, by",IF($AD$8="yes",(VLOOKUP(A1680,'Discount Lookup'!J:K,2)*G1680*(1-$AC$1786)*(1+$AC$1788)),IF(AD1680="NVP",(VLOOKUP(A1680,'Discount Lookup'!J:K,2)*G1680*(1-$AC$1786)*(1+$AC$1788)),IF(AD1680="free","re-planting",IF(G1680=0,"",IF($AD$8="",IF(AD1680="me","not NVP, by",IF(AD1680="",IF(G1680&gt;0,(VLOOKUP(A1680,'Discount Lookup'!J:K,2)*G1680*(1-$AC$1786)*(1+$AC$1788)),""),"")),"not NVP, by"))))))))</f>
        <v/>
      </c>
      <c r="AC1680" s="830"/>
      <c r="AD1680" s="375" t="str">
        <f t="shared" si="4002"/>
        <v/>
      </c>
      <c r="AE1680" s="833" t="str">
        <f>IF(G1680&gt;0,(CONCATENATE((G1680)," quantity, ",(A1680)," ",B1680)),"")</f>
        <v/>
      </c>
      <c r="AF1680" s="833"/>
      <c r="AG1680" s="833"/>
      <c r="AH1680" s="91">
        <f>IF(AD1680="free",0,IF(AD1680="me",0,IF(G1680&gt;0,(VLOOKUP(A1680,'Discount Lookup'!J:K,2)*G1680),0)))</f>
        <v>0</v>
      </c>
      <c r="AI1680" s="92" t="str">
        <f t="shared" si="4050"/>
        <v/>
      </c>
      <c r="AJ1680" s="828" t="str">
        <f t="shared" si="4043"/>
        <v/>
      </c>
      <c r="AK1680" s="828"/>
      <c r="AL1680" s="313" t="str">
        <f t="shared" si="4076"/>
        <v/>
      </c>
      <c r="AM1680" s="312"/>
      <c r="AN1680" s="101"/>
      <c r="AO1680" s="101"/>
      <c r="AP1680" s="101"/>
      <c r="AQ1680" s="101"/>
      <c r="AR1680" s="101"/>
      <c r="AS1680" s="101"/>
      <c r="AT1680" s="101"/>
    </row>
    <row r="1681" spans="1:46" ht="12.95" customHeight="1">
      <c r="A1681" s="383">
        <v>2</v>
      </c>
      <c r="B1681" s="158" t="s">
        <v>50</v>
      </c>
      <c r="C1681" s="168" t="s">
        <v>136</v>
      </c>
      <c r="D1681" s="161" t="s">
        <v>90</v>
      </c>
      <c r="E1681" s="162">
        <v>30.95</v>
      </c>
      <c r="F1681" s="713" t="s">
        <v>1306</v>
      </c>
      <c r="G1681" s="357">
        <v>0</v>
      </c>
      <c r="H1681" s="748" t="str">
        <f t="shared" si="4082"/>
        <v/>
      </c>
      <c r="I1681" s="592">
        <f t="shared" si="4083"/>
        <v>0</v>
      </c>
      <c r="J1681" s="592">
        <f>IF(H1681="warranty",0,(I1681*($J$1782)))</f>
        <v>0</v>
      </c>
      <c r="K1681" s="834">
        <f t="shared" si="4084"/>
        <v>0</v>
      </c>
      <c r="L1681" s="834"/>
      <c r="M1681" s="832" t="str">
        <f>IF($H$1784=0,"",IF(G1681=0,"",IF(F1681="Qty=",CONCATENATE("$",ROUND(K1681*(1-$H$1784),2)," with ",($H$1784*100),"% discount"),CONCATENATE("$",ROUND(K1681*(1-$H$1784),2)," with ",(($H$1784*100+F1681*100)-($H$1784*100*F1681)),IF(F1681&gt;0,"% discounts",IF($H$1781&gt;0,"% discounts","% discount"))))))</f>
        <v/>
      </c>
      <c r="N1681" s="832"/>
      <c r="O1681" s="832"/>
      <c r="P1681" s="832"/>
      <c r="Q1681" s="832"/>
      <c r="R1681" s="832"/>
      <c r="S1681" s="303">
        <f t="shared" ref="S1681" si="4085">E1681*G1681</f>
        <v>0</v>
      </c>
      <c r="T1681" s="541">
        <f>VLOOKUP(A1681,'Discount Lookup'!D:E,2,FALSE)*G1681</f>
        <v>0</v>
      </c>
      <c r="U1681" s="83">
        <f>VLOOKUP(A1681,'Discount Lookup'!G:H,2,FALSE)*G1681</f>
        <v>0</v>
      </c>
      <c r="V1681" s="100">
        <f>E1681*($J$1782)*G1681</f>
        <v>0</v>
      </c>
      <c r="W1681" s="100">
        <f t="shared" ref="W1681" si="4086">I1681</f>
        <v>0</v>
      </c>
      <c r="X1681" s="100" t="b">
        <f>IF(G1681&gt;0,IF(AD1681="me","",G1681))</f>
        <v>0</v>
      </c>
      <c r="Y1681" s="201"/>
      <c r="Z1681" s="829" t="str">
        <f t="shared" si="4042"/>
        <v/>
      </c>
      <c r="AA1681" s="829"/>
      <c r="AB1681" s="830" t="str">
        <f>IF(G1681=0,"",IF(AD1681="free","re-planting",IF(AD1681="me","not NVP, by",IF($AD$8="yes",(VLOOKUP(A1681,'Discount Lookup'!J:K,2)*G1681*(1-$AC$1786)*(1+$AC$1788)),IF(AD1681="NVP",(VLOOKUP(A1681,'Discount Lookup'!J:K,2)*G1681*(1-$AC$1786)*(1+$AC$1788)),IF(AD1681="free","re-planting",IF(G1681=0,"",IF($AD$8="",IF(AD1681="me","not NVP, by",IF(AD1681="",IF(G1681&gt;0,(VLOOKUP(A1681,'Discount Lookup'!J:K,2)*G1681*(1-$AC$1786)*(1+$AC$1788)),""),"")),"not NVP, by"))))))))</f>
        <v/>
      </c>
      <c r="AC1681" s="830"/>
      <c r="AD1681" s="375" t="str">
        <f t="shared" si="4002"/>
        <v/>
      </c>
      <c r="AE1681" s="833" t="str">
        <f t="shared" si="3957"/>
        <v/>
      </c>
      <c r="AF1681" s="833"/>
      <c r="AG1681" s="833"/>
      <c r="AH1681" s="91">
        <f>IF(AD1681="free",0,IF(AD1681="me",0,IF(G1681&gt;0,(VLOOKUP(A1681,'Discount Lookup'!J:K,2)*G1681),0)))</f>
        <v>0</v>
      </c>
      <c r="AI1681" s="92" t="str">
        <f t="shared" si="4050"/>
        <v/>
      </c>
      <c r="AJ1681" s="828" t="str">
        <f t="shared" si="4043"/>
        <v/>
      </c>
      <c r="AK1681" s="828"/>
      <c r="AL1681" s="313" t="str">
        <f t="shared" si="4076"/>
        <v/>
      </c>
      <c r="AM1681" s="312"/>
      <c r="AN1681" s="101"/>
      <c r="AO1681" s="101"/>
      <c r="AP1681" s="101"/>
      <c r="AQ1681" s="101"/>
      <c r="AR1681" s="101"/>
      <c r="AS1681" s="101"/>
      <c r="AT1681" s="101"/>
    </row>
    <row r="1682" spans="1:46" ht="12.95" customHeight="1">
      <c r="A1682" s="481"/>
      <c r="B1682" s="103" t="s">
        <v>873</v>
      </c>
      <c r="G1682" s="361"/>
      <c r="H1682" s="749"/>
      <c r="L1682" s="163" t="s">
        <v>1343</v>
      </c>
      <c r="M1682" s="110"/>
      <c r="N1682" s="122"/>
      <c r="O1682" s="48"/>
      <c r="P1682" s="111"/>
      <c r="Q1682" s="111"/>
      <c r="R1682" s="48"/>
      <c r="S1682" s="82"/>
      <c r="T1682" s="540"/>
      <c r="U1682" s="83"/>
      <c r="V1682" s="100"/>
      <c r="W1682" s="100"/>
      <c r="X1682" s="100"/>
      <c r="Y1682" s="201"/>
      <c r="Z1682" s="829" t="str">
        <f t="shared" si="4042"/>
        <v/>
      </c>
      <c r="AA1682" s="829"/>
      <c r="AB1682" s="830" t="str">
        <f>IF(G1682=0,"",IF(AD1682="free","re-planting",IF(AD1682="me","not NVP, by",IF($AD$8="yes",(VLOOKUP(A1682,'Discount Lookup'!J:K,2)*G1682*(1-$AC$1786)*(1+$AC$1788)),IF(AD1682="NVP",(VLOOKUP(A1682,'Discount Lookup'!J:K,2)*G1682*(1-$AC$1786)*(1+$AC$1788)),IF(AD1682="free","re-planting",IF(G1682=0,"",IF($AD$8="",IF(AD1682="me","not NVP, by",IF(AD1682="",IF(G1682&gt;0,(VLOOKUP(A1682,'Discount Lookup'!J:K,2)*G1682*(1-$AC$1786)*(1+$AC$1788)),""),"")),"not NVP, by"))))))))</f>
        <v/>
      </c>
      <c r="AC1682" s="830"/>
      <c r="AD1682" s="375" t="str">
        <f t="shared" si="4002"/>
        <v/>
      </c>
      <c r="AE1682" s="833" t="str">
        <f t="shared" si="3957"/>
        <v/>
      </c>
      <c r="AF1682" s="833"/>
      <c r="AG1682" s="833"/>
      <c r="AH1682" s="91">
        <f>IF(AD1682="free",0,IF(AD1682="me",0,IF(G1682&gt;0,(VLOOKUP(A1682,'Discount Lookup'!J:K,2)*G1682),0)))</f>
        <v>0</v>
      </c>
      <c r="AI1682" s="92" t="str">
        <f t="shared" si="4050"/>
        <v/>
      </c>
      <c r="AJ1682" s="828" t="str">
        <f t="shared" si="4043"/>
        <v/>
      </c>
      <c r="AK1682" s="828"/>
      <c r="AL1682" s="313" t="str">
        <f t="shared" si="4076"/>
        <v/>
      </c>
      <c r="AM1682" s="312"/>
      <c r="AN1682" s="101"/>
      <c r="AO1682" s="101"/>
      <c r="AP1682" s="101"/>
      <c r="AQ1682" s="101"/>
      <c r="AR1682" s="101"/>
      <c r="AS1682" s="101"/>
      <c r="AT1682" s="101"/>
    </row>
    <row r="1683" spans="1:46" ht="12.95" customHeight="1">
      <c r="A1683" s="836" t="s">
        <v>874</v>
      </c>
      <c r="B1683" s="837"/>
      <c r="C1683" s="837"/>
      <c r="D1683" s="837"/>
      <c r="E1683" s="837"/>
      <c r="F1683" s="837"/>
      <c r="G1683" s="837"/>
      <c r="H1683" s="775" t="s">
        <v>621</v>
      </c>
      <c r="I1683" s="349" t="s">
        <v>280</v>
      </c>
      <c r="J1683" s="157"/>
      <c r="K1683" s="611" t="s">
        <v>45</v>
      </c>
      <c r="L1683" s="630" t="s">
        <v>46</v>
      </c>
      <c r="M1683" s="157"/>
      <c r="N1683" s="158" t="s">
        <v>69</v>
      </c>
      <c r="O1683" s="158"/>
      <c r="P1683" s="158"/>
      <c r="Q1683" s="158"/>
      <c r="R1683" s="835" t="s">
        <v>49</v>
      </c>
      <c r="S1683" s="835"/>
      <c r="T1683" s="835"/>
      <c r="U1683" s="835"/>
      <c r="V1683" s="100" t="b">
        <f>IF(G1683&gt;0,IF(AD1683="me","",G1683))</f>
        <v>0</v>
      </c>
      <c r="W1683" s="100"/>
      <c r="X1683" s="100"/>
      <c r="Y1683" s="201"/>
      <c r="Z1683" s="829" t="str">
        <f t="shared" si="4042"/>
        <v/>
      </c>
      <c r="AA1683" s="829"/>
      <c r="AB1683" s="830" t="str">
        <f>IF(G1683=0,"",IF(AD1683="free","re-planting",IF(AD1683="me","not NVP, by",IF($AD$8="yes",(VLOOKUP(A1683,'Discount Lookup'!J:K,2)*G1683*(1-$AC$1786)*(1+$AC$1788)),IF(AD1683="NVP",(VLOOKUP(A1683,'Discount Lookup'!J:K,2)*G1683*(1-$AC$1786)*(1+$AC$1788)),IF(AD1683="free","re-planting",IF(G1683=0,"",IF($AD$8="",IF(AD1683="me","not NVP, by",IF(AD1683="",IF(G1683&gt;0,(VLOOKUP(A1683,'Discount Lookup'!J:K,2)*G1683*(1-$AC$1786)*(1+$AC$1788)),""),"")),"not NVP, by"))))))))</f>
        <v/>
      </c>
      <c r="AC1683" s="830"/>
      <c r="AD1683" s="375" t="str">
        <f t="shared" si="4002"/>
        <v/>
      </c>
      <c r="AE1683" s="833" t="str">
        <f t="shared" si="3957"/>
        <v/>
      </c>
      <c r="AF1683" s="833"/>
      <c r="AG1683" s="833"/>
      <c r="AH1683" s="91">
        <f>IF(AD1683="free",0,IF(AD1683="me",0,IF(G1683&gt;0,(VLOOKUP(A1683,'Discount Lookup'!J:K,2)*G1683),0)))</f>
        <v>0</v>
      </c>
      <c r="AI1683" s="92" t="str">
        <f t="shared" si="4050"/>
        <v/>
      </c>
      <c r="AJ1683" s="828" t="str">
        <f t="shared" si="4043"/>
        <v/>
      </c>
      <c r="AK1683" s="828"/>
      <c r="AL1683" s="313" t="str">
        <f t="shared" si="4076"/>
        <v/>
      </c>
      <c r="AM1683" s="312"/>
      <c r="AN1683" s="101"/>
      <c r="AO1683" s="101"/>
      <c r="AP1683" s="101"/>
      <c r="AQ1683" s="101"/>
      <c r="AR1683" s="101"/>
      <c r="AS1683" s="101"/>
      <c r="AT1683" s="101"/>
    </row>
    <row r="1684" spans="1:46" ht="12.95" customHeight="1">
      <c r="A1684" s="383">
        <v>1</v>
      </c>
      <c r="B1684" s="158" t="s">
        <v>50</v>
      </c>
      <c r="C1684" s="168" t="s">
        <v>136</v>
      </c>
      <c r="D1684" s="161" t="s">
        <v>87</v>
      </c>
      <c r="E1684" s="162">
        <v>9.9499999999999993</v>
      </c>
      <c r="F1684" s="713" t="s">
        <v>1306</v>
      </c>
      <c r="G1684" s="357">
        <v>0</v>
      </c>
      <c r="H1684" s="748" t="str">
        <f t="shared" ref="H1684:H1685" si="4087">IF(G1684=0,"",IF(F1684="Qty=",IF(G1684=1,"plant","plants"),IF(F1684&gt;0.0001,"warranty","Error")))</f>
        <v/>
      </c>
      <c r="I1684" s="592">
        <f t="shared" ref="I1684:I1685" si="4088">IF(F1684="Qty=",(E1684*G1684),((E1684*(1-F1684))*G1684))</f>
        <v>0</v>
      </c>
      <c r="J1684" s="592">
        <f>IF(H1684="warranty",0,(I1684*($J$1782)))</f>
        <v>0</v>
      </c>
      <c r="K1684" s="834">
        <f t="shared" ref="K1684:K1685" si="4089">I1684+J1684</f>
        <v>0</v>
      </c>
      <c r="L1684" s="834"/>
      <c r="M1684" s="832" t="str">
        <f>IF($H$1784=0,"",IF(G1684=0,"",IF(F1684="Qty=",CONCATENATE("$",ROUND(K1684*(1-$H$1784),2)," with ",($H$1784*100),"% discount"),CONCATENATE("$",ROUND(K1684*(1-$H$1784),2)," with ",(($H$1784*100+F1684*100)-($H$1784*100*F1684)),IF(F1684&gt;0,"% discounts",IF($H$1781&gt;0,"% discounts","% discount"))))))</f>
        <v/>
      </c>
      <c r="N1684" s="832"/>
      <c r="O1684" s="832"/>
      <c r="P1684" s="832"/>
      <c r="Q1684" s="832"/>
      <c r="R1684" s="832"/>
      <c r="S1684" s="303">
        <f t="shared" ref="S1684" si="4090">E1684*G1684</f>
        <v>0</v>
      </c>
      <c r="T1684" s="541">
        <f>VLOOKUP(A1684,'Discount Lookup'!D:E,2,FALSE)*G1684</f>
        <v>0</v>
      </c>
      <c r="U1684" s="83">
        <f>VLOOKUP(A1684,'Discount Lookup'!G:H,2,FALSE)*G1684</f>
        <v>0</v>
      </c>
      <c r="V1684" s="100">
        <f>E1684*($J$1782)*G1684</f>
        <v>0</v>
      </c>
      <c r="W1684" s="100">
        <f t="shared" ref="W1684" si="4091">I1684</f>
        <v>0</v>
      </c>
      <c r="X1684" s="100" t="b">
        <f>IF(G1684&gt;0,IF(AD1684="me","",G1684))</f>
        <v>0</v>
      </c>
      <c r="Y1684" s="201"/>
      <c r="Z1684" s="829" t="str">
        <f t="shared" si="4042"/>
        <v/>
      </c>
      <c r="AA1684" s="829"/>
      <c r="AB1684" s="830" t="str">
        <f>IF(G1684=0,"",IF(AD1684="free","re-planting",IF(AD1684="me","not NVP, by",IF($AD$8="yes",(VLOOKUP(A1684,'Discount Lookup'!J:K,2)*G1684*(1-$AC$1786)*(1+$AC$1788)),IF(AD1684="NVP",(VLOOKUP(A1684,'Discount Lookup'!J:K,2)*G1684*(1-$AC$1786)*(1+$AC$1788)),IF(AD1684="free","re-planting",IF(G1684=0,"",IF($AD$8="",IF(AD1684="me","not NVP, by",IF(AD1684="",IF(G1684&gt;0,(VLOOKUP(A1684,'Discount Lookup'!J:K,2)*G1684*(1-$AC$1786)*(1+$AC$1788)),""),"")),"not NVP, by"))))))))</f>
        <v/>
      </c>
      <c r="AC1684" s="830"/>
      <c r="AD1684" s="375" t="str">
        <f t="shared" si="4002"/>
        <v/>
      </c>
      <c r="AE1684" s="833" t="str">
        <f t="shared" si="3957"/>
        <v/>
      </c>
      <c r="AF1684" s="833"/>
      <c r="AG1684" s="833"/>
      <c r="AH1684" s="91">
        <f>IF(AD1684="free",0,IF(AD1684="me",0,IF(G1684&gt;0,(VLOOKUP(A1684,'Discount Lookup'!J:K,2)*G1684),0)))</f>
        <v>0</v>
      </c>
      <c r="AI1684" s="92" t="str">
        <f t="shared" si="4050"/>
        <v/>
      </c>
      <c r="AJ1684" s="828" t="str">
        <f t="shared" si="4043"/>
        <v/>
      </c>
      <c r="AK1684" s="828"/>
      <c r="AL1684" s="313" t="str">
        <f t="shared" si="4076"/>
        <v/>
      </c>
      <c r="AM1684" s="312"/>
      <c r="AN1684" s="101"/>
      <c r="AO1684" s="101"/>
      <c r="AP1684" s="101"/>
      <c r="AQ1684" s="101"/>
      <c r="AR1684" s="101"/>
      <c r="AS1684" s="101"/>
      <c r="AT1684" s="101"/>
    </row>
    <row r="1685" spans="1:46" ht="12.95" customHeight="1">
      <c r="A1685" s="383">
        <v>2</v>
      </c>
      <c r="B1685" s="158" t="s">
        <v>50</v>
      </c>
      <c r="C1685" s="168" t="s">
        <v>136</v>
      </c>
      <c r="D1685" s="161" t="s">
        <v>90</v>
      </c>
      <c r="E1685" s="162">
        <v>31.95</v>
      </c>
      <c r="F1685" s="713" t="s">
        <v>1306</v>
      </c>
      <c r="G1685" s="357">
        <v>0</v>
      </c>
      <c r="H1685" s="748" t="str">
        <f t="shared" si="4087"/>
        <v/>
      </c>
      <c r="I1685" s="592">
        <f t="shared" si="4088"/>
        <v>0</v>
      </c>
      <c r="J1685" s="592">
        <f>IF(H1685="warranty",0,(I1685*($J$1782)))</f>
        <v>0</v>
      </c>
      <c r="K1685" s="834">
        <f t="shared" si="4089"/>
        <v>0</v>
      </c>
      <c r="L1685" s="834"/>
      <c r="M1685" s="832" t="str">
        <f>IF($H$1784=0,"",IF(G1685=0,"",IF(F1685="Qty=",CONCATENATE("$",ROUND(K1685*(1-$H$1784),2)," with ",($H$1784*100),"% discount"),CONCATENATE("$",ROUND(K1685*(1-$H$1784),2)," with ",(($H$1784*100+F1685*100)-($H$1784*100*F1685)),IF(F1685&gt;0,"% discounts",IF($H$1781&gt;0,"% discounts","% discount"))))))</f>
        <v/>
      </c>
      <c r="N1685" s="832"/>
      <c r="O1685" s="832"/>
      <c r="P1685" s="832"/>
      <c r="Q1685" s="832"/>
      <c r="R1685" s="832"/>
      <c r="S1685" s="303">
        <f t="shared" ref="S1685" si="4092">E1685*G1685</f>
        <v>0</v>
      </c>
      <c r="T1685" s="541">
        <f>VLOOKUP(A1685,'Discount Lookup'!D:E,2,FALSE)*G1685</f>
        <v>0</v>
      </c>
      <c r="U1685" s="83">
        <f>VLOOKUP(A1685,'Discount Lookup'!G:H,2,FALSE)*G1685</f>
        <v>0</v>
      </c>
      <c r="V1685" s="100">
        <f>E1685*($J$1782)*G1685</f>
        <v>0</v>
      </c>
      <c r="W1685" s="100">
        <f t="shared" ref="W1685" si="4093">I1685</f>
        <v>0</v>
      </c>
      <c r="X1685" s="100" t="b">
        <f>IF(G1685&gt;0,IF(AD1685="me","",G1685))</f>
        <v>0</v>
      </c>
      <c r="Y1685" s="201"/>
      <c r="Z1685" s="829" t="str">
        <f t="shared" si="4042"/>
        <v/>
      </c>
      <c r="AA1685" s="829"/>
      <c r="AB1685" s="830" t="str">
        <f>IF(G1685=0,"",IF(AD1685="free","re-planting",IF(AD1685="me","not NVP, by",IF($AD$8="yes",(VLOOKUP(A1685,'Discount Lookup'!J:K,2)*G1685*(1-$AC$1786)*(1+$AC$1788)),IF(AD1685="NVP",(VLOOKUP(A1685,'Discount Lookup'!J:K,2)*G1685*(1-$AC$1786)*(1+$AC$1788)),IF(AD1685="free","re-planting",IF(G1685=0,"",IF($AD$8="",IF(AD1685="me","not NVP, by",IF(AD1685="",IF(G1685&gt;0,(VLOOKUP(A1685,'Discount Lookup'!J:K,2)*G1685*(1-$AC$1786)*(1+$AC$1788)),""),"")),"not NVP, by"))))))))</f>
        <v/>
      </c>
      <c r="AC1685" s="830"/>
      <c r="AD1685" s="375" t="str">
        <f t="shared" si="4002"/>
        <v/>
      </c>
      <c r="AE1685" s="833" t="str">
        <f t="shared" si="3957"/>
        <v/>
      </c>
      <c r="AF1685" s="833"/>
      <c r="AG1685" s="833"/>
      <c r="AH1685" s="91">
        <f>IF(AD1685="free",0,IF(AD1685="me",0,IF(G1685&gt;0,(VLOOKUP(A1685,'Discount Lookup'!J:K,2)*G1685),0)))</f>
        <v>0</v>
      </c>
      <c r="AI1685" s="92" t="str">
        <f t="shared" si="4050"/>
        <v/>
      </c>
      <c r="AJ1685" s="828" t="str">
        <f t="shared" si="4043"/>
        <v/>
      </c>
      <c r="AK1685" s="828"/>
      <c r="AL1685" s="313" t="str">
        <f t="shared" si="4076"/>
        <v/>
      </c>
      <c r="AM1685" s="312"/>
      <c r="AN1685" s="101"/>
      <c r="AO1685" s="101"/>
      <c r="AP1685" s="101"/>
      <c r="AQ1685" s="101"/>
      <c r="AR1685" s="101"/>
      <c r="AS1685" s="101"/>
      <c r="AT1685" s="101"/>
    </row>
    <row r="1686" spans="1:46" ht="12.95" customHeight="1">
      <c r="A1686" s="481"/>
      <c r="B1686" s="103" t="s">
        <v>875</v>
      </c>
      <c r="G1686" s="361"/>
      <c r="H1686" s="746"/>
      <c r="J1686" s="131"/>
      <c r="K1686" s="177" t="s">
        <v>876</v>
      </c>
      <c r="L1686" s="193" t="s">
        <v>36</v>
      </c>
      <c r="M1686" s="121"/>
      <c r="N1686" s="48"/>
      <c r="O1686" s="163" t="s">
        <v>877</v>
      </c>
      <c r="P1686" s="48"/>
      <c r="Q1686" s="48"/>
      <c r="R1686" s="48"/>
      <c r="S1686" s="48"/>
      <c r="T1686" s="546"/>
      <c r="V1686" s="100" t="b">
        <f>IF(G1686&gt;0,IF(AD1686="me","",G1686))</f>
        <v>0</v>
      </c>
      <c r="W1686" s="100"/>
      <c r="X1686" s="100"/>
      <c r="Y1686" s="201"/>
      <c r="Z1686" s="829" t="str">
        <f t="shared" si="4042"/>
        <v/>
      </c>
      <c r="AA1686" s="829"/>
      <c r="AB1686" s="830" t="str">
        <f>IF(G1686=0,"",IF(AD1686="free","re-planting",IF(AD1686="me","not NVP, by",IF($AD$8="yes",(VLOOKUP(A1686,'Discount Lookup'!J:K,2)*G1686*(1-$AC$1786)*(1+$AC$1788)),IF(AD1686="NVP",(VLOOKUP(A1686,'Discount Lookup'!J:K,2)*G1686*(1-$AC$1786)*(1+$AC$1788)),IF(AD1686="free","re-planting",IF(G1686=0,"",IF($AD$8="",IF(AD1686="me","not NVP, by",IF(AD1686="",IF(G1686&gt;0,(VLOOKUP(A1686,'Discount Lookup'!J:K,2)*G1686*(1-$AC$1786)*(1+$AC$1788)),""),"")),"not NVP, by"))))))))</f>
        <v/>
      </c>
      <c r="AC1686" s="830"/>
      <c r="AD1686" s="375" t="str">
        <f t="shared" si="4002"/>
        <v/>
      </c>
      <c r="AE1686" s="833" t="str">
        <f t="shared" si="3957"/>
        <v/>
      </c>
      <c r="AF1686" s="833"/>
      <c r="AG1686" s="833"/>
      <c r="AH1686" s="91">
        <f>IF(AD1686="free",0,IF(AD1686="me",0,IF(G1686&gt;0,(VLOOKUP(A1686,'Discount Lookup'!J:K,2)*G1686),0)))</f>
        <v>0</v>
      </c>
      <c r="AI1686" s="92" t="str">
        <f t="shared" si="4050"/>
        <v/>
      </c>
      <c r="AJ1686" s="828" t="str">
        <f t="shared" si="4043"/>
        <v/>
      </c>
      <c r="AK1686" s="828"/>
      <c r="AL1686" s="313" t="str">
        <f t="shared" si="4076"/>
        <v/>
      </c>
      <c r="AM1686" s="312"/>
      <c r="AN1686" s="101"/>
      <c r="AO1686" s="101"/>
      <c r="AP1686" s="101"/>
      <c r="AQ1686" s="101"/>
      <c r="AR1686" s="101"/>
      <c r="AS1686" s="101"/>
      <c r="AT1686" s="101"/>
    </row>
    <row r="1687" spans="1:46" ht="12.95" customHeight="1">
      <c r="A1687" s="836" t="s">
        <v>878</v>
      </c>
      <c r="B1687" s="837"/>
      <c r="C1687" s="837"/>
      <c r="D1687" s="837"/>
      <c r="E1687" s="837"/>
      <c r="F1687" s="837"/>
      <c r="G1687" s="837"/>
      <c r="H1687" s="775" t="s">
        <v>621</v>
      </c>
      <c r="I1687" s="164" t="s">
        <v>127</v>
      </c>
      <c r="J1687" s="157"/>
      <c r="K1687" s="611" t="s">
        <v>45</v>
      </c>
      <c r="L1687" s="630" t="s">
        <v>46</v>
      </c>
      <c r="M1687" s="157"/>
      <c r="N1687" s="175" t="s">
        <v>157</v>
      </c>
      <c r="O1687" s="175"/>
      <c r="P1687" s="175"/>
      <c r="Q1687" s="175"/>
      <c r="R1687" s="157"/>
      <c r="S1687" s="170"/>
      <c r="T1687" s="547"/>
      <c r="U1687" s="171"/>
      <c r="V1687" s="100" t="b">
        <f>IF(G1687&gt;0,IF(AD1687="me","",G1687))</f>
        <v>0</v>
      </c>
      <c r="W1687" s="100"/>
      <c r="X1687" s="100"/>
      <c r="Y1687" s="201"/>
      <c r="Z1687" s="829" t="str">
        <f t="shared" si="4042"/>
        <v/>
      </c>
      <c r="AA1687" s="829"/>
      <c r="AB1687" s="830" t="str">
        <f>IF(G1687=0,"",IF(AD1687="free","re-planting",IF(AD1687="me","not NVP, by",IF($AD$8="yes",(VLOOKUP(A1687,'Discount Lookup'!J:K,2)*G1687*(1-$AC$1786)*(1+$AC$1788)),IF(AD1687="NVP",(VLOOKUP(A1687,'Discount Lookup'!J:K,2)*G1687*(1-$AC$1786)*(1+$AC$1788)),IF(AD1687="free","re-planting",IF(G1687=0,"",IF($AD$8="",IF(AD1687="me","not NVP, by",IF(AD1687="",IF(G1687&gt;0,(VLOOKUP(A1687,'Discount Lookup'!J:K,2)*G1687*(1-$AC$1786)*(1+$AC$1788)),""),"")),"not NVP, by"))))))))</f>
        <v/>
      </c>
      <c r="AC1687" s="830"/>
      <c r="AD1687" s="375" t="str">
        <f t="shared" si="4002"/>
        <v/>
      </c>
      <c r="AE1687" s="833" t="str">
        <f t="shared" si="3957"/>
        <v/>
      </c>
      <c r="AF1687" s="833"/>
      <c r="AG1687" s="833"/>
      <c r="AH1687" s="91">
        <f>IF(AD1687="free",0,IF(AD1687="me",0,IF(G1687&gt;0,(VLOOKUP(A1687,'Discount Lookup'!J:K,2)*G1687),0)))</f>
        <v>0</v>
      </c>
      <c r="AI1687" s="92" t="str">
        <f t="shared" si="4050"/>
        <v/>
      </c>
      <c r="AJ1687" s="828" t="str">
        <f t="shared" si="4043"/>
        <v/>
      </c>
      <c r="AK1687" s="828"/>
      <c r="AL1687" s="313" t="str">
        <f t="shared" si="4076"/>
        <v/>
      </c>
      <c r="AM1687" s="312"/>
      <c r="AN1687" s="101"/>
      <c r="AO1687" s="101"/>
      <c r="AP1687" s="101"/>
      <c r="AQ1687" s="101"/>
      <c r="AR1687" s="101"/>
      <c r="AS1687" s="101"/>
      <c r="AT1687" s="101"/>
    </row>
    <row r="1688" spans="1:46" ht="12.95" customHeight="1">
      <c r="A1688" s="383">
        <v>1</v>
      </c>
      <c r="B1688" s="158" t="s">
        <v>50</v>
      </c>
      <c r="C1688" s="168" t="s">
        <v>236</v>
      </c>
      <c r="D1688" s="161" t="s">
        <v>63</v>
      </c>
      <c r="E1688" s="162">
        <v>10.95</v>
      </c>
      <c r="F1688" s="713" t="s">
        <v>1306</v>
      </c>
      <c r="G1688" s="357">
        <v>0</v>
      </c>
      <c r="H1688" s="748" t="str">
        <f t="shared" ref="H1688:H1691" si="4094">IF(G1688=0,"",IF(F1688="Qty=",IF(G1688=1,"plant","plants"),IF(F1688&gt;0.0001,"warranty","Error")))</f>
        <v/>
      </c>
      <c r="I1688" s="592">
        <f t="shared" ref="I1688:I1691" si="4095">IF(F1688="Qty=",(E1688*G1688),((E1688*(1-F1688))*G1688))</f>
        <v>0</v>
      </c>
      <c r="J1688" s="592">
        <f>IF(H1688="warranty",0,(I1688*($J$1782)))</f>
        <v>0</v>
      </c>
      <c r="K1688" s="834">
        <f t="shared" ref="K1688:K1691" si="4096">I1688+J1688</f>
        <v>0</v>
      </c>
      <c r="L1688" s="834"/>
      <c r="M1688" s="832" t="str">
        <f>IF($H$1784=0,"",IF(G1688=0,"",IF(F1688="Qty=",CONCATENATE("$",ROUND(K1688*(1-$H$1784),2)," with ",($H$1784*100),"% discount"),CONCATENATE("$",ROUND(K1688*(1-$H$1784),2)," with ",(($H$1784*100+F1688*100)-($H$1784*100*F1688)),IF(F1688&gt;0,"% discounts",IF($H$1781&gt;0,"% discounts","% discount"))))))</f>
        <v/>
      </c>
      <c r="N1688" s="832"/>
      <c r="O1688" s="832"/>
      <c r="P1688" s="832"/>
      <c r="Q1688" s="832"/>
      <c r="R1688" s="832"/>
      <c r="S1688" s="303">
        <f t="shared" ref="S1688:S1691" si="4097">E1688*G1688</f>
        <v>0</v>
      </c>
      <c r="T1688" s="541">
        <f>VLOOKUP(A1688,'Discount Lookup'!D:E,2,FALSE)*G1688</f>
        <v>0</v>
      </c>
      <c r="U1688" s="83">
        <f>VLOOKUP(A1688,'Discount Lookup'!G:H,2,FALSE)*G1688</f>
        <v>0</v>
      </c>
      <c r="V1688" s="100">
        <f>E1688*($J$1782)*G1688</f>
        <v>0</v>
      </c>
      <c r="W1688" s="100">
        <f t="shared" ref="W1688:W1691" si="4098">I1688</f>
        <v>0</v>
      </c>
      <c r="X1688" s="100" t="b">
        <f>IF(G1688&gt;0,IF(AD1688="me","",G1688))</f>
        <v>0</v>
      </c>
      <c r="Y1688" s="201"/>
      <c r="Z1688" s="829" t="str">
        <f t="shared" si="4042"/>
        <v/>
      </c>
      <c r="AA1688" s="829"/>
      <c r="AB1688" s="830" t="str">
        <f>IF(G1688=0,"",IF(AD1688="free","re-planting",IF(AD1688="me","not NVP, by",IF($AD$8="yes",(VLOOKUP(A1688,'Discount Lookup'!J:K,2)*G1688*(1-$AC$1786)*(1+$AC$1788)),IF(AD1688="NVP",(VLOOKUP(A1688,'Discount Lookup'!J:K,2)*G1688*(1-$AC$1786)*(1+$AC$1788)),IF(AD1688="free","re-planting",IF(G1688=0,"",IF($AD$8="",IF(AD1688="me","not NVP, by",IF(AD1688="",IF(G1688&gt;0,(VLOOKUP(A1688,'Discount Lookup'!J:K,2)*G1688*(1-$AC$1786)*(1+$AC$1788)),""),"")),"not NVP, by"))))))))</f>
        <v/>
      </c>
      <c r="AC1688" s="830"/>
      <c r="AD1688" s="375" t="str">
        <f t="shared" si="4002"/>
        <v/>
      </c>
      <c r="AE1688" s="833" t="str">
        <f t="shared" si="3957"/>
        <v/>
      </c>
      <c r="AF1688" s="833"/>
      <c r="AG1688" s="833"/>
      <c r="AH1688" s="91">
        <f>IF(AD1688="free",0,IF(AD1688="me",0,IF(G1688&gt;0,(VLOOKUP(A1688,'Discount Lookup'!J:K,2)*G1688),0)))</f>
        <v>0</v>
      </c>
      <c r="AI1688" s="92" t="str">
        <f t="shared" si="4050"/>
        <v/>
      </c>
      <c r="AJ1688" s="828" t="str">
        <f t="shared" si="4043"/>
        <v/>
      </c>
      <c r="AK1688" s="828"/>
      <c r="AL1688" s="313" t="str">
        <f t="shared" si="4076"/>
        <v/>
      </c>
      <c r="AM1688" s="312"/>
      <c r="AN1688" s="101"/>
      <c r="AO1688" s="101"/>
      <c r="AP1688" s="101"/>
      <c r="AQ1688" s="101"/>
      <c r="AR1688" s="101"/>
      <c r="AS1688" s="101"/>
      <c r="AT1688" s="101"/>
    </row>
    <row r="1689" spans="1:46" ht="12.95" customHeight="1">
      <c r="A1689" s="383">
        <v>3</v>
      </c>
      <c r="B1689" s="158" t="s">
        <v>50</v>
      </c>
      <c r="C1689" s="168" t="s">
        <v>136</v>
      </c>
      <c r="D1689" s="161" t="s">
        <v>54</v>
      </c>
      <c r="E1689" s="162">
        <v>28.95</v>
      </c>
      <c r="F1689" s="713" t="s">
        <v>1306</v>
      </c>
      <c r="G1689" s="357">
        <v>0</v>
      </c>
      <c r="H1689" s="748" t="str">
        <f t="shared" si="4094"/>
        <v/>
      </c>
      <c r="I1689" s="592">
        <f t="shared" si="4095"/>
        <v>0</v>
      </c>
      <c r="J1689" s="592">
        <f>IF(H1689="warranty",0,(I1689*($J$1782)))</f>
        <v>0</v>
      </c>
      <c r="K1689" s="834">
        <f t="shared" si="4096"/>
        <v>0</v>
      </c>
      <c r="L1689" s="834"/>
      <c r="M1689" s="832" t="str">
        <f>IF($H$1784=0,"",IF(G1689=0,"",IF(F1689="Qty=",CONCATENATE("$",ROUND(K1689*(1-$H$1784),2)," with ",($H$1784*100),"% discount"),CONCATENATE("$",ROUND(K1689*(1-$H$1784),2)," with ",(($H$1784*100+F1689*100)-($H$1784*100*F1689)),IF(F1689&gt;0,"% discounts",IF($H$1781&gt;0,"% discounts","% discount"))))))</f>
        <v/>
      </c>
      <c r="N1689" s="832"/>
      <c r="O1689" s="832"/>
      <c r="P1689" s="832"/>
      <c r="Q1689" s="832"/>
      <c r="R1689" s="832"/>
      <c r="S1689" s="303">
        <f t="shared" ref="S1689" si="4099">E1689*G1689</f>
        <v>0</v>
      </c>
      <c r="T1689" s="541">
        <f>VLOOKUP(A1689,'Discount Lookup'!D:E,2,FALSE)*G1689</f>
        <v>0</v>
      </c>
      <c r="U1689" s="83">
        <f>VLOOKUP(A1689,'Discount Lookup'!G:H,2,FALSE)*G1689</f>
        <v>0</v>
      </c>
      <c r="V1689" s="100">
        <f>E1689*($J$1782)*G1689</f>
        <v>0</v>
      </c>
      <c r="W1689" s="100">
        <f t="shared" ref="W1689" si="4100">I1689</f>
        <v>0</v>
      </c>
      <c r="X1689" s="100" t="b">
        <f>IF(G1689&gt;0,IF(AD1689="me","",G1689))</f>
        <v>0</v>
      </c>
      <c r="Y1689" s="201"/>
      <c r="Z1689" s="829" t="str">
        <f t="shared" si="4042"/>
        <v/>
      </c>
      <c r="AA1689" s="829"/>
      <c r="AB1689" s="830" t="str">
        <f>IF(G1689=0,"",IF(AD1689="free","re-planting",IF(AD1689="me","not NVP, by",IF($AD$8="yes",(VLOOKUP(A1689,'Discount Lookup'!J:K,2)*G1689*(1-$AC$1786)*(1+$AC$1788)),IF(AD1689="NVP",(VLOOKUP(A1689,'Discount Lookup'!J:K,2)*G1689*(1-$AC$1786)*(1+$AC$1788)),IF(AD1689="free","re-planting",IF(G1689=0,"",IF($AD$8="",IF(AD1689="me","not NVP, by",IF(AD1689="",IF(G1689&gt;0,(VLOOKUP(A1689,'Discount Lookup'!J:K,2)*G1689*(1-$AC$1786)*(1+$AC$1788)),""),"")),"not NVP, by"))))))))</f>
        <v/>
      </c>
      <c r="AC1689" s="830"/>
      <c r="AD1689" s="375" t="str">
        <f t="shared" si="4002"/>
        <v/>
      </c>
      <c r="AE1689" s="833" t="str">
        <f t="shared" ref="AE1689" si="4101">IF(G1689&gt;0,(CONCATENATE((G1689)," quantity, ",(A1689)," ",B1689)),"")</f>
        <v/>
      </c>
      <c r="AF1689" s="833"/>
      <c r="AG1689" s="833"/>
      <c r="AH1689" s="91">
        <f>IF(AD1689="free",0,IF(AD1689="me",0,IF(G1689&gt;0,(VLOOKUP(A1689,'Discount Lookup'!J:K,2)*G1689),0)))</f>
        <v>0</v>
      </c>
      <c r="AI1689" s="92" t="str">
        <f t="shared" si="4050"/>
        <v/>
      </c>
      <c r="AJ1689" s="828" t="str">
        <f t="shared" si="4043"/>
        <v/>
      </c>
      <c r="AK1689" s="828"/>
      <c r="AL1689" s="313" t="str">
        <f t="shared" si="4076"/>
        <v/>
      </c>
      <c r="AM1689" s="312"/>
      <c r="AN1689" s="101"/>
      <c r="AO1689" s="101"/>
      <c r="AP1689" s="101"/>
      <c r="AQ1689" s="101"/>
      <c r="AR1689" s="101"/>
      <c r="AS1689" s="101"/>
      <c r="AT1689" s="101"/>
    </row>
    <row r="1690" spans="1:46" ht="12.95" customHeight="1">
      <c r="A1690" s="383">
        <v>3</v>
      </c>
      <c r="B1690" s="158" t="s">
        <v>50</v>
      </c>
      <c r="C1690" s="168" t="s">
        <v>136</v>
      </c>
      <c r="D1690" s="161" t="s">
        <v>94</v>
      </c>
      <c r="E1690" s="162">
        <v>18.95</v>
      </c>
      <c r="F1690" s="713" t="s">
        <v>1306</v>
      </c>
      <c r="G1690" s="357">
        <v>0</v>
      </c>
      <c r="H1690" s="748" t="str">
        <f t="shared" si="4094"/>
        <v/>
      </c>
      <c r="I1690" s="592">
        <f t="shared" si="4095"/>
        <v>0</v>
      </c>
      <c r="J1690" s="592">
        <f>IF(H1690="warranty",0,(I1690*($J$1782)))</f>
        <v>0</v>
      </c>
      <c r="K1690" s="834">
        <f t="shared" si="4096"/>
        <v>0</v>
      </c>
      <c r="L1690" s="834"/>
      <c r="M1690" s="832" t="str">
        <f>IF($H$1784=0,"",IF(G1690=0,"",IF(F1690="Qty=",CONCATENATE("$",ROUND(K1690*(1-$H$1784),2)," with ",($H$1784*100),"% discount"),CONCATENATE("$",ROUND(K1690*(1-$H$1784),2)," with ",(($H$1784*100+F1690*100)-($H$1784*100*F1690)),IF(F1690&gt;0,"% discounts",IF($H$1781&gt;0,"% discounts","% discount"))))))</f>
        <v/>
      </c>
      <c r="N1690" s="832"/>
      <c r="O1690" s="832"/>
      <c r="P1690" s="832"/>
      <c r="Q1690" s="832"/>
      <c r="R1690" s="832"/>
      <c r="S1690" s="303">
        <f t="shared" si="4097"/>
        <v>0</v>
      </c>
      <c r="T1690" s="541">
        <f>VLOOKUP(A1690,'Discount Lookup'!D:E,2,FALSE)*G1690</f>
        <v>0</v>
      </c>
      <c r="U1690" s="83">
        <f>VLOOKUP(A1690,'Discount Lookup'!G:H,2,FALSE)*G1690</f>
        <v>0</v>
      </c>
      <c r="V1690" s="100">
        <f>E1690*($J$1782)*G1690</f>
        <v>0</v>
      </c>
      <c r="W1690" s="100">
        <f t="shared" si="4098"/>
        <v>0</v>
      </c>
      <c r="X1690" s="100" t="b">
        <f>IF(G1690&gt;0,IF(AD1690="me","",G1690))</f>
        <v>0</v>
      </c>
      <c r="Y1690" s="201"/>
      <c r="Z1690" s="829" t="str">
        <f t="shared" si="4042"/>
        <v/>
      </c>
      <c r="AA1690" s="829"/>
      <c r="AB1690" s="830" t="str">
        <f>IF(G1690=0,"",IF(AD1690="free","re-planting",IF(AD1690="me","not NVP, by",IF($AD$8="yes",(VLOOKUP(A1690,'Discount Lookup'!J:K,2)*G1690*(1-$AC$1786)*(1+$AC$1788)),IF(AD1690="NVP",(VLOOKUP(A1690,'Discount Lookup'!J:K,2)*G1690*(1-$AC$1786)*(1+$AC$1788)),IF(AD1690="free","re-planting",IF(G1690=0,"",IF($AD$8="",IF(AD1690="me","not NVP, by",IF(AD1690="",IF(G1690&gt;0,(VLOOKUP(A1690,'Discount Lookup'!J:K,2)*G1690*(1-$AC$1786)*(1+$AC$1788)),""),"")),"not NVP, by"))))))))</f>
        <v/>
      </c>
      <c r="AC1690" s="830"/>
      <c r="AD1690" s="375" t="str">
        <f t="shared" si="4002"/>
        <v/>
      </c>
      <c r="AE1690" s="833" t="str">
        <f t="shared" si="3957"/>
        <v/>
      </c>
      <c r="AF1690" s="833"/>
      <c r="AG1690" s="833"/>
      <c r="AH1690" s="91">
        <f>IF(AD1690="free",0,IF(AD1690="me",0,IF(G1690&gt;0,(VLOOKUP(A1690,'Discount Lookup'!J:K,2)*G1690),0)))</f>
        <v>0</v>
      </c>
      <c r="AI1690" s="92" t="str">
        <f t="shared" si="4050"/>
        <v/>
      </c>
      <c r="AJ1690" s="828" t="str">
        <f t="shared" si="4043"/>
        <v/>
      </c>
      <c r="AK1690" s="828"/>
      <c r="AL1690" s="313" t="str">
        <f t="shared" si="4076"/>
        <v/>
      </c>
      <c r="AM1690" s="312"/>
      <c r="AN1690" s="101"/>
      <c r="AO1690" s="101"/>
      <c r="AP1690" s="101"/>
      <c r="AQ1690" s="101"/>
      <c r="AR1690" s="101"/>
      <c r="AS1690" s="101"/>
      <c r="AT1690" s="101"/>
    </row>
    <row r="1691" spans="1:46" ht="12.95" customHeight="1">
      <c r="A1691" s="383">
        <v>3</v>
      </c>
      <c r="B1691" s="158" t="s">
        <v>50</v>
      </c>
      <c r="C1691" s="168" t="s">
        <v>136</v>
      </c>
      <c r="D1691" s="161" t="s">
        <v>90</v>
      </c>
      <c r="E1691" s="162">
        <v>33.950000000000003</v>
      </c>
      <c r="F1691" s="713" t="s">
        <v>1306</v>
      </c>
      <c r="G1691" s="357">
        <v>0</v>
      </c>
      <c r="H1691" s="748" t="str">
        <f t="shared" si="4094"/>
        <v/>
      </c>
      <c r="I1691" s="592">
        <f t="shared" si="4095"/>
        <v>0</v>
      </c>
      <c r="J1691" s="592">
        <f>IF(H1691="warranty",0,(I1691*($J$1782)))</f>
        <v>0</v>
      </c>
      <c r="K1691" s="834">
        <f t="shared" si="4096"/>
        <v>0</v>
      </c>
      <c r="L1691" s="834"/>
      <c r="M1691" s="832" t="str">
        <f>IF($H$1784=0,"",IF(G1691=0,"",IF(F1691="Qty=",CONCATENATE("$",ROUND(K1691*(1-$H$1784),2)," with ",($H$1784*100),"% discount"),CONCATENATE("$",ROUND(K1691*(1-$H$1784),2)," with ",(($H$1784*100+F1691*100)-($H$1784*100*F1691)),IF(F1691&gt;0,"% discounts",IF($H$1781&gt;0,"% discounts","% discount"))))))</f>
        <v/>
      </c>
      <c r="N1691" s="832"/>
      <c r="O1691" s="832"/>
      <c r="P1691" s="832"/>
      <c r="Q1691" s="832"/>
      <c r="R1691" s="832"/>
      <c r="S1691" s="303">
        <f t="shared" si="4097"/>
        <v>0</v>
      </c>
      <c r="T1691" s="541">
        <f>VLOOKUP(A1691,'Discount Lookup'!D:E,2,FALSE)*G1691</f>
        <v>0</v>
      </c>
      <c r="U1691" s="83">
        <f>VLOOKUP(A1691,'Discount Lookup'!G:H,2,FALSE)*G1691</f>
        <v>0</v>
      </c>
      <c r="V1691" s="100">
        <f>E1691*($J$1782)*G1691</f>
        <v>0</v>
      </c>
      <c r="W1691" s="100">
        <f t="shared" si="4098"/>
        <v>0</v>
      </c>
      <c r="X1691" s="100" t="b">
        <f>IF(G1691&gt;0,IF(AD1691="me","",G1691))</f>
        <v>0</v>
      </c>
      <c r="Y1691" s="201"/>
      <c r="Z1691" s="829" t="str">
        <f t="shared" ref="Z1691" si="4102">IF(G1691=0,"",IF(AD1691="me","",IF($AD$8="me","",IF(AD1691="free","warranty",IF($AD$8="yes","NVP planting:","to NVP install:")))))</f>
        <v/>
      </c>
      <c r="AA1691" s="829"/>
      <c r="AB1691" s="830" t="str">
        <f>IF(G1691=0,"",IF(AD1691="free","re-planting",IF(AD1691="me","not NVP, by",IF($AD$8="yes",(VLOOKUP(A1691,'Discount Lookup'!J:K,2)*G1691*(1-$AC$1786)*(1+$AC$1788)),IF(AD1691="NVP",(VLOOKUP(A1691,'Discount Lookup'!J:K,2)*G1691*(1-$AC$1786)*(1+$AC$1788)),IF(AD1691="free","re-planting",IF(G1691=0,"",IF($AD$8="",IF(AD1691="me","not NVP, by",IF(AD1691="",IF(G1691&gt;0,(VLOOKUP(A1691,'Discount Lookup'!J:K,2)*G1691*(1-$AC$1786)*(1+$AC$1788)),""),"")),"not NVP, by"))))))))</f>
        <v/>
      </c>
      <c r="AC1691" s="830"/>
      <c r="AD1691" s="375" t="str">
        <f t="shared" ref="AD1691" si="4103">IF(G1691=0,"",IF($AD$8="me","me",IF(H1691="warranty","free",IF($AD$8="yes","NVP",""))))</f>
        <v/>
      </c>
      <c r="AE1691" s="833" t="str">
        <f t="shared" ref="AE1691" si="4104">IF(G1691&gt;0,(CONCATENATE((G1691)," quantity, ",(A1691)," ",B1691)),"")</f>
        <v/>
      </c>
      <c r="AF1691" s="833"/>
      <c r="AG1691" s="833"/>
      <c r="AH1691" s="91">
        <f>IF(AD1691="free",0,IF(AD1691="me",0,IF(G1691&gt;0,(VLOOKUP(A1691,'Discount Lookup'!J:K,2)*G1691),0)))</f>
        <v>0</v>
      </c>
      <c r="AI1691" s="92" t="str">
        <f t="shared" si="4050"/>
        <v/>
      </c>
      <c r="AJ1691" s="828" t="str">
        <f t="shared" ref="AJ1691" si="4105">IF(G1691=0,"",IF(AD1691="me","  delivery-only",IF($AD$8="me","  delivery-only",CONCATENATE(" $",ROUND(AI1691/G1691,2)," each"))))</f>
        <v/>
      </c>
      <c r="AK1691" s="828"/>
      <c r="AL1691" s="313" t="str">
        <f t="shared" si="4076"/>
        <v/>
      </c>
      <c r="AM1691" s="312"/>
      <c r="AN1691" s="101"/>
      <c r="AO1691" s="101"/>
      <c r="AP1691" s="101"/>
      <c r="AQ1691" s="101"/>
      <c r="AR1691" s="101"/>
      <c r="AS1691" s="101"/>
      <c r="AT1691" s="101"/>
    </row>
    <row r="1692" spans="1:46" ht="12.95" customHeight="1">
      <c r="A1692" s="481"/>
      <c r="B1692" s="103" t="s">
        <v>879</v>
      </c>
      <c r="H1692" s="363"/>
      <c r="J1692" s="840"/>
      <c r="K1692" s="840"/>
      <c r="L1692" s="840"/>
      <c r="M1692" s="48"/>
      <c r="N1692" s="174" t="s">
        <v>857</v>
      </c>
      <c r="R1692" s="48"/>
      <c r="S1692" s="48"/>
      <c r="T1692" s="546"/>
      <c r="Y1692" s="132"/>
      <c r="Z1692" s="829" t="str">
        <f t="shared" si="4042"/>
        <v/>
      </c>
      <c r="AA1692" s="829"/>
      <c r="AB1692" s="830" t="str">
        <f>IF(G1692=0,"",IF(AD1692="free","re-planting",IF(AD1692="me","not NVP, by",IF($AD$8="yes",(VLOOKUP(A1692,'Discount Lookup'!J:K,2)*G1692*(1-$AC$1786)*(1+$AC$1788)),IF(AD1692="NVP",(VLOOKUP(A1692,'Discount Lookup'!J:K,2)*G1692*(1-$AC$1786)*(1+$AC$1788)),IF(AD1692="free","re-planting",IF(G1692=0,"",IF($AD$8="",IF(AD1692="me","not NVP, by",IF(AD1692="",IF(G1692&gt;0,(VLOOKUP(A1692,'Discount Lookup'!J:K,2)*G1692*(1-$AC$1786)*(1+$AC$1788)),""),"")),"not NVP, by"))))))))</f>
        <v/>
      </c>
      <c r="AC1692" s="830"/>
      <c r="AD1692" s="375" t="str">
        <f t="shared" si="4002"/>
        <v/>
      </c>
      <c r="AE1692" s="833" t="str">
        <f t="shared" si="3957"/>
        <v/>
      </c>
      <c r="AF1692" s="833"/>
      <c r="AG1692" s="833"/>
      <c r="AH1692" s="91">
        <f>IF(AD1692="free",0,IF(AD1692="me",0,IF(G1692&gt;0,(VLOOKUP(A1692,'Discount Lookup'!J:K,2)*G1692),0)))</f>
        <v>0</v>
      </c>
      <c r="AI1692" s="92" t="str">
        <f t="shared" si="4050"/>
        <v/>
      </c>
      <c r="AJ1692" s="828" t="str">
        <f t="shared" si="4043"/>
        <v/>
      </c>
      <c r="AK1692" s="828"/>
      <c r="AL1692" s="313" t="str">
        <f t="shared" si="4076"/>
        <v/>
      </c>
      <c r="AM1692" s="312"/>
      <c r="AN1692" s="101"/>
      <c r="AO1692" s="101"/>
      <c r="AP1692" s="101"/>
      <c r="AQ1692" s="101"/>
      <c r="AR1692" s="101"/>
      <c r="AS1692" s="101"/>
      <c r="AT1692" s="101"/>
    </row>
    <row r="1693" spans="1:46" ht="12.95" customHeight="1">
      <c r="A1693" s="836" t="s">
        <v>880</v>
      </c>
      <c r="B1693" s="837"/>
      <c r="C1693" s="837"/>
      <c r="D1693" s="837"/>
      <c r="E1693" s="837"/>
      <c r="F1693" s="837"/>
      <c r="G1693" s="837"/>
      <c r="H1693" s="775" t="s">
        <v>624</v>
      </c>
      <c r="I1693" s="164" t="s">
        <v>79</v>
      </c>
      <c r="J1693" s="157"/>
      <c r="K1693" s="611" t="s">
        <v>45</v>
      </c>
      <c r="L1693" s="630" t="s">
        <v>46</v>
      </c>
      <c r="M1693" s="157"/>
      <c r="N1693" s="158" t="s">
        <v>845</v>
      </c>
      <c r="O1693" s="158"/>
      <c r="P1693" s="158"/>
      <c r="Q1693" s="164"/>
      <c r="R1693" s="164"/>
      <c r="S1693" s="170"/>
      <c r="T1693" s="547"/>
      <c r="U1693" s="171"/>
      <c r="V1693" s="100" t="b">
        <f>IF(G1693&gt;0,IF(AD1693="me","",G1693))</f>
        <v>0</v>
      </c>
      <c r="W1693" s="100"/>
      <c r="X1693" s="100"/>
      <c r="Y1693" s="201"/>
      <c r="Z1693" s="829" t="str">
        <f t="shared" si="4042"/>
        <v/>
      </c>
      <c r="AA1693" s="829"/>
      <c r="AB1693" s="830" t="str">
        <f>IF(G1693=0,"",IF(AD1693="free","re-planting",IF(AD1693="me","not NVP, by",IF($AD$8="yes",(VLOOKUP(A1693,'Discount Lookup'!J:K,2)*G1693*(1-$AC$1786)*(1+$AC$1788)),IF(AD1693="NVP",(VLOOKUP(A1693,'Discount Lookup'!J:K,2)*G1693*(1-$AC$1786)*(1+$AC$1788)),IF(AD1693="free","re-planting",IF(G1693=0,"",IF($AD$8="",IF(AD1693="me","not NVP, by",IF(AD1693="",IF(G1693&gt;0,(VLOOKUP(A1693,'Discount Lookup'!J:K,2)*G1693*(1-$AC$1786)*(1+$AC$1788)),""),"")),"not NVP, by"))))))))</f>
        <v/>
      </c>
      <c r="AC1693" s="830"/>
      <c r="AD1693" s="375" t="str">
        <f t="shared" si="4002"/>
        <v/>
      </c>
      <c r="AE1693" s="833" t="str">
        <f t="shared" si="3957"/>
        <v/>
      </c>
      <c r="AF1693" s="833"/>
      <c r="AG1693" s="833"/>
      <c r="AH1693" s="91">
        <f>IF(AD1693="free",0,IF(AD1693="me",0,IF(G1693&gt;0,(VLOOKUP(A1693,'Discount Lookup'!J:K,2)*G1693),0)))</f>
        <v>0</v>
      </c>
      <c r="AI1693" s="92" t="str">
        <f t="shared" si="4050"/>
        <v/>
      </c>
      <c r="AJ1693" s="828" t="str">
        <f t="shared" si="4043"/>
        <v/>
      </c>
      <c r="AK1693" s="828"/>
      <c r="AL1693" s="313" t="str">
        <f t="shared" si="4076"/>
        <v/>
      </c>
      <c r="AM1693" s="312"/>
      <c r="AN1693" s="101"/>
      <c r="AO1693" s="101"/>
      <c r="AP1693" s="101"/>
      <c r="AQ1693" s="101"/>
      <c r="AR1693" s="101"/>
      <c r="AS1693" s="101"/>
      <c r="AT1693" s="101"/>
    </row>
    <row r="1694" spans="1:46" ht="12.95" customHeight="1">
      <c r="A1694" s="383">
        <v>1</v>
      </c>
      <c r="B1694" s="158" t="s">
        <v>50</v>
      </c>
      <c r="C1694" s="168" t="s">
        <v>136</v>
      </c>
      <c r="D1694" s="161" t="s">
        <v>63</v>
      </c>
      <c r="E1694" s="162">
        <v>10.95</v>
      </c>
      <c r="F1694" s="713" t="s">
        <v>1306</v>
      </c>
      <c r="G1694" s="357">
        <v>0</v>
      </c>
      <c r="H1694" s="748" t="str">
        <f t="shared" ref="H1694" si="4106">IF(G1694=0,"",IF(F1694="Qty=",IF(G1694=1,"plant","plants"),IF(F1694&gt;0.0001,"warranty","Error")))</f>
        <v/>
      </c>
      <c r="I1694" s="592">
        <f t="shared" ref="I1694" si="4107">IF(F1694="Qty=",(E1694*G1694),((E1694*(1-F1694))*G1694))</f>
        <v>0</v>
      </c>
      <c r="J1694" s="592">
        <f>IF(H1694="warranty",0,(I1694*($J$1782)))</f>
        <v>0</v>
      </c>
      <c r="K1694" s="834">
        <f t="shared" ref="K1694" si="4108">I1694+J1694</f>
        <v>0</v>
      </c>
      <c r="L1694" s="834"/>
      <c r="M1694" s="832" t="str">
        <f>IF($H$1784=0,"",IF(G1694=0,"",IF(F1694="Qty=",CONCATENATE("$",ROUND(K1694*(1-$H$1784),2)," with ",($H$1784*100),"% discount"),CONCATENATE("$",ROUND(K1694*(1-$H$1784),2)," with ",(($H$1784*100+F1694*100)-($H$1784*100*F1694)),IF(F1694&gt;0,"% discounts",IF($H$1781&gt;0,"% discounts","% discount"))))))</f>
        <v/>
      </c>
      <c r="N1694" s="832"/>
      <c r="O1694" s="832"/>
      <c r="P1694" s="832"/>
      <c r="Q1694" s="832"/>
      <c r="R1694" s="832"/>
      <c r="S1694" s="303">
        <f t="shared" ref="S1694" si="4109">E1694*G1694</f>
        <v>0</v>
      </c>
      <c r="T1694" s="541">
        <f>VLOOKUP(A1694,'Discount Lookup'!D:E,2,FALSE)*G1694</f>
        <v>0</v>
      </c>
      <c r="U1694" s="83">
        <f>VLOOKUP(A1694,'Discount Lookup'!G:H,2,FALSE)*G1694</f>
        <v>0</v>
      </c>
      <c r="V1694" s="100">
        <f>E1694*($J$1782)*G1694</f>
        <v>0</v>
      </c>
      <c r="W1694" s="100">
        <f t="shared" ref="W1694" si="4110">I1694</f>
        <v>0</v>
      </c>
      <c r="X1694" s="100" t="b">
        <f>IF(G1694&gt;0,IF(AD1694="me","",G1694))</f>
        <v>0</v>
      </c>
      <c r="Y1694" s="201"/>
      <c r="Z1694" s="829" t="str">
        <f t="shared" si="4042"/>
        <v/>
      </c>
      <c r="AA1694" s="829"/>
      <c r="AB1694" s="830" t="str">
        <f>IF(G1694=0,"",IF(AD1694="free","re-planting",IF(AD1694="me","not NVP, by",IF($AD$8="yes",(VLOOKUP(A1694,'Discount Lookup'!J:K,2)*G1694*(1-$AC$1786)*(1+$AC$1788)),IF(AD1694="NVP",(VLOOKUP(A1694,'Discount Lookup'!J:K,2)*G1694*(1-$AC$1786)*(1+$AC$1788)),IF(AD1694="free","re-planting",IF(G1694=0,"",IF($AD$8="",IF(AD1694="me","not NVP, by",IF(AD1694="",IF(G1694&gt;0,(VLOOKUP(A1694,'Discount Lookup'!J:K,2)*G1694*(1-$AC$1786)*(1+$AC$1788)),""),"")),"not NVP, by"))))))))</f>
        <v/>
      </c>
      <c r="AC1694" s="830"/>
      <c r="AD1694" s="375" t="str">
        <f t="shared" si="4002"/>
        <v/>
      </c>
      <c r="AE1694" s="833" t="str">
        <f t="shared" si="3957"/>
        <v/>
      </c>
      <c r="AF1694" s="833"/>
      <c r="AG1694" s="833"/>
      <c r="AH1694" s="91">
        <f>IF(AD1694="free",0,IF(AD1694="me",0,IF(G1694&gt;0,(VLOOKUP(A1694,'Discount Lookup'!J:K,2)*G1694),0)))</f>
        <v>0</v>
      </c>
      <c r="AI1694" s="92" t="str">
        <f t="shared" si="4050"/>
        <v/>
      </c>
      <c r="AJ1694" s="828" t="str">
        <f t="shared" si="4043"/>
        <v/>
      </c>
      <c r="AK1694" s="828"/>
      <c r="AL1694" s="313" t="str">
        <f t="shared" si="4076"/>
        <v/>
      </c>
      <c r="AM1694" s="312"/>
      <c r="AN1694" s="101"/>
      <c r="AO1694" s="101"/>
      <c r="AP1694" s="101"/>
      <c r="AQ1694" s="101"/>
      <c r="AR1694" s="101"/>
      <c r="AS1694" s="101"/>
      <c r="AT1694" s="101"/>
    </row>
    <row r="1695" spans="1:46" ht="12.95" customHeight="1">
      <c r="A1695" s="473"/>
      <c r="B1695" s="103" t="s">
        <v>881</v>
      </c>
      <c r="C1695" s="117"/>
      <c r="D1695" s="118"/>
      <c r="E1695" s="119"/>
      <c r="F1695" s="711"/>
      <c r="G1695" s="356"/>
      <c r="H1695" s="745"/>
      <c r="I1695" s="119"/>
      <c r="J1695" s="119"/>
      <c r="K1695" s="609"/>
      <c r="L1695" s="609"/>
      <c r="O1695" s="123"/>
      <c r="P1695" s="124"/>
      <c r="Q1695" s="124"/>
      <c r="R1695" s="83"/>
      <c r="S1695" s="82"/>
      <c r="T1695" s="540"/>
      <c r="U1695" s="83"/>
      <c r="V1695" s="100" t="b">
        <f>IF(G1695&gt;0,IF(AD1695="me","",G1695))</f>
        <v>0</v>
      </c>
      <c r="W1695" s="100"/>
      <c r="X1695" s="100"/>
      <c r="Y1695" s="201"/>
      <c r="Z1695" s="829" t="str">
        <f t="shared" si="4042"/>
        <v/>
      </c>
      <c r="AA1695" s="829"/>
      <c r="AB1695" s="830" t="str">
        <f>IF(G1695=0,"",IF(AD1695="free","re-planting",IF(AD1695="me","not NVP, by",IF($AD$8="yes",(VLOOKUP(A1695,'Discount Lookup'!J:K,2)*G1695*(1-$AC$1786)*(1+$AC$1788)),IF(AD1695="NVP",(VLOOKUP(A1695,'Discount Lookup'!J:K,2)*G1695*(1-$AC$1786)*(1+$AC$1788)),IF(AD1695="free","re-planting",IF(G1695=0,"",IF($AD$8="",IF(AD1695="me","not NVP, by",IF(AD1695="",IF(G1695&gt;0,(VLOOKUP(A1695,'Discount Lookup'!J:K,2)*G1695*(1-$AC$1786)*(1+$AC$1788)),""),"")),"not NVP, by"))))))))</f>
        <v/>
      </c>
      <c r="AC1695" s="830"/>
      <c r="AD1695" s="375" t="str">
        <f t="shared" si="4002"/>
        <v/>
      </c>
      <c r="AE1695" s="833" t="str">
        <f t="shared" si="3957"/>
        <v/>
      </c>
      <c r="AF1695" s="833"/>
      <c r="AG1695" s="833"/>
      <c r="AH1695" s="91">
        <f>IF(AD1695="free",0,IF(AD1695="me",0,IF(G1695&gt;0,(VLOOKUP(A1695,'Discount Lookup'!J:K,2)*G1695),0)))</f>
        <v>0</v>
      </c>
      <c r="AI1695" s="92" t="str">
        <f t="shared" si="4050"/>
        <v/>
      </c>
      <c r="AJ1695" s="828" t="str">
        <f t="shared" si="4043"/>
        <v/>
      </c>
      <c r="AK1695" s="828"/>
      <c r="AL1695" s="313" t="str">
        <f t="shared" si="4076"/>
        <v/>
      </c>
      <c r="AM1695" s="312"/>
      <c r="AN1695" s="101"/>
      <c r="AO1695" s="101"/>
      <c r="AP1695" s="101"/>
      <c r="AQ1695" s="101"/>
      <c r="AR1695" s="101"/>
      <c r="AS1695" s="101"/>
      <c r="AT1695" s="101"/>
    </row>
    <row r="1696" spans="1:46" ht="12.95" customHeight="1">
      <c r="A1696" s="836" t="s">
        <v>882</v>
      </c>
      <c r="B1696" s="837"/>
      <c r="C1696" s="837"/>
      <c r="D1696" s="837"/>
      <c r="E1696" s="837"/>
      <c r="F1696" s="837"/>
      <c r="G1696" s="837"/>
      <c r="H1696" s="775" t="s">
        <v>624</v>
      </c>
      <c r="I1696" s="349" t="s">
        <v>280</v>
      </c>
      <c r="J1696" s="157"/>
      <c r="K1696" s="611" t="s">
        <v>45</v>
      </c>
      <c r="L1696" s="630" t="s">
        <v>46</v>
      </c>
      <c r="M1696" s="157"/>
      <c r="N1696" s="158" t="s">
        <v>98</v>
      </c>
      <c r="O1696" s="158"/>
      <c r="P1696" s="158"/>
      <c r="Q1696" s="158"/>
      <c r="R1696" s="157"/>
      <c r="S1696" s="170"/>
      <c r="T1696" s="547"/>
      <c r="U1696" s="171"/>
      <c r="V1696" s="100"/>
      <c r="W1696" s="100"/>
      <c r="X1696" s="100"/>
      <c r="Y1696" s="201"/>
      <c r="Z1696" s="829" t="str">
        <f t="shared" si="4042"/>
        <v/>
      </c>
      <c r="AA1696" s="829"/>
      <c r="AB1696" s="830" t="str">
        <f>IF(G1696=0,"",IF(AD1696="free","re-planting",IF(AD1696="me","not NVP, by",IF($AD$8="yes",(VLOOKUP(A1696,'Discount Lookup'!J:K,2)*G1696*(1-$AC$1786)*(1+$AC$1788)),IF(AD1696="NVP",(VLOOKUP(A1696,'Discount Lookup'!J:K,2)*G1696*(1-$AC$1786)*(1+$AC$1788)),IF(AD1696="free","re-planting",IF(G1696=0,"",IF($AD$8="",IF(AD1696="me","not NVP, by",IF(AD1696="",IF(G1696&gt;0,(VLOOKUP(A1696,'Discount Lookup'!J:K,2)*G1696*(1-$AC$1786)*(1+$AC$1788)),""),"")),"not NVP, by"))))))))</f>
        <v/>
      </c>
      <c r="AC1696" s="830"/>
      <c r="AD1696" s="375" t="str">
        <f t="shared" si="4002"/>
        <v/>
      </c>
      <c r="AE1696" s="833" t="str">
        <f t="shared" si="3957"/>
        <v/>
      </c>
      <c r="AF1696" s="833"/>
      <c r="AG1696" s="833"/>
      <c r="AH1696" s="91">
        <f>IF(AD1696="free",0,IF(AD1696="me",0,IF(G1696&gt;0,(VLOOKUP(A1696,'Discount Lookup'!J:K,2)*G1696),0)))</f>
        <v>0</v>
      </c>
      <c r="AI1696" s="92" t="str">
        <f t="shared" si="4050"/>
        <v/>
      </c>
      <c r="AJ1696" s="828" t="str">
        <f t="shared" si="4043"/>
        <v/>
      </c>
      <c r="AK1696" s="828"/>
      <c r="AL1696" s="313" t="str">
        <f t="shared" si="4076"/>
        <v/>
      </c>
      <c r="AM1696" s="312"/>
      <c r="AN1696" s="101"/>
      <c r="AO1696" s="101"/>
      <c r="AP1696" s="101"/>
      <c r="AQ1696" s="101"/>
      <c r="AR1696" s="101"/>
      <c r="AS1696" s="101"/>
      <c r="AT1696" s="101"/>
    </row>
    <row r="1697" spans="1:46" ht="12.95" customHeight="1">
      <c r="A1697" s="383">
        <v>3</v>
      </c>
      <c r="B1697" s="158" t="s">
        <v>50</v>
      </c>
      <c r="C1697" s="168" t="s">
        <v>136</v>
      </c>
      <c r="D1697" s="161" t="s">
        <v>62</v>
      </c>
      <c r="E1697" s="162">
        <v>22.95</v>
      </c>
      <c r="F1697" s="713" t="s">
        <v>1306</v>
      </c>
      <c r="G1697" s="357">
        <v>0</v>
      </c>
      <c r="H1697" s="748" t="str">
        <f t="shared" ref="H1697" si="4111">IF(G1697=0,"",IF(F1697="Qty=",IF(G1697=1,"plant","plants"),IF(F1697&gt;0.0001,"warranty","Error")))</f>
        <v/>
      </c>
      <c r="I1697" s="592">
        <f t="shared" ref="I1697" si="4112">IF(F1697="Qty=",(E1697*G1697),((E1697*(1-F1697))*G1697))</f>
        <v>0</v>
      </c>
      <c r="J1697" s="592">
        <f>IF(H1697="warranty",0,(I1697*($J$1782)))</f>
        <v>0</v>
      </c>
      <c r="K1697" s="834">
        <f t="shared" ref="K1697" si="4113">I1697+J1697</f>
        <v>0</v>
      </c>
      <c r="L1697" s="834"/>
      <c r="M1697" s="832" t="str">
        <f>IF($H$1784=0,"",IF(G1697=0,"",IF(F1697="Qty=",CONCATENATE("$",ROUND(K1697*(1-$H$1784),2)," with ",($H$1784*100),"% discount"),CONCATENATE("$",ROUND(K1697*(1-$H$1784),2)," with ",(($H$1784*100+F1697*100)-($H$1784*100*F1697)),IF(F1697&gt;0,"% discounts",IF($H$1781&gt;0,"% discounts","% discount"))))))</f>
        <v/>
      </c>
      <c r="N1697" s="832"/>
      <c r="O1697" s="832"/>
      <c r="P1697" s="832"/>
      <c r="Q1697" s="832"/>
      <c r="R1697" s="832"/>
      <c r="S1697" s="303">
        <f t="shared" ref="S1697" si="4114">E1697*G1697</f>
        <v>0</v>
      </c>
      <c r="T1697" s="541">
        <f>VLOOKUP(A1697,'Discount Lookup'!D:E,2,FALSE)*G1697</f>
        <v>0</v>
      </c>
      <c r="U1697" s="83">
        <f>VLOOKUP(A1697,'Discount Lookup'!G:H,2,FALSE)*G1697</f>
        <v>0</v>
      </c>
      <c r="V1697" s="100">
        <f>E1697*($J$1782)*G1697</f>
        <v>0</v>
      </c>
      <c r="W1697" s="100">
        <f t="shared" ref="W1697" si="4115">I1697</f>
        <v>0</v>
      </c>
      <c r="X1697" s="100" t="b">
        <f>IF(G1697&gt;0,IF(AD1697="me","",G1697))</f>
        <v>0</v>
      </c>
      <c r="Y1697" s="201"/>
      <c r="Z1697" s="829" t="str">
        <f t="shared" si="4042"/>
        <v/>
      </c>
      <c r="AA1697" s="829"/>
      <c r="AB1697" s="830" t="str">
        <f>IF(G1697=0,"",IF(AD1697="free","re-planting",IF(AD1697="me","not NVP, by",IF($AD$8="yes",(VLOOKUP(A1697,'Discount Lookup'!J:K,2)*G1697*(1-$AC$1786)*(1+$AC$1788)),IF(AD1697="NVP",(VLOOKUP(A1697,'Discount Lookup'!J:K,2)*G1697*(1-$AC$1786)*(1+$AC$1788)),IF(AD1697="free","re-planting",IF(G1697=0,"",IF($AD$8="",IF(AD1697="me","not NVP, by",IF(AD1697="",IF(G1697&gt;0,(VLOOKUP(A1697,'Discount Lookup'!J:K,2)*G1697*(1-$AC$1786)*(1+$AC$1788)),""),"")),"not NVP, by"))))))))</f>
        <v/>
      </c>
      <c r="AC1697" s="830"/>
      <c r="AD1697" s="375" t="str">
        <f t="shared" si="4002"/>
        <v/>
      </c>
      <c r="AE1697" s="833" t="str">
        <f t="shared" ref="AE1697:AE1773" si="4116">IF(G1697&gt;0,(CONCATENATE((G1697)," quantity, ",(A1697)," ",B1697)),"")</f>
        <v/>
      </c>
      <c r="AF1697" s="833"/>
      <c r="AG1697" s="833"/>
      <c r="AH1697" s="91">
        <f>IF(AD1697="free",0,IF(AD1697="me",0,IF(G1697&gt;0,(VLOOKUP(A1697,'Discount Lookup'!J:K,2)*G1697),0)))</f>
        <v>0</v>
      </c>
      <c r="AI1697" s="92" t="str">
        <f t="shared" si="4050"/>
        <v/>
      </c>
      <c r="AJ1697" s="828" t="str">
        <f t="shared" si="4043"/>
        <v/>
      </c>
      <c r="AK1697" s="828"/>
      <c r="AL1697" s="313" t="str">
        <f t="shared" si="4076"/>
        <v/>
      </c>
      <c r="AM1697" s="312"/>
      <c r="AN1697" s="101"/>
      <c r="AO1697" s="101"/>
      <c r="AP1697" s="101"/>
      <c r="AQ1697" s="101"/>
      <c r="AR1697" s="101"/>
      <c r="AS1697" s="101"/>
      <c r="AT1697" s="101"/>
    </row>
    <row r="1698" spans="1:46" ht="12.95" customHeight="1">
      <c r="A1698" s="474"/>
      <c r="B1698" s="103" t="s">
        <v>883</v>
      </c>
      <c r="C1698" s="130"/>
      <c r="D1698" s="104"/>
      <c r="E1698" s="131"/>
      <c r="F1698" s="710"/>
      <c r="G1698" s="356"/>
      <c r="H1698" s="744"/>
      <c r="I1698" s="131"/>
      <c r="J1698" s="131"/>
      <c r="K1698" s="608"/>
      <c r="L1698" s="608"/>
      <c r="M1698" s="121"/>
      <c r="N1698" s="122" t="s">
        <v>277</v>
      </c>
      <c r="O1698" s="123"/>
      <c r="P1698" s="124"/>
      <c r="Q1698" s="841" t="s">
        <v>125</v>
      </c>
      <c r="R1698" s="841"/>
      <c r="S1698" s="841"/>
      <c r="T1698" s="841"/>
      <c r="U1698" s="841"/>
      <c r="V1698" s="841"/>
      <c r="W1698" s="100"/>
      <c r="X1698" s="100"/>
      <c r="Y1698" s="201"/>
      <c r="Z1698" s="829" t="str">
        <f t="shared" si="4042"/>
        <v/>
      </c>
      <c r="AA1698" s="829"/>
      <c r="AB1698" s="830" t="str">
        <f>IF(G1698=0,"",IF(AD1698="free","re-planting",IF(AD1698="me","not NVP, by",IF($AD$8="yes",(VLOOKUP(A1698,'Discount Lookup'!J:K,2)*G1698*(1-$AC$1786)*(1+$AC$1788)),IF(AD1698="NVP",(VLOOKUP(A1698,'Discount Lookup'!J:K,2)*G1698*(1-$AC$1786)*(1+$AC$1788)),IF(AD1698="free","re-planting",IF(G1698=0,"",IF($AD$8="",IF(AD1698="me","not NVP, by",IF(AD1698="",IF(G1698&gt;0,(VLOOKUP(A1698,'Discount Lookup'!J:K,2)*G1698*(1-$AC$1786)*(1+$AC$1788)),""),"")),"not NVP, by"))))))))</f>
        <v/>
      </c>
      <c r="AC1698" s="830"/>
      <c r="AD1698" s="375" t="str">
        <f t="shared" si="4002"/>
        <v/>
      </c>
      <c r="AE1698" s="833" t="str">
        <f t="shared" si="4116"/>
        <v/>
      </c>
      <c r="AF1698" s="833"/>
      <c r="AG1698" s="833"/>
      <c r="AH1698" s="91">
        <f>IF(AD1698="free",0,IF(AD1698="me",0,IF(G1698&gt;0,(VLOOKUP(A1698,'Discount Lookup'!J:K,2)*G1698),0)))</f>
        <v>0</v>
      </c>
      <c r="AI1698" s="92" t="str">
        <f t="shared" si="4050"/>
        <v/>
      </c>
      <c r="AJ1698" s="828" t="str">
        <f t="shared" si="4043"/>
        <v/>
      </c>
      <c r="AK1698" s="828"/>
      <c r="AL1698" s="313" t="str">
        <f t="shared" si="4076"/>
        <v/>
      </c>
      <c r="AM1698" s="312"/>
      <c r="AN1698" s="101"/>
      <c r="AO1698" s="101"/>
      <c r="AP1698" s="101"/>
      <c r="AQ1698" s="101"/>
      <c r="AR1698" s="101"/>
      <c r="AS1698" s="101"/>
      <c r="AT1698" s="101"/>
    </row>
    <row r="1699" spans="1:46" ht="12.95" customHeight="1">
      <c r="A1699" s="836" t="s">
        <v>884</v>
      </c>
      <c r="B1699" s="837"/>
      <c r="C1699" s="837"/>
      <c r="D1699" s="837"/>
      <c r="E1699" s="837"/>
      <c r="F1699" s="837"/>
      <c r="G1699" s="837"/>
      <c r="H1699" s="775" t="s">
        <v>624</v>
      </c>
      <c r="I1699" s="164" t="s">
        <v>174</v>
      </c>
      <c r="J1699" s="157"/>
      <c r="K1699" s="611" t="s">
        <v>45</v>
      </c>
      <c r="L1699" s="630" t="s">
        <v>46</v>
      </c>
      <c r="M1699" s="157"/>
      <c r="N1699" s="158" t="s">
        <v>845</v>
      </c>
      <c r="O1699" s="158"/>
      <c r="P1699" s="158"/>
      <c r="Q1699" s="158"/>
      <c r="R1699" s="157"/>
      <c r="S1699" s="170"/>
      <c r="T1699" s="547"/>
      <c r="U1699" s="171"/>
      <c r="V1699" s="100"/>
      <c r="W1699" s="100"/>
      <c r="X1699" s="100"/>
      <c r="Y1699" s="201"/>
      <c r="Z1699" s="829" t="str">
        <f t="shared" si="4042"/>
        <v/>
      </c>
      <c r="AA1699" s="829"/>
      <c r="AB1699" s="830" t="str">
        <f>IF(G1699=0,"",IF(AD1699="free","re-planting",IF(AD1699="me","not NVP, by",IF($AD$8="yes",(VLOOKUP(A1699,'Discount Lookup'!J:K,2)*G1699*(1-$AC$1786)*(1+$AC$1788)),IF(AD1699="NVP",(VLOOKUP(A1699,'Discount Lookup'!J:K,2)*G1699*(1-$AC$1786)*(1+$AC$1788)),IF(AD1699="free","re-planting",IF(G1699=0,"",IF($AD$8="",IF(AD1699="me","not NVP, by",IF(AD1699="",IF(G1699&gt;0,(VLOOKUP(A1699,'Discount Lookup'!J:K,2)*G1699*(1-$AC$1786)*(1+$AC$1788)),""),"")),"not NVP, by"))))))))</f>
        <v/>
      </c>
      <c r="AC1699" s="830"/>
      <c r="AD1699" s="375" t="str">
        <f t="shared" ref="AD1699:AD1770" si="4117">IF(G1699=0,"",IF($AD$8="me","me",IF(H1699="warranty","free",IF($AD$8="yes","NVP",""))))</f>
        <v/>
      </c>
      <c r="AE1699" s="833" t="str">
        <f t="shared" si="4116"/>
        <v/>
      </c>
      <c r="AF1699" s="833"/>
      <c r="AG1699" s="833"/>
      <c r="AH1699" s="91">
        <f>IF(AD1699="free",0,IF(AD1699="me",0,IF(G1699&gt;0,(VLOOKUP(A1699,'Discount Lookup'!J:K,2)*G1699),0)))</f>
        <v>0</v>
      </c>
      <c r="AI1699" s="92" t="str">
        <f t="shared" si="4050"/>
        <v/>
      </c>
      <c r="AJ1699" s="828" t="str">
        <f t="shared" si="4043"/>
        <v/>
      </c>
      <c r="AK1699" s="828"/>
      <c r="AL1699" s="313" t="str">
        <f t="shared" si="4076"/>
        <v/>
      </c>
      <c r="AM1699" s="312"/>
      <c r="AN1699" s="101"/>
      <c r="AO1699" s="101"/>
      <c r="AP1699" s="101"/>
      <c r="AQ1699" s="101"/>
      <c r="AR1699" s="101"/>
      <c r="AS1699" s="101"/>
      <c r="AT1699" s="101"/>
    </row>
    <row r="1700" spans="1:46" ht="12.95" customHeight="1">
      <c r="A1700" s="383">
        <v>1</v>
      </c>
      <c r="B1700" s="158" t="s">
        <v>50</v>
      </c>
      <c r="C1700" s="168" t="s">
        <v>136</v>
      </c>
      <c r="D1700" s="161" t="s">
        <v>63</v>
      </c>
      <c r="E1700" s="162">
        <v>10.95</v>
      </c>
      <c r="F1700" s="713" t="s">
        <v>1306</v>
      </c>
      <c r="G1700" s="357">
        <v>0</v>
      </c>
      <c r="H1700" s="748" t="str">
        <f t="shared" ref="H1700" si="4118">IF(G1700=0,"",IF(F1700="Qty=",IF(G1700=1,"plant","plants"),IF(F1700&gt;0.0001,"warranty","Error")))</f>
        <v/>
      </c>
      <c r="I1700" s="592">
        <f t="shared" ref="I1700" si="4119">IF(F1700="Qty=",(E1700*G1700),((E1700*(1-F1700))*G1700))</f>
        <v>0</v>
      </c>
      <c r="J1700" s="592">
        <f>IF(H1700="warranty",0,(I1700*($J$1782)))</f>
        <v>0</v>
      </c>
      <c r="K1700" s="834">
        <f t="shared" ref="K1700" si="4120">I1700+J1700</f>
        <v>0</v>
      </c>
      <c r="L1700" s="834"/>
      <c r="M1700" s="832" t="str">
        <f>IF($H$1784=0,"",IF(G1700=0,"",IF(F1700="Qty=",CONCATENATE("$",ROUND(K1700*(1-$H$1784),2)," with ",($H$1784*100),"% discount"),CONCATENATE("$",ROUND(K1700*(1-$H$1784),2)," with ",(($H$1784*100+F1700*100)-($H$1784*100*F1700)),IF(F1700&gt;0,"% discounts",IF($H$1781&gt;0,"% discounts","% discount"))))))</f>
        <v/>
      </c>
      <c r="N1700" s="832"/>
      <c r="O1700" s="832"/>
      <c r="P1700" s="832"/>
      <c r="Q1700" s="832"/>
      <c r="R1700" s="832"/>
      <c r="S1700" s="303">
        <f t="shared" ref="S1700" si="4121">E1700*G1700</f>
        <v>0</v>
      </c>
      <c r="T1700" s="541">
        <f>VLOOKUP(A1700,'Discount Lookup'!D:E,2,FALSE)*G1700</f>
        <v>0</v>
      </c>
      <c r="U1700" s="83">
        <f>VLOOKUP(A1700,'Discount Lookup'!G:H,2,FALSE)*G1700</f>
        <v>0</v>
      </c>
      <c r="V1700" s="100">
        <f>E1700*($J$1782)*G1700</f>
        <v>0</v>
      </c>
      <c r="W1700" s="100">
        <f t="shared" ref="W1700" si="4122">I1700</f>
        <v>0</v>
      </c>
      <c r="X1700" s="100" t="b">
        <f>IF(G1700&gt;0,IF(AD1700="me","",G1700))</f>
        <v>0</v>
      </c>
      <c r="Y1700" s="201"/>
      <c r="Z1700" s="829" t="str">
        <f t="shared" si="4042"/>
        <v/>
      </c>
      <c r="AA1700" s="829"/>
      <c r="AB1700" s="830" t="str">
        <f>IF(G1700=0,"",IF(AD1700="free","re-planting",IF(AD1700="me","not NVP, by",IF($AD$8="yes",(VLOOKUP(A1700,'Discount Lookup'!J:K,2)*G1700*(1-$AC$1786)*(1+$AC$1788)),IF(AD1700="NVP",(VLOOKUP(A1700,'Discount Lookup'!J:K,2)*G1700*(1-$AC$1786)*(1+$AC$1788)),IF(AD1700="free","re-planting",IF(G1700=0,"",IF($AD$8="",IF(AD1700="me","not NVP, by",IF(AD1700="",IF(G1700&gt;0,(VLOOKUP(A1700,'Discount Lookup'!J:K,2)*G1700*(1-$AC$1786)*(1+$AC$1788)),""),"")),"not NVP, by"))))))))</f>
        <v/>
      </c>
      <c r="AC1700" s="830"/>
      <c r="AD1700" s="375" t="str">
        <f t="shared" si="4117"/>
        <v/>
      </c>
      <c r="AE1700" s="833" t="str">
        <f t="shared" si="4116"/>
        <v/>
      </c>
      <c r="AF1700" s="833"/>
      <c r="AG1700" s="833"/>
      <c r="AH1700" s="91">
        <f>IF(AD1700="free",0,IF(AD1700="me",0,IF(G1700&gt;0,(VLOOKUP(A1700,'Discount Lookup'!J:K,2)*G1700),0)))</f>
        <v>0</v>
      </c>
      <c r="AI1700" s="92" t="str">
        <f t="shared" si="4050"/>
        <v/>
      </c>
      <c r="AJ1700" s="828" t="str">
        <f t="shared" si="4043"/>
        <v/>
      </c>
      <c r="AK1700" s="828"/>
      <c r="AL1700" s="313" t="str">
        <f t="shared" si="4076"/>
        <v/>
      </c>
      <c r="AM1700" s="312"/>
      <c r="AN1700" s="101"/>
      <c r="AO1700" s="101"/>
      <c r="AP1700" s="101"/>
      <c r="AQ1700" s="101"/>
      <c r="AR1700" s="101"/>
      <c r="AS1700" s="101"/>
      <c r="AT1700" s="101"/>
    </row>
    <row r="1701" spans="1:46" ht="12.95" customHeight="1">
      <c r="A1701" s="477"/>
      <c r="B1701" s="103" t="s">
        <v>885</v>
      </c>
      <c r="C1701" s="118"/>
      <c r="D1701" s="118"/>
      <c r="E1701" s="119"/>
      <c r="F1701" s="711"/>
      <c r="G1701" s="358"/>
      <c r="H1701" s="745"/>
      <c r="I1701" s="119"/>
      <c r="J1701" s="119"/>
      <c r="K1701" s="609"/>
      <c r="L1701" s="609"/>
      <c r="M1701" s="121"/>
      <c r="N1701" s="174" t="s">
        <v>886</v>
      </c>
      <c r="O1701" s="123"/>
      <c r="P1701" s="124"/>
      <c r="Q1701" s="124"/>
      <c r="R1701" s="83"/>
      <c r="S1701" s="82">
        <f>E1701*G1701</f>
        <v>0</v>
      </c>
      <c r="T1701" s="540"/>
      <c r="U1701" s="83"/>
      <c r="V1701" s="100" t="b">
        <f>IF(G1701&gt;0,IF(AD1701="me","",G1701))</f>
        <v>0</v>
      </c>
      <c r="W1701" s="100"/>
      <c r="X1701" s="100"/>
      <c r="Y1701" s="201"/>
      <c r="Z1701" s="829" t="str">
        <f t="shared" si="4042"/>
        <v/>
      </c>
      <c r="AA1701" s="829"/>
      <c r="AB1701" s="830" t="str">
        <f>IF(G1701=0,"",IF(AD1701="free","re-planting",IF(AD1701="me","not NVP, by",IF($AD$8="yes",(VLOOKUP(A1701,'Discount Lookup'!J:K,2)*G1701*(1-$AC$1786)*(1+$AC$1788)),IF(AD1701="NVP",(VLOOKUP(A1701,'Discount Lookup'!J:K,2)*G1701*(1-$AC$1786)*(1+$AC$1788)),IF(AD1701="free","re-planting",IF(G1701=0,"",IF($AD$8="",IF(AD1701="me","not NVP, by",IF(AD1701="",IF(G1701&gt;0,(VLOOKUP(A1701,'Discount Lookup'!J:K,2)*G1701*(1-$AC$1786)*(1+$AC$1788)),""),"")),"not NVP, by"))))))))</f>
        <v/>
      </c>
      <c r="AC1701" s="830"/>
      <c r="AD1701" s="375" t="str">
        <f t="shared" si="4117"/>
        <v/>
      </c>
      <c r="AE1701" s="833" t="str">
        <f t="shared" si="4116"/>
        <v/>
      </c>
      <c r="AF1701" s="833"/>
      <c r="AG1701" s="833"/>
      <c r="AH1701" s="91">
        <f>IF(AD1701="free",0,IF(AD1701="me",0,IF(G1701&gt;0,(VLOOKUP(A1701,'Discount Lookup'!J:K,2)*G1701),0)))</f>
        <v>0</v>
      </c>
      <c r="AI1701" s="92" t="str">
        <f t="shared" si="4050"/>
        <v/>
      </c>
      <c r="AJ1701" s="828" t="str">
        <f t="shared" si="4043"/>
        <v/>
      </c>
      <c r="AK1701" s="828"/>
      <c r="AL1701" s="313" t="str">
        <f t="shared" si="4076"/>
        <v/>
      </c>
      <c r="AM1701" s="312"/>
      <c r="AN1701" s="101"/>
      <c r="AO1701" s="101"/>
      <c r="AP1701" s="101"/>
      <c r="AQ1701" s="101"/>
      <c r="AR1701" s="101"/>
      <c r="AS1701" s="101"/>
      <c r="AT1701" s="101"/>
    </row>
    <row r="1702" spans="1:46" ht="12.95" customHeight="1">
      <c r="A1702" s="836" t="s">
        <v>887</v>
      </c>
      <c r="B1702" s="837"/>
      <c r="C1702" s="837"/>
      <c r="D1702" s="837"/>
      <c r="E1702" s="837"/>
      <c r="F1702" s="837"/>
      <c r="G1702" s="837"/>
      <c r="H1702" s="775" t="s">
        <v>624</v>
      </c>
      <c r="I1702" s="164" t="s">
        <v>79</v>
      </c>
      <c r="J1702" s="157"/>
      <c r="K1702" s="611" t="s">
        <v>45</v>
      </c>
      <c r="L1702" s="630" t="s">
        <v>46</v>
      </c>
      <c r="M1702" s="157"/>
      <c r="N1702" s="158" t="s">
        <v>845</v>
      </c>
      <c r="O1702" s="158"/>
      <c r="P1702" s="158"/>
      <c r="Q1702" s="158"/>
      <c r="R1702" s="157"/>
      <c r="S1702" s="170"/>
      <c r="T1702" s="547"/>
      <c r="U1702" s="171"/>
      <c r="V1702" s="100" t="b">
        <f>IF(G1702&gt;0,IF(AD1702="me","",G1702))</f>
        <v>0</v>
      </c>
      <c r="W1702" s="100"/>
      <c r="X1702" s="100"/>
      <c r="Y1702" s="201"/>
      <c r="Z1702" s="829" t="str">
        <f t="shared" si="4042"/>
        <v/>
      </c>
      <c r="AA1702" s="829"/>
      <c r="AB1702" s="830" t="str">
        <f>IF(G1702=0,"",IF(AD1702="free","re-planting",IF(AD1702="me","not NVP, by",IF($AD$8="yes",(VLOOKUP(A1702,'Discount Lookup'!J:K,2)*G1702*(1-$AC$1786)*(1+$AC$1788)),IF(AD1702="NVP",(VLOOKUP(A1702,'Discount Lookup'!J:K,2)*G1702*(1-$AC$1786)*(1+$AC$1788)),IF(AD1702="free","re-planting",IF(G1702=0,"",IF($AD$8="",IF(AD1702="me","not NVP, by",IF(AD1702="",IF(G1702&gt;0,(VLOOKUP(A1702,'Discount Lookup'!J:K,2)*G1702*(1-$AC$1786)*(1+$AC$1788)),""),"")),"not NVP, by"))))))))</f>
        <v/>
      </c>
      <c r="AC1702" s="830"/>
      <c r="AD1702" s="375" t="str">
        <f t="shared" si="4117"/>
        <v/>
      </c>
      <c r="AE1702" s="833" t="str">
        <f t="shared" si="4116"/>
        <v/>
      </c>
      <c r="AF1702" s="833"/>
      <c r="AG1702" s="833"/>
      <c r="AH1702" s="91">
        <f>IF(AD1702="free",0,IF(AD1702="me",0,IF(G1702&gt;0,(VLOOKUP(A1702,'Discount Lookup'!J:K,2)*G1702),0)))</f>
        <v>0</v>
      </c>
      <c r="AI1702" s="92" t="str">
        <f t="shared" si="4050"/>
        <v/>
      </c>
      <c r="AJ1702" s="828" t="str">
        <f t="shared" si="4043"/>
        <v/>
      </c>
      <c r="AK1702" s="828"/>
      <c r="AL1702" s="313" t="str">
        <f t="shared" si="4076"/>
        <v/>
      </c>
      <c r="AM1702" s="312"/>
      <c r="AN1702" s="101"/>
      <c r="AO1702" s="101"/>
      <c r="AP1702" s="101"/>
      <c r="AQ1702" s="101"/>
      <c r="AR1702" s="101"/>
      <c r="AS1702" s="101"/>
      <c r="AT1702" s="101"/>
    </row>
    <row r="1703" spans="1:46" ht="12.95" customHeight="1">
      <c r="A1703" s="383">
        <v>1</v>
      </c>
      <c r="B1703" s="158" t="s">
        <v>50</v>
      </c>
      <c r="C1703" s="168" t="s">
        <v>136</v>
      </c>
      <c r="D1703" s="161" t="s">
        <v>86</v>
      </c>
      <c r="E1703" s="162">
        <v>8.9499999999999993</v>
      </c>
      <c r="F1703" s="713" t="s">
        <v>1306</v>
      </c>
      <c r="G1703" s="357">
        <v>0</v>
      </c>
      <c r="H1703" s="748" t="str">
        <f t="shared" ref="H1703:H1704" si="4123">IF(G1703=0,"",IF(F1703="Qty=",IF(G1703=1,"plant","plants"),IF(F1703&gt;0.0001,"warranty","Error")))</f>
        <v/>
      </c>
      <c r="I1703" s="592">
        <f t="shared" ref="I1703:I1704" si="4124">IF(F1703="Qty=",(E1703*G1703),((E1703*(1-F1703))*G1703))</f>
        <v>0</v>
      </c>
      <c r="J1703" s="592">
        <f>IF(H1703="warranty",0,(I1703*($J$1782)))</f>
        <v>0</v>
      </c>
      <c r="K1703" s="834">
        <f t="shared" ref="K1703:K1704" si="4125">I1703+J1703</f>
        <v>0</v>
      </c>
      <c r="L1703" s="834"/>
      <c r="M1703" s="832" t="str">
        <f>IF($H$1784=0,"",IF(G1703=0,"",IF(F1703="Qty=",CONCATENATE("$",ROUND(K1703*(1-$H$1784),2)," with ",($H$1784*100),"% discount"),CONCATENATE("$",ROUND(K1703*(1-$H$1784),2)," with ",(($H$1784*100+F1703*100)-($H$1784*100*F1703)),IF(F1703&gt;0,"% discounts",IF($H$1781&gt;0,"% discounts","% discount"))))))</f>
        <v/>
      </c>
      <c r="N1703" s="832"/>
      <c r="O1703" s="832"/>
      <c r="P1703" s="832"/>
      <c r="Q1703" s="832"/>
      <c r="R1703" s="832"/>
      <c r="S1703" s="303">
        <f t="shared" ref="S1703" si="4126">E1703*G1703</f>
        <v>0</v>
      </c>
      <c r="T1703" s="541">
        <f>VLOOKUP(A1703,'Discount Lookup'!D:E,2,FALSE)*G1703</f>
        <v>0</v>
      </c>
      <c r="U1703" s="83">
        <f>VLOOKUP(A1703,'Discount Lookup'!G:H,2,FALSE)*G1703</f>
        <v>0</v>
      </c>
      <c r="V1703" s="100">
        <f>E1703*($J$1782)*G1703</f>
        <v>0</v>
      </c>
      <c r="W1703" s="100">
        <f t="shared" ref="W1703" si="4127">I1703</f>
        <v>0</v>
      </c>
      <c r="X1703" s="100" t="b">
        <f>IF(G1703&gt;0,IF(AD1703="me","",G1703))</f>
        <v>0</v>
      </c>
      <c r="Y1703" s="201"/>
      <c r="Z1703" s="829" t="str">
        <f t="shared" si="4042"/>
        <v/>
      </c>
      <c r="AA1703" s="829"/>
      <c r="AB1703" s="830" t="str">
        <f>IF(G1703=0,"",IF(AD1703="free","re-planting",IF(AD1703="me","not NVP, by",IF($AD$8="yes",(VLOOKUP(A1703,'Discount Lookup'!J:K,2)*G1703*(1-$AC$1786)*(1+$AC$1788)),IF(AD1703="NVP",(VLOOKUP(A1703,'Discount Lookup'!J:K,2)*G1703*(1-$AC$1786)*(1+$AC$1788)),IF(AD1703="free","re-planting",IF(G1703=0,"",IF($AD$8="",IF(AD1703="me","not NVP, by",IF(AD1703="",IF(G1703&gt;0,(VLOOKUP(A1703,'Discount Lookup'!J:K,2)*G1703*(1-$AC$1786)*(1+$AC$1788)),""),"")),"not NVP, by"))))))))</f>
        <v/>
      </c>
      <c r="AC1703" s="830"/>
      <c r="AD1703" s="375" t="str">
        <f t="shared" si="4117"/>
        <v/>
      </c>
      <c r="AE1703" s="833" t="str">
        <f t="shared" si="4116"/>
        <v/>
      </c>
      <c r="AF1703" s="833"/>
      <c r="AG1703" s="833"/>
      <c r="AH1703" s="91">
        <f>IF(AD1703="free",0,IF(AD1703="me",0,IF(G1703&gt;0,(VLOOKUP(A1703,'Discount Lookup'!J:K,2)*G1703),0)))</f>
        <v>0</v>
      </c>
      <c r="AI1703" s="92" t="str">
        <f t="shared" si="4050"/>
        <v/>
      </c>
      <c r="AJ1703" s="828" t="str">
        <f t="shared" si="4043"/>
        <v/>
      </c>
      <c r="AK1703" s="828"/>
      <c r="AL1703" s="313" t="str">
        <f t="shared" si="4076"/>
        <v/>
      </c>
      <c r="AM1703" s="312"/>
      <c r="AN1703" s="101"/>
      <c r="AO1703" s="101"/>
      <c r="AP1703" s="101"/>
      <c r="AQ1703" s="101"/>
      <c r="AR1703" s="101"/>
      <c r="AS1703" s="101"/>
      <c r="AT1703" s="101"/>
    </row>
    <row r="1704" spans="1:46" ht="12.95" customHeight="1">
      <c r="A1704" s="383">
        <v>1</v>
      </c>
      <c r="B1704" s="158" t="s">
        <v>50</v>
      </c>
      <c r="C1704" s="168" t="s">
        <v>136</v>
      </c>
      <c r="D1704" s="161" t="s">
        <v>62</v>
      </c>
      <c r="E1704" s="162">
        <v>8.9499999999999993</v>
      </c>
      <c r="F1704" s="713" t="s">
        <v>1306</v>
      </c>
      <c r="G1704" s="357">
        <v>0</v>
      </c>
      <c r="H1704" s="748" t="str">
        <f t="shared" si="4123"/>
        <v/>
      </c>
      <c r="I1704" s="592">
        <f t="shared" si="4124"/>
        <v>0</v>
      </c>
      <c r="J1704" s="592">
        <f>IF(H1704="warranty",0,(I1704*($J$1782)))</f>
        <v>0</v>
      </c>
      <c r="K1704" s="834">
        <f t="shared" si="4125"/>
        <v>0</v>
      </c>
      <c r="L1704" s="834"/>
      <c r="M1704" s="832" t="str">
        <f>IF($H$1784=0,"",IF(G1704=0,"",IF(F1704="Qty=",CONCATENATE("$",ROUND(K1704*(1-$H$1784),2)," with ",($H$1784*100),"% discount"),CONCATENATE("$",ROUND(K1704*(1-$H$1784),2)," with ",(($H$1784*100+F1704*100)-($H$1784*100*F1704)),IF(F1704&gt;0,"% discounts",IF($H$1781&gt;0,"% discounts","% discount"))))))</f>
        <v/>
      </c>
      <c r="N1704" s="832"/>
      <c r="O1704" s="832"/>
      <c r="P1704" s="832"/>
      <c r="Q1704" s="832"/>
      <c r="R1704" s="832"/>
      <c r="S1704" s="303">
        <f t="shared" ref="S1704" si="4128">E1704*G1704</f>
        <v>0</v>
      </c>
      <c r="T1704" s="541">
        <f>VLOOKUP(A1704,'Discount Lookup'!D:E,2,FALSE)*G1704</f>
        <v>0</v>
      </c>
      <c r="U1704" s="83">
        <f>VLOOKUP(A1704,'Discount Lookup'!G:H,2,FALSE)*G1704</f>
        <v>0</v>
      </c>
      <c r="V1704" s="100">
        <f>E1704*($J$1782)*G1704</f>
        <v>0</v>
      </c>
      <c r="W1704" s="100">
        <f t="shared" ref="W1704" si="4129">I1704</f>
        <v>0</v>
      </c>
      <c r="X1704" s="100" t="b">
        <f>IF(G1704&gt;0,IF(AD1704="me","",G1704))</f>
        <v>0</v>
      </c>
      <c r="Y1704" s="201"/>
      <c r="Z1704" s="829" t="str">
        <f t="shared" si="4042"/>
        <v/>
      </c>
      <c r="AA1704" s="829"/>
      <c r="AB1704" s="830" t="str">
        <f>IF(G1704=0,"",IF(AD1704="free","re-planting",IF(AD1704="me","not NVP, by",IF($AD$8="yes",(VLOOKUP(A1704,'Discount Lookup'!J:K,2)*G1704*(1-$AC$1786)*(1+$AC$1788)),IF(AD1704="NVP",(VLOOKUP(A1704,'Discount Lookup'!J:K,2)*G1704*(1-$AC$1786)*(1+$AC$1788)),IF(AD1704="free","re-planting",IF(G1704=0,"",IF($AD$8="",IF(AD1704="me","not NVP, by",IF(AD1704="",IF(G1704&gt;0,(VLOOKUP(A1704,'Discount Lookup'!J:K,2)*G1704*(1-$AC$1786)*(1+$AC$1788)),""),"")),"not NVP, by"))))))))</f>
        <v/>
      </c>
      <c r="AC1704" s="830"/>
      <c r="AD1704" s="375" t="str">
        <f t="shared" si="4117"/>
        <v/>
      </c>
      <c r="AE1704" s="833" t="str">
        <f t="shared" si="4116"/>
        <v/>
      </c>
      <c r="AF1704" s="833"/>
      <c r="AG1704" s="833"/>
      <c r="AH1704" s="91">
        <f>IF(AD1704="free",0,IF(AD1704="me",0,IF(G1704&gt;0,(VLOOKUP(A1704,'Discount Lookup'!J:K,2)*G1704),0)))</f>
        <v>0</v>
      </c>
      <c r="AI1704" s="92" t="str">
        <f t="shared" si="4050"/>
        <v/>
      </c>
      <c r="AJ1704" s="828" t="str">
        <f t="shared" si="4043"/>
        <v/>
      </c>
      <c r="AK1704" s="828"/>
      <c r="AL1704" s="313" t="str">
        <f t="shared" si="4076"/>
        <v/>
      </c>
      <c r="AM1704" s="312"/>
      <c r="AN1704" s="101"/>
      <c r="AO1704" s="101"/>
      <c r="AP1704" s="101"/>
      <c r="AQ1704" s="101"/>
      <c r="AR1704" s="101"/>
      <c r="AS1704" s="101"/>
      <c r="AT1704" s="101"/>
    </row>
    <row r="1705" spans="1:46" ht="12.95" customHeight="1">
      <c r="A1705" s="481"/>
      <c r="B1705" s="103" t="s">
        <v>888</v>
      </c>
      <c r="G1705" s="361"/>
      <c r="H1705" s="749"/>
      <c r="M1705" s="110"/>
      <c r="N1705" s="122" t="s">
        <v>336</v>
      </c>
      <c r="O1705" s="48"/>
      <c r="P1705" s="111"/>
      <c r="Q1705" s="48"/>
      <c r="R1705" s="48"/>
      <c r="S1705" s="48"/>
      <c r="T1705" s="546"/>
      <c r="W1705" s="100"/>
      <c r="X1705" s="100"/>
      <c r="Y1705" s="201"/>
      <c r="Z1705" s="829" t="str">
        <f t="shared" si="4042"/>
        <v/>
      </c>
      <c r="AA1705" s="829"/>
      <c r="AB1705" s="830" t="str">
        <f>IF(G1705=0,"",IF(AD1705="free","re-planting",IF(AD1705="me","not NVP, by",IF($AD$8="yes",(VLOOKUP(A1705,'Discount Lookup'!J:K,2)*G1705*(1-$AC$1786)*(1+$AC$1788)),IF(AD1705="NVP",(VLOOKUP(A1705,'Discount Lookup'!J:K,2)*G1705*(1-$AC$1786)*(1+$AC$1788)),IF(AD1705="free","re-planting",IF(G1705=0,"",IF($AD$8="",IF(AD1705="me","not NVP, by",IF(AD1705="",IF(G1705&gt;0,(VLOOKUP(A1705,'Discount Lookup'!J:K,2)*G1705*(1-$AC$1786)*(1+$AC$1788)),""),"")),"not NVP, by"))))))))</f>
        <v/>
      </c>
      <c r="AC1705" s="830"/>
      <c r="AD1705" s="375" t="str">
        <f t="shared" si="4117"/>
        <v/>
      </c>
      <c r="AE1705" s="833" t="str">
        <f t="shared" si="4116"/>
        <v/>
      </c>
      <c r="AF1705" s="833"/>
      <c r="AG1705" s="833"/>
      <c r="AH1705" s="91">
        <f>IF(AD1705="free",0,IF(AD1705="me",0,IF(G1705&gt;0,(VLOOKUP(A1705,'Discount Lookup'!J:K,2)*G1705),0)))</f>
        <v>0</v>
      </c>
      <c r="AI1705" s="92" t="str">
        <f t="shared" si="4050"/>
        <v/>
      </c>
      <c r="AJ1705" s="828" t="str">
        <f t="shared" si="4043"/>
        <v/>
      </c>
      <c r="AK1705" s="828"/>
      <c r="AL1705" s="313" t="str">
        <f t="shared" si="4076"/>
        <v/>
      </c>
      <c r="AM1705" s="312"/>
      <c r="AN1705" s="101"/>
      <c r="AO1705" s="101"/>
      <c r="AP1705" s="101"/>
      <c r="AQ1705" s="101"/>
      <c r="AR1705" s="101"/>
      <c r="AS1705" s="101"/>
      <c r="AT1705" s="101"/>
    </row>
    <row r="1706" spans="1:46" ht="12.95" customHeight="1">
      <c r="A1706" s="836" t="s">
        <v>889</v>
      </c>
      <c r="B1706" s="837"/>
      <c r="C1706" s="837"/>
      <c r="D1706" s="837"/>
      <c r="E1706" s="837"/>
      <c r="F1706" s="837"/>
      <c r="G1706" s="837"/>
      <c r="H1706" s="775" t="s">
        <v>624</v>
      </c>
      <c r="I1706" s="164" t="s">
        <v>79</v>
      </c>
      <c r="J1706" s="157"/>
      <c r="K1706" s="611" t="s">
        <v>45</v>
      </c>
      <c r="L1706" s="630" t="s">
        <v>46</v>
      </c>
      <c r="M1706" s="157"/>
      <c r="N1706" s="158" t="s">
        <v>69</v>
      </c>
      <c r="O1706" s="158"/>
      <c r="P1706" s="158"/>
      <c r="Q1706" s="158"/>
      <c r="R1706" s="157"/>
      <c r="S1706" s="170"/>
      <c r="T1706" s="547"/>
      <c r="U1706" s="159" t="s">
        <v>48</v>
      </c>
      <c r="V1706" s="100" t="b">
        <f>IF(G1706&gt;0,IF(AD1706="me","",G1706))</f>
        <v>0</v>
      </c>
      <c r="W1706" s="100"/>
      <c r="X1706" s="100"/>
      <c r="Y1706" s="201"/>
      <c r="Z1706" s="829" t="str">
        <f t="shared" si="4042"/>
        <v/>
      </c>
      <c r="AA1706" s="829"/>
      <c r="AB1706" s="830" t="str">
        <f>IF(G1706=0,"",IF(AD1706="free","re-planting",IF(AD1706="me","not NVP, by",IF($AD$8="yes",(VLOOKUP(A1706,'Discount Lookup'!J:K,2)*G1706*(1-$AC$1786)*(1+$AC$1788)),IF(AD1706="NVP",(VLOOKUP(A1706,'Discount Lookup'!J:K,2)*G1706*(1-$AC$1786)*(1+$AC$1788)),IF(AD1706="free","re-planting",IF(G1706=0,"",IF($AD$8="",IF(AD1706="me","not NVP, by",IF(AD1706="",IF(G1706&gt;0,(VLOOKUP(A1706,'Discount Lookup'!J:K,2)*G1706*(1-$AC$1786)*(1+$AC$1788)),""),"")),"not NVP, by"))))))))</f>
        <v/>
      </c>
      <c r="AC1706" s="830"/>
      <c r="AD1706" s="375" t="str">
        <f t="shared" si="4117"/>
        <v/>
      </c>
      <c r="AE1706" s="833" t="str">
        <f t="shared" si="4116"/>
        <v/>
      </c>
      <c r="AF1706" s="833"/>
      <c r="AG1706" s="833"/>
      <c r="AH1706" s="91">
        <f>IF(AD1706="free",0,IF(AD1706="me",0,IF(G1706&gt;0,(VLOOKUP(A1706,'Discount Lookup'!J:K,2)*G1706),0)))</f>
        <v>0</v>
      </c>
      <c r="AI1706" s="92" t="str">
        <f t="shared" si="4050"/>
        <v/>
      </c>
      <c r="AJ1706" s="828" t="str">
        <f t="shared" si="4043"/>
        <v/>
      </c>
      <c r="AK1706" s="828"/>
      <c r="AL1706" s="313" t="str">
        <f t="shared" si="4076"/>
        <v/>
      </c>
      <c r="AM1706" s="312"/>
      <c r="AN1706" s="101"/>
      <c r="AO1706" s="101"/>
      <c r="AP1706" s="101"/>
      <c r="AQ1706" s="101"/>
      <c r="AR1706" s="101"/>
      <c r="AS1706" s="101"/>
      <c r="AT1706" s="101"/>
    </row>
    <row r="1707" spans="1:46" ht="12.95" customHeight="1">
      <c r="A1707" s="383">
        <v>1</v>
      </c>
      <c r="B1707" s="158" t="s">
        <v>50</v>
      </c>
      <c r="C1707" s="168" t="s">
        <v>136</v>
      </c>
      <c r="D1707" s="161" t="s">
        <v>87</v>
      </c>
      <c r="E1707" s="162">
        <v>10.95</v>
      </c>
      <c r="F1707" s="713" t="s">
        <v>1306</v>
      </c>
      <c r="G1707" s="357">
        <v>0</v>
      </c>
      <c r="H1707" s="748" t="str">
        <f t="shared" ref="H1707:H1708" si="4130">IF(G1707=0,"",IF(F1707="Qty=",IF(G1707=1,"plant","plants"),IF(F1707&gt;0.0001,"warranty","Error")))</f>
        <v/>
      </c>
      <c r="I1707" s="592">
        <f t="shared" ref="I1707:I1708" si="4131">IF(F1707="Qty=",(E1707*G1707),((E1707*(1-F1707))*G1707))</f>
        <v>0</v>
      </c>
      <c r="J1707" s="592">
        <f>IF(H1707="warranty",0,(I1707*($J$1782)))</f>
        <v>0</v>
      </c>
      <c r="K1707" s="834">
        <f t="shared" ref="K1707:K1708" si="4132">I1707+J1707</f>
        <v>0</v>
      </c>
      <c r="L1707" s="834"/>
      <c r="M1707" s="832" t="str">
        <f>IF($H$1784=0,"",IF(G1707=0,"",IF(F1707="Qty=",CONCATENATE("$",ROUND(K1707*(1-$H$1784),2)," with ",($H$1784*100),"% discount"),CONCATENATE("$",ROUND(K1707*(1-$H$1784),2)," with ",(($H$1784*100+F1707*100)-($H$1784*100*F1707)),IF(F1707&gt;0,"% discounts",IF($H$1781&gt;0,"% discounts","% discount"))))))</f>
        <v/>
      </c>
      <c r="N1707" s="832"/>
      <c r="O1707" s="832"/>
      <c r="P1707" s="832"/>
      <c r="Q1707" s="832"/>
      <c r="R1707" s="832"/>
      <c r="S1707" s="303">
        <f t="shared" ref="S1707:S1708" si="4133">E1707*G1707</f>
        <v>0</v>
      </c>
      <c r="T1707" s="541">
        <f>VLOOKUP(A1707,'Discount Lookup'!D:E,2,FALSE)*G1707</f>
        <v>0</v>
      </c>
      <c r="U1707" s="83">
        <f>VLOOKUP(A1707,'Discount Lookup'!G:H,2,FALSE)*G1707</f>
        <v>0</v>
      </c>
      <c r="V1707" s="100">
        <f>E1707*($J$1782)*G1707</f>
        <v>0</v>
      </c>
      <c r="W1707" s="100">
        <f t="shared" ref="W1707:W1708" si="4134">I1707</f>
        <v>0</v>
      </c>
      <c r="X1707" s="100" t="b">
        <f>IF(G1707&gt;0,IF(AD1707="me","",G1707))</f>
        <v>0</v>
      </c>
      <c r="Y1707" s="201"/>
      <c r="Z1707" s="829" t="str">
        <f t="shared" si="4042"/>
        <v/>
      </c>
      <c r="AA1707" s="829"/>
      <c r="AB1707" s="830" t="str">
        <f>IF(G1707=0,"",IF(AD1707="free","re-planting",IF(AD1707="me","not NVP, by",IF($AD$8="yes",(VLOOKUP(A1707,'Discount Lookup'!J:K,2)*G1707*(1-$AC$1786)*(1+$AC$1788)),IF(AD1707="NVP",(VLOOKUP(A1707,'Discount Lookup'!J:K,2)*G1707*(1-$AC$1786)*(1+$AC$1788)),IF(AD1707="free","re-planting",IF(G1707=0,"",IF($AD$8="",IF(AD1707="me","not NVP, by",IF(AD1707="",IF(G1707&gt;0,(VLOOKUP(A1707,'Discount Lookup'!J:K,2)*G1707*(1-$AC$1786)*(1+$AC$1788)),""),"")),"not NVP, by"))))))))</f>
        <v/>
      </c>
      <c r="AC1707" s="830"/>
      <c r="AD1707" s="375" t="str">
        <f t="shared" si="4117"/>
        <v/>
      </c>
      <c r="AE1707" s="833" t="str">
        <f t="shared" si="4116"/>
        <v/>
      </c>
      <c r="AF1707" s="833"/>
      <c r="AG1707" s="833"/>
      <c r="AH1707" s="91">
        <f>IF(AD1707="free",0,IF(AD1707="me",0,IF(G1707&gt;0,(VLOOKUP(A1707,'Discount Lookup'!J:K,2)*G1707),0)))</f>
        <v>0</v>
      </c>
      <c r="AI1707" s="92" t="str">
        <f t="shared" si="4050"/>
        <v/>
      </c>
      <c r="AJ1707" s="828" t="str">
        <f t="shared" si="4043"/>
        <v/>
      </c>
      <c r="AK1707" s="828"/>
      <c r="AL1707" s="313" t="str">
        <f t="shared" si="4076"/>
        <v/>
      </c>
      <c r="AM1707" s="312"/>
      <c r="AN1707" s="101"/>
      <c r="AO1707" s="101"/>
      <c r="AP1707" s="101"/>
      <c r="AQ1707" s="101"/>
      <c r="AR1707" s="101"/>
      <c r="AS1707" s="101"/>
      <c r="AT1707" s="101"/>
    </row>
    <row r="1708" spans="1:46" ht="12.95" customHeight="1">
      <c r="A1708" s="383">
        <v>2</v>
      </c>
      <c r="B1708" s="158" t="s">
        <v>50</v>
      </c>
      <c r="C1708" s="168" t="s">
        <v>136</v>
      </c>
      <c r="D1708" s="161" t="s">
        <v>90</v>
      </c>
      <c r="E1708" s="162">
        <v>30.95</v>
      </c>
      <c r="F1708" s="713" t="s">
        <v>1306</v>
      </c>
      <c r="G1708" s="357">
        <v>0</v>
      </c>
      <c r="H1708" s="748" t="str">
        <f t="shared" si="4130"/>
        <v/>
      </c>
      <c r="I1708" s="592">
        <f t="shared" si="4131"/>
        <v>0</v>
      </c>
      <c r="J1708" s="592">
        <f>IF(H1708="warranty",0,(I1708*($J$1782)))</f>
        <v>0</v>
      </c>
      <c r="K1708" s="834">
        <f t="shared" si="4132"/>
        <v>0</v>
      </c>
      <c r="L1708" s="834"/>
      <c r="M1708" s="832" t="str">
        <f>IF($H$1784=0,"",IF(G1708=0,"",IF(F1708="Qty=",CONCATENATE("$",ROUND(K1708*(1-$H$1784),2)," with ",($H$1784*100),"% discount"),CONCATENATE("$",ROUND(K1708*(1-$H$1784),2)," with ",(($H$1784*100+F1708*100)-($H$1784*100*F1708)),IF(F1708&gt;0,"% discounts",IF($H$1781&gt;0,"% discounts","% discount"))))))</f>
        <v/>
      </c>
      <c r="N1708" s="832"/>
      <c r="O1708" s="832"/>
      <c r="P1708" s="832"/>
      <c r="Q1708" s="832"/>
      <c r="R1708" s="832"/>
      <c r="S1708" s="303">
        <f t="shared" si="4133"/>
        <v>0</v>
      </c>
      <c r="T1708" s="541">
        <f>VLOOKUP(A1708,'Discount Lookup'!D:E,2,FALSE)*G1708</f>
        <v>0</v>
      </c>
      <c r="U1708" s="83">
        <f>VLOOKUP(A1708,'Discount Lookup'!G:H,2,FALSE)*G1708</f>
        <v>0</v>
      </c>
      <c r="V1708" s="100">
        <f>E1708*($J$1782)*G1708</f>
        <v>0</v>
      </c>
      <c r="W1708" s="100">
        <f t="shared" si="4134"/>
        <v>0</v>
      </c>
      <c r="X1708" s="100" t="b">
        <f>IF(G1708&gt;0,IF(AD1708="me","",G1708))</f>
        <v>0</v>
      </c>
      <c r="Y1708" s="201"/>
      <c r="Z1708" s="829" t="str">
        <f t="shared" ref="Z1708" si="4135">IF(G1708=0,"",IF(AD1708="me","",IF($AD$8="me","",IF(AD1708="free","warranty",IF($AD$8="yes","NVP planting:","to NVP install:")))))</f>
        <v/>
      </c>
      <c r="AA1708" s="829"/>
      <c r="AB1708" s="830" t="str">
        <f>IF(G1708=0,"",IF(AD1708="free","re-planting",IF(AD1708="me","not NVP, by",IF($AD$8="yes",(VLOOKUP(A1708,'Discount Lookup'!J:K,2)*G1708*(1-$AC$1786)*(1+$AC$1788)),IF(AD1708="NVP",(VLOOKUP(A1708,'Discount Lookup'!J:K,2)*G1708*(1-$AC$1786)*(1+$AC$1788)),IF(AD1708="free","re-planting",IF(G1708=0,"",IF($AD$8="",IF(AD1708="me","not NVP, by",IF(AD1708="",IF(G1708&gt;0,(VLOOKUP(A1708,'Discount Lookup'!J:K,2)*G1708*(1-$AC$1786)*(1+$AC$1788)),""),"")),"not NVP, by"))))))))</f>
        <v/>
      </c>
      <c r="AC1708" s="830"/>
      <c r="AD1708" s="375" t="str">
        <f t="shared" si="4117"/>
        <v/>
      </c>
      <c r="AE1708" s="833" t="str">
        <f t="shared" si="4116"/>
        <v/>
      </c>
      <c r="AF1708" s="833"/>
      <c r="AG1708" s="833"/>
      <c r="AH1708" s="91">
        <f>IF(AD1708="free",0,IF(AD1708="me",0,IF(G1708&gt;0,(VLOOKUP(A1708,'Discount Lookup'!J:K,2)*G1708),0)))</f>
        <v>0</v>
      </c>
      <c r="AI1708" s="92" t="str">
        <f t="shared" si="4050"/>
        <v/>
      </c>
      <c r="AJ1708" s="828" t="str">
        <f t="shared" ref="AJ1708" si="4136">IF(G1708=0,"",IF(AD1708="me","  delivery-only",IF($AD$8="me","  delivery-only",CONCATENATE(" $",ROUND(AI1708/G1708,2)," each"))))</f>
        <v/>
      </c>
      <c r="AK1708" s="828"/>
      <c r="AL1708" s="313" t="str">
        <f t="shared" si="4076"/>
        <v/>
      </c>
      <c r="AM1708" s="312"/>
      <c r="AN1708" s="101"/>
      <c r="AO1708" s="101"/>
      <c r="AP1708" s="101"/>
      <c r="AQ1708" s="101"/>
      <c r="AR1708" s="101"/>
      <c r="AS1708" s="101"/>
      <c r="AT1708" s="101"/>
    </row>
    <row r="1709" spans="1:46" ht="12.95" customHeight="1">
      <c r="A1709" s="481"/>
      <c r="B1709" s="103" t="s">
        <v>890</v>
      </c>
      <c r="G1709" s="361"/>
      <c r="H1709" s="749"/>
      <c r="J1709" s="131"/>
      <c r="K1709" s="608"/>
      <c r="L1709" s="608"/>
      <c r="M1709" s="48"/>
      <c r="N1709" s="122" t="s">
        <v>331</v>
      </c>
      <c r="O1709" s="123"/>
      <c r="P1709" s="124"/>
      <c r="Q1709" s="124"/>
      <c r="R1709" s="83"/>
      <c r="S1709" s="82"/>
      <c r="T1709" s="540"/>
      <c r="U1709" s="83"/>
      <c r="V1709" s="100"/>
      <c r="W1709" s="100"/>
      <c r="X1709" s="100"/>
      <c r="Y1709" s="201"/>
      <c r="Z1709" s="829" t="str">
        <f t="shared" si="4042"/>
        <v/>
      </c>
      <c r="AA1709" s="829"/>
      <c r="AB1709" s="830" t="str">
        <f>IF(G1709=0,"",IF(AD1709="free","re-planting",IF(AD1709="me","not NVP, by",IF($AD$8="yes",(VLOOKUP(A1709,'Discount Lookup'!J:K,2)*G1709*(1-$AC$1786)*(1+$AC$1788)),IF(AD1709="NVP",(VLOOKUP(A1709,'Discount Lookup'!J:K,2)*G1709*(1-$AC$1786)*(1+$AC$1788)),IF(AD1709="free","re-planting",IF(G1709=0,"",IF($AD$8="",IF(AD1709="me","not NVP, by",IF(AD1709="",IF(G1709&gt;0,(VLOOKUP(A1709,'Discount Lookup'!J:K,2)*G1709*(1-$AC$1786)*(1+$AC$1788)),""),"")),"not NVP, by"))))))))</f>
        <v/>
      </c>
      <c r="AC1709" s="830"/>
      <c r="AD1709" s="375" t="str">
        <f t="shared" si="4117"/>
        <v/>
      </c>
      <c r="AE1709" s="833" t="str">
        <f t="shared" si="4116"/>
        <v/>
      </c>
      <c r="AF1709" s="833"/>
      <c r="AG1709" s="833"/>
      <c r="AH1709" s="91">
        <f>IF(AD1709="free",0,IF(AD1709="me",0,IF(G1709&gt;0,(VLOOKUP(A1709,'Discount Lookup'!J:K,2)*G1709),0)))</f>
        <v>0</v>
      </c>
      <c r="AI1709" s="92" t="str">
        <f t="shared" si="4050"/>
        <v/>
      </c>
      <c r="AJ1709" s="828" t="str">
        <f t="shared" si="4043"/>
        <v/>
      </c>
      <c r="AK1709" s="828"/>
      <c r="AL1709" s="313" t="str">
        <f t="shared" si="4076"/>
        <v/>
      </c>
      <c r="AM1709" s="312"/>
      <c r="AN1709" s="101"/>
      <c r="AO1709" s="101"/>
      <c r="AP1709" s="101"/>
      <c r="AQ1709" s="101"/>
      <c r="AR1709" s="101"/>
      <c r="AS1709" s="101"/>
      <c r="AT1709" s="101"/>
    </row>
    <row r="1710" spans="1:46" ht="12.95" customHeight="1">
      <c r="A1710" s="836" t="s">
        <v>891</v>
      </c>
      <c r="B1710" s="837"/>
      <c r="C1710" s="837"/>
      <c r="D1710" s="837"/>
      <c r="E1710" s="837"/>
      <c r="F1710" s="837"/>
      <c r="G1710" s="837"/>
      <c r="H1710" s="775" t="s">
        <v>624</v>
      </c>
      <c r="I1710" s="164" t="s">
        <v>79</v>
      </c>
      <c r="J1710" s="157"/>
      <c r="K1710" s="611" t="s">
        <v>45</v>
      </c>
      <c r="L1710" s="630" t="s">
        <v>46</v>
      </c>
      <c r="M1710" s="157"/>
      <c r="N1710" s="158" t="s">
        <v>98</v>
      </c>
      <c r="O1710" s="158"/>
      <c r="P1710" s="164"/>
      <c r="Q1710" s="164"/>
      <c r="R1710" s="157"/>
      <c r="S1710" s="170"/>
      <c r="T1710" s="547"/>
      <c r="U1710" s="159" t="s">
        <v>48</v>
      </c>
      <c r="V1710" s="100"/>
      <c r="W1710" s="100"/>
      <c r="X1710" s="100"/>
      <c r="Y1710" s="201"/>
      <c r="Z1710" s="838" t="str">
        <f>IF(G1710=0,"",IF(AD1710="me","",IF($AD$8="me","",IF(AD1710="free","warranty",IF($AD$8="yes","NVP planting:","to NVP install:")))))</f>
        <v/>
      </c>
      <c r="AA1710" s="838"/>
      <c r="AB1710" s="830" t="str">
        <f>IF(G1710=0,"",IF(AD1710="free","re-planting",IF(AD1710="me","not NVP, by",IF($AD$8="yes",(VLOOKUP(A1710,'Discount Lookup'!J:K,2)*G1710*(1-$AC$1786)*(1+$AC$1788)),IF(AD1710="NVP",(VLOOKUP(A1710,'Discount Lookup'!J:K,2)*G1710*(1-$AC$1786)*(1+$AC$1788)),IF(AD1710="free","re-planting",IF(G1710=0,"",IF($AD$8="",IF(AD1710="me","not NVP, by",IF(AD1710="",IF(G1710&gt;0,(VLOOKUP(A1710,'Discount Lookup'!J:K,2)*G1710*(1-$AC$1786)*(1+$AC$1788)),""),"")),"not NVP, by"))))))))</f>
        <v/>
      </c>
      <c r="AC1710" s="830"/>
      <c r="AD1710" s="375" t="str">
        <f>IF(G1710=0,"",IF($AD$8="me","me",IF(H1710="warranty","free",IF($AD$8="yes","NVP",""))))</f>
        <v/>
      </c>
      <c r="AE1710" s="833" t="str">
        <f>IF(G1710&gt;0,(CONCATENATE((G1710)," quantity, ",(A1710)," ",B1710)),"")</f>
        <v/>
      </c>
      <c r="AF1710" s="833"/>
      <c r="AG1710" s="833"/>
      <c r="AH1710" s="91" t="str">
        <f>IF(AD1710="free",0,IF(AD1710="me","",IF(G1710&gt;0,(VLOOKUP(A1710,'Discount Lookup'!J:K,2)*G1710),"")))</f>
        <v/>
      </c>
      <c r="AI1710" s="92" t="str">
        <f t="shared" si="4050"/>
        <v/>
      </c>
      <c r="AJ1710" s="828" t="str">
        <f>IF(G1710=0,"",IF(AD1710="me","  delivery-only",CONCATENATE(" $",ROUND(AI1710/G1710,2)," each")))</f>
        <v/>
      </c>
      <c r="AK1710" s="828"/>
      <c r="AL1710" s="313" t="str">
        <f t="shared" si="4076"/>
        <v/>
      </c>
      <c r="AM1710" s="312"/>
      <c r="AN1710" s="101"/>
      <c r="AO1710" s="101"/>
      <c r="AP1710" s="101"/>
      <c r="AQ1710" s="101"/>
      <c r="AR1710" s="101"/>
      <c r="AS1710" s="101"/>
      <c r="AT1710" s="101"/>
    </row>
    <row r="1711" spans="1:46" ht="12.95" customHeight="1">
      <c r="A1711" s="383">
        <v>1</v>
      </c>
      <c r="B1711" s="158" t="s">
        <v>50</v>
      </c>
      <c r="C1711" s="168" t="s">
        <v>136</v>
      </c>
      <c r="D1711" s="161" t="s">
        <v>87</v>
      </c>
      <c r="E1711" s="162">
        <v>10.95</v>
      </c>
      <c r="F1711" s="713" t="s">
        <v>1306</v>
      </c>
      <c r="G1711" s="357">
        <v>0</v>
      </c>
      <c r="H1711" s="748" t="str">
        <f t="shared" ref="H1711" si="4137">IF(G1711=0,"",IF(F1711="Qty=",IF(G1711=1,"plant","plants"),IF(F1711&gt;0.0001,"warranty","Error")))</f>
        <v/>
      </c>
      <c r="I1711" s="592">
        <f t="shared" ref="I1711" si="4138">IF(F1711="Qty=",(E1711*G1711),((E1711*(1-F1711))*G1711))</f>
        <v>0</v>
      </c>
      <c r="J1711" s="592">
        <f>IF(H1711="warranty",0,(I1711*($J$1782)))</f>
        <v>0</v>
      </c>
      <c r="K1711" s="834">
        <f t="shared" ref="K1711" si="4139">I1711+J1711</f>
        <v>0</v>
      </c>
      <c r="L1711" s="834"/>
      <c r="M1711" s="832" t="str">
        <f>IF($H$1784=0,"",IF(G1711=0,"",IF(F1711="Qty=",CONCATENATE("$",ROUND(K1711*(1-$H$1784),2)," with ",($H$1784*100),"% discount"),CONCATENATE("$",ROUND(K1711*(1-$H$1784),2)," with ",(($H$1784*100+F1711*100)-($H$1784*100*F1711)),IF(F1711&gt;0,"% discounts",IF($H$1781&gt;0,"% discounts","% discount"))))))</f>
        <v/>
      </c>
      <c r="N1711" s="832"/>
      <c r="O1711" s="832"/>
      <c r="P1711" s="832"/>
      <c r="Q1711" s="832"/>
      <c r="R1711" s="832"/>
      <c r="S1711" s="303">
        <f t="shared" ref="S1711" si="4140">E1711*G1711</f>
        <v>0</v>
      </c>
      <c r="T1711" s="541">
        <f>VLOOKUP(A1711,'Discount Lookup'!D:E,2,FALSE)*G1711</f>
        <v>0</v>
      </c>
      <c r="U1711" s="83">
        <f>VLOOKUP(A1711,'Discount Lookup'!G:H,2,FALSE)*G1711</f>
        <v>0</v>
      </c>
      <c r="V1711" s="100">
        <f>E1711*($J$1782)*G1711</f>
        <v>0</v>
      </c>
      <c r="W1711" s="100">
        <f t="shared" ref="W1711" si="4141">I1711</f>
        <v>0</v>
      </c>
      <c r="X1711" s="100" t="b">
        <f>IF(G1711&gt;0,IF(AD1711="me","",G1711))</f>
        <v>0</v>
      </c>
      <c r="Y1711" s="201"/>
      <c r="Z1711" s="838" t="str">
        <f>IF(G1711=0,"",IF(AD1711="me","",IF($AD$8="me","",IF(AD1711="free","warranty",IF($AD$8="yes","NVP planting:","to NVP install:")))))</f>
        <v/>
      </c>
      <c r="AA1711" s="838"/>
      <c r="AB1711" s="830" t="str">
        <f>IF(G1711=0,"",IF(AD1711="free","re-planting",IF(AD1711="me","not NVP, by",IF($AD$8="yes",(VLOOKUP(A1711,'Discount Lookup'!J:K,2)*G1711*(1-$AC$1786)*(1+$AC$1788)),IF(AD1711="NVP",(VLOOKUP(A1711,'Discount Lookup'!J:K,2)*G1711*(1-$AC$1786)*(1+$AC$1788)),IF(AD1711="free","re-planting",IF(G1711=0,"",IF($AD$8="",IF(AD1711="me","not NVP, by",IF(AD1711="",IF(G1711&gt;0,(VLOOKUP(A1711,'Discount Lookup'!J:K,2)*G1711*(1-$AC$1786)*(1+$AC$1788)),""),"")),"not NVP, by"))))))))</f>
        <v/>
      </c>
      <c r="AC1711" s="830"/>
      <c r="AD1711" s="375" t="str">
        <f>IF(G1711=0,"",IF($AD$8="me","me",IF(H1711="warranty","free",IF($AD$8="yes","NVP",""))))</f>
        <v/>
      </c>
      <c r="AE1711" s="833" t="str">
        <f>IF(G1711&gt;0,(CONCATENATE((G1711)," quantity, ",(A1711)," ",B1711)),"")</f>
        <v/>
      </c>
      <c r="AF1711" s="833"/>
      <c r="AG1711" s="833"/>
      <c r="AH1711" s="91" t="str">
        <f>IF(AD1711="free",0,IF(AD1711="me","",IF(G1711&gt;0,(VLOOKUP(A1711,'Discount Lookup'!J:K,2)*G1711),"")))</f>
        <v/>
      </c>
      <c r="AI1711" s="92" t="str">
        <f t="shared" si="4050"/>
        <v/>
      </c>
      <c r="AJ1711" s="828" t="str">
        <f>IF(G1711=0,"",IF(AD1711="me","  delivery-only",CONCATENATE(" $",ROUND(AI1711/G1711,2)," each")))</f>
        <v/>
      </c>
      <c r="AK1711" s="828"/>
      <c r="AL1711" s="313" t="str">
        <f t="shared" si="4076"/>
        <v/>
      </c>
      <c r="AM1711" s="312"/>
      <c r="AN1711" s="101"/>
      <c r="AO1711" s="101"/>
      <c r="AP1711" s="101"/>
      <c r="AQ1711" s="101"/>
      <c r="AR1711" s="101"/>
      <c r="AS1711" s="101"/>
      <c r="AT1711" s="101"/>
    </row>
    <row r="1712" spans="1:46" ht="12.95" customHeight="1">
      <c r="A1712" s="474"/>
      <c r="B1712" s="103" t="s">
        <v>892</v>
      </c>
      <c r="C1712" s="130"/>
      <c r="D1712" s="104"/>
      <c r="E1712" s="131"/>
      <c r="F1712" s="710"/>
      <c r="G1712" s="356"/>
      <c r="H1712" s="744"/>
      <c r="I1712" s="131"/>
      <c r="J1712" s="131"/>
      <c r="K1712" s="608"/>
      <c r="L1712" s="608"/>
      <c r="M1712" s="121"/>
      <c r="N1712" s="121"/>
      <c r="O1712" s="123">
        <f>VLOOKUP(A1712,'Discount Lookup'!D:E,2,FALSE)*G1712</f>
        <v>0</v>
      </c>
      <c r="P1712" s="124">
        <f>VLOOKUP(A1712,'Discount Lookup'!G:H,2,FALSE)*G1712</f>
        <v>0</v>
      </c>
      <c r="Q1712" s="841"/>
      <c r="R1712" s="841"/>
      <c r="S1712" s="841"/>
      <c r="T1712" s="841"/>
      <c r="U1712" s="841"/>
      <c r="V1712" s="841"/>
      <c r="W1712" s="100"/>
      <c r="X1712" s="100"/>
      <c r="Y1712" s="201"/>
      <c r="Z1712" s="838" t="str">
        <f>IF(G1712=0,"",IF(AD1712="me","",IF($AD$8="me","",IF(AD1712="free","warranty",IF($AD$8="yes","NVP planting:","to NVP install:")))))</f>
        <v/>
      </c>
      <c r="AA1712" s="838"/>
      <c r="AB1712" s="830" t="str">
        <f>IF(G1712=0,"",IF(AD1712="free","re-planting",IF(AD1712="me","not NVP, by",IF($AD$8="yes",(VLOOKUP(A1712,'Discount Lookup'!J:K,2)*G1712*(1-$AC$1786)*(1+$AC$1788)),IF(AD1712="NVP",(VLOOKUP(A1712,'Discount Lookup'!J:K,2)*G1712*(1-$AC$1786)*(1+$AC$1788)),IF(AD1712="free","re-planting",IF(G1712=0,"",IF($AD$8="",IF(AD1712="me","not NVP, by",IF(AD1712="",IF(G1712&gt;0,(VLOOKUP(A1712,'Discount Lookup'!J:K,2)*G1712*(1-$AC$1786)*(1+$AC$1788)),""),"")),"not NVP, by"))))))))</f>
        <v/>
      </c>
      <c r="AC1712" s="830"/>
      <c r="AD1712" s="375" t="str">
        <f>IF(G1712=0,"",IF($AD$8="me","me",IF(H1712="warranty","free",IF($AD$8="yes","NVP",""))))</f>
        <v/>
      </c>
      <c r="AE1712" s="833" t="str">
        <f>IF(G1712&gt;0,(CONCATENATE((G1712)," quantity, ",(A1712)," ",B1712)),"")</f>
        <v/>
      </c>
      <c r="AF1712" s="833"/>
      <c r="AG1712" s="833"/>
      <c r="AH1712" s="91" t="str">
        <f>IF(AD1712="free",0,IF(AD1712="me","",IF(G1712&gt;0,(VLOOKUP(A1712,'Discount Lookup'!J:K,2)*G1712),"")))</f>
        <v/>
      </c>
      <c r="AI1712" s="92" t="str">
        <f t="shared" si="4050"/>
        <v/>
      </c>
      <c r="AJ1712" s="828" t="str">
        <f>IF(G1712=0,"",IF(AD1712="me","  delivery-only",CONCATENATE(" $",ROUND(AI1712/G1712,2)," each")))</f>
        <v/>
      </c>
      <c r="AK1712" s="828"/>
      <c r="AL1712" s="313" t="str">
        <f t="shared" si="4076"/>
        <v/>
      </c>
      <c r="AM1712" s="312"/>
      <c r="AN1712" s="101"/>
      <c r="AO1712" s="101"/>
      <c r="AP1712" s="101"/>
      <c r="AQ1712" s="101"/>
      <c r="AR1712" s="101"/>
      <c r="AS1712" s="101"/>
      <c r="AT1712" s="101"/>
    </row>
    <row r="1713" spans="1:46" ht="12.95" customHeight="1">
      <c r="A1713" s="836" t="s">
        <v>893</v>
      </c>
      <c r="B1713" s="837"/>
      <c r="C1713" s="837"/>
      <c r="D1713" s="837"/>
      <c r="E1713" s="837"/>
      <c r="F1713" s="837"/>
      <c r="G1713" s="837"/>
      <c r="H1713" s="775" t="s">
        <v>624</v>
      </c>
      <c r="I1713" s="164" t="s">
        <v>79</v>
      </c>
      <c r="J1713" s="157"/>
      <c r="K1713" s="611" t="s">
        <v>45</v>
      </c>
      <c r="L1713" s="630" t="s">
        <v>46</v>
      </c>
      <c r="M1713" s="157"/>
      <c r="N1713" s="158" t="s">
        <v>845</v>
      </c>
      <c r="O1713" s="158"/>
      <c r="P1713" s="158"/>
      <c r="Q1713" s="158"/>
      <c r="R1713" s="157"/>
      <c r="S1713" s="170"/>
      <c r="T1713" s="547"/>
      <c r="U1713" s="171"/>
      <c r="V1713" s="100" t="b">
        <f>IF(G1713&gt;0,IF(AD1713="me","",G1713))</f>
        <v>0</v>
      </c>
      <c r="W1713" s="100"/>
      <c r="X1713" s="100"/>
      <c r="Y1713" s="201"/>
      <c r="Z1713" s="829" t="str">
        <f t="shared" si="4042"/>
        <v/>
      </c>
      <c r="AA1713" s="829"/>
      <c r="AB1713" s="830" t="str">
        <f>IF(G1713=0,"",IF(AD1713="free","re-planting",IF(AD1713="me","not NVP, by",IF($AD$8="yes",(VLOOKUP(A1713,'Discount Lookup'!J:K,2)*G1713*(1-$AC$1786)*(1+$AC$1788)),IF(AD1713="NVP",(VLOOKUP(A1713,'Discount Lookup'!J:K,2)*G1713*(1-$AC$1786)*(1+$AC$1788)),IF(AD1713="free","re-planting",IF(G1713=0,"",IF($AD$8="",IF(AD1713="me","not NVP, by",IF(AD1713="",IF(G1713&gt;0,(VLOOKUP(A1713,'Discount Lookup'!J:K,2)*G1713*(1-$AC$1786)*(1+$AC$1788)),""),"")),"not NVP, by"))))))))</f>
        <v/>
      </c>
      <c r="AC1713" s="830"/>
      <c r="AD1713" s="375" t="str">
        <f t="shared" si="4117"/>
        <v/>
      </c>
      <c r="AE1713" s="833" t="str">
        <f t="shared" si="4116"/>
        <v/>
      </c>
      <c r="AF1713" s="833"/>
      <c r="AG1713" s="833"/>
      <c r="AH1713" s="91">
        <f>IF(AD1713="free",0,IF(AD1713="me",0,IF(G1713&gt;0,(VLOOKUP(A1713,'Discount Lookup'!J:K,2)*G1713),0)))</f>
        <v>0</v>
      </c>
      <c r="AI1713" s="92" t="str">
        <f t="shared" si="4050"/>
        <v/>
      </c>
      <c r="AJ1713" s="828" t="str">
        <f t="shared" si="4043"/>
        <v/>
      </c>
      <c r="AK1713" s="828"/>
      <c r="AL1713" s="313" t="str">
        <f t="shared" si="4076"/>
        <v/>
      </c>
      <c r="AM1713" s="312"/>
      <c r="AN1713" s="101"/>
      <c r="AO1713" s="101"/>
      <c r="AP1713" s="101"/>
      <c r="AQ1713" s="101"/>
      <c r="AR1713" s="101"/>
      <c r="AS1713" s="101"/>
      <c r="AT1713" s="101"/>
    </row>
    <row r="1714" spans="1:46" ht="12.95" customHeight="1">
      <c r="A1714" s="383">
        <v>1</v>
      </c>
      <c r="B1714" s="158" t="s">
        <v>50</v>
      </c>
      <c r="C1714" s="168" t="s">
        <v>136</v>
      </c>
      <c r="D1714" s="161" t="s">
        <v>62</v>
      </c>
      <c r="E1714" s="162">
        <v>8.9499999999999993</v>
      </c>
      <c r="F1714" s="713" t="s">
        <v>1306</v>
      </c>
      <c r="G1714" s="357">
        <v>0</v>
      </c>
      <c r="H1714" s="748" t="str">
        <f t="shared" ref="H1714:H1715" si="4142">IF(G1714=0,"",IF(F1714="Qty=",IF(G1714=1,"plant","plants"),IF(F1714&gt;0.0001,"warranty","Error")))</f>
        <v/>
      </c>
      <c r="I1714" s="592">
        <f t="shared" ref="I1714:I1715" si="4143">IF(F1714="Qty=",(E1714*G1714),((E1714*(1-F1714))*G1714))</f>
        <v>0</v>
      </c>
      <c r="J1714" s="592">
        <f>IF(H1714="warranty",0,(I1714*($J$1782)))</f>
        <v>0</v>
      </c>
      <c r="K1714" s="834">
        <f t="shared" ref="K1714:K1715" si="4144">I1714+J1714</f>
        <v>0</v>
      </c>
      <c r="L1714" s="834"/>
      <c r="M1714" s="832" t="str">
        <f>IF($H$1784=0,"",IF(G1714=0,"",IF(F1714="Qty=",CONCATENATE("$",ROUND(K1714*(1-$H$1784),2)," with ",($H$1784*100),"% discount"),CONCATENATE("$",ROUND(K1714*(1-$H$1784),2)," with ",(($H$1784*100+F1714*100)-($H$1784*100*F1714)),IF(F1714&gt;0,"% discounts",IF($H$1781&gt;0,"% discounts","% discount"))))))</f>
        <v/>
      </c>
      <c r="N1714" s="832"/>
      <c r="O1714" s="832"/>
      <c r="P1714" s="832"/>
      <c r="Q1714" s="832"/>
      <c r="R1714" s="832"/>
      <c r="S1714" s="303">
        <f t="shared" ref="S1714:S1715" si="4145">E1714*G1714</f>
        <v>0</v>
      </c>
      <c r="T1714" s="541">
        <f>VLOOKUP(A1714,'Discount Lookup'!D:E,2,FALSE)*G1714</f>
        <v>0</v>
      </c>
      <c r="U1714" s="83">
        <f>VLOOKUP(A1714,'Discount Lookup'!G:H,2,FALSE)*G1714</f>
        <v>0</v>
      </c>
      <c r="V1714" s="100">
        <f>E1714*($J$1782)*G1714</f>
        <v>0</v>
      </c>
      <c r="W1714" s="100">
        <f t="shared" ref="W1714:W1715" si="4146">I1714</f>
        <v>0</v>
      </c>
      <c r="X1714" s="100" t="b">
        <f>IF(G1714&gt;0,IF(AD1714="me","",G1714))</f>
        <v>0</v>
      </c>
      <c r="Y1714" s="201"/>
      <c r="Z1714" s="829" t="str">
        <f t="shared" ref="Z1714:Z1771" si="4147">IF(G1714=0,"",IF(AD1714="me","",IF($AD$8="me","",IF(AD1714="free","warranty",IF($AD$8="yes","NVP planting:","to NVP install:")))))</f>
        <v/>
      </c>
      <c r="AA1714" s="829"/>
      <c r="AB1714" s="830" t="str">
        <f>IF(G1714=0,"",IF(AD1714="free","re-planting",IF(AD1714="me","not NVP, by",IF($AD$8="yes",(VLOOKUP(A1714,'Discount Lookup'!J:K,2)*G1714*(1-$AC$1786)*(1+$AC$1788)),IF(AD1714="NVP",(VLOOKUP(A1714,'Discount Lookup'!J:K,2)*G1714*(1-$AC$1786)*(1+$AC$1788)),IF(AD1714="free","re-planting",IF(G1714=0,"",IF($AD$8="",IF(AD1714="me","not NVP, by",IF(AD1714="",IF(G1714&gt;0,(VLOOKUP(A1714,'Discount Lookup'!J:K,2)*G1714*(1-$AC$1786)*(1+$AC$1788)),""),"")),"not NVP, by"))))))))</f>
        <v/>
      </c>
      <c r="AC1714" s="830"/>
      <c r="AD1714" s="375" t="str">
        <f t="shared" si="4117"/>
        <v/>
      </c>
      <c r="AE1714" s="833" t="str">
        <f t="shared" si="4116"/>
        <v/>
      </c>
      <c r="AF1714" s="833"/>
      <c r="AG1714" s="833"/>
      <c r="AH1714" s="91">
        <f>IF(AD1714="free",0,IF(AD1714="me",0,IF(G1714&gt;0,(VLOOKUP(A1714,'Discount Lookup'!J:K,2)*G1714),0)))</f>
        <v>0</v>
      </c>
      <c r="AI1714" s="92" t="str">
        <f t="shared" si="4050"/>
        <v/>
      </c>
      <c r="AJ1714" s="828" t="str">
        <f t="shared" ref="AJ1714:AJ1777" si="4148">IF(G1714=0,"",IF(AD1714="me","  delivery-only",IF($AD$8="me","  delivery-only",CONCATENATE(" $",ROUND(AI1714/G1714,2)," each"))))</f>
        <v/>
      </c>
      <c r="AK1714" s="828"/>
      <c r="AL1714" s="313" t="str">
        <f t="shared" si="4076"/>
        <v/>
      </c>
      <c r="AM1714" s="312"/>
      <c r="AN1714" s="101"/>
      <c r="AO1714" s="101"/>
      <c r="AP1714" s="101"/>
      <c r="AQ1714" s="101"/>
      <c r="AR1714" s="101"/>
      <c r="AS1714" s="101"/>
      <c r="AT1714" s="101"/>
    </row>
    <row r="1715" spans="1:46" ht="12.95" customHeight="1">
      <c r="A1715" s="383">
        <v>1</v>
      </c>
      <c r="B1715" s="158" t="s">
        <v>50</v>
      </c>
      <c r="C1715" s="168" t="s">
        <v>136</v>
      </c>
      <c r="D1715" s="161" t="s">
        <v>94</v>
      </c>
      <c r="E1715" s="162">
        <v>8.9499999999999993</v>
      </c>
      <c r="F1715" s="713" t="s">
        <v>1306</v>
      </c>
      <c r="G1715" s="357">
        <v>0</v>
      </c>
      <c r="H1715" s="748" t="str">
        <f t="shared" si="4142"/>
        <v/>
      </c>
      <c r="I1715" s="592">
        <f t="shared" si="4143"/>
        <v>0</v>
      </c>
      <c r="J1715" s="592">
        <f>IF(H1715="warranty",0,(I1715*($J$1782)))</f>
        <v>0</v>
      </c>
      <c r="K1715" s="834">
        <f t="shared" si="4144"/>
        <v>0</v>
      </c>
      <c r="L1715" s="834"/>
      <c r="M1715" s="832" t="str">
        <f>IF($H$1784=0,"",IF(G1715=0,"",IF(F1715="Qty=",CONCATENATE("$",ROUND(K1715*(1-$H$1784),2)," with ",($H$1784*100),"% discount"),CONCATENATE("$",ROUND(K1715*(1-$H$1784),2)," with ",(($H$1784*100+F1715*100)-($H$1784*100*F1715)),IF(F1715&gt;0,"% discounts",IF($H$1781&gt;0,"% discounts","% discount"))))))</f>
        <v/>
      </c>
      <c r="N1715" s="832"/>
      <c r="O1715" s="832"/>
      <c r="P1715" s="832"/>
      <c r="Q1715" s="832"/>
      <c r="R1715" s="832"/>
      <c r="S1715" s="303">
        <f t="shared" si="4145"/>
        <v>0</v>
      </c>
      <c r="T1715" s="541">
        <f>VLOOKUP(A1715,'Discount Lookup'!D:E,2,FALSE)*G1715</f>
        <v>0</v>
      </c>
      <c r="U1715" s="83">
        <f>VLOOKUP(A1715,'Discount Lookup'!G:H,2,FALSE)*G1715</f>
        <v>0</v>
      </c>
      <c r="V1715" s="100">
        <f>E1715*($J$1782)*G1715</f>
        <v>0</v>
      </c>
      <c r="W1715" s="100">
        <f t="shared" si="4146"/>
        <v>0</v>
      </c>
      <c r="X1715" s="100" t="b">
        <f>IF(G1715&gt;0,IF(AD1715="me","",G1715))</f>
        <v>0</v>
      </c>
      <c r="Y1715" s="201"/>
      <c r="Z1715" s="829" t="str">
        <f t="shared" si="4147"/>
        <v/>
      </c>
      <c r="AA1715" s="829"/>
      <c r="AB1715" s="830" t="str">
        <f>IF(G1715=0,"",IF(AD1715="free","re-planting",IF(AD1715="me","not NVP, by",IF($AD$8="yes",(VLOOKUP(A1715,'Discount Lookup'!J:K,2)*G1715*(1-$AC$1786)*(1+$AC$1788)),IF(AD1715="NVP",(VLOOKUP(A1715,'Discount Lookup'!J:K,2)*G1715*(1-$AC$1786)*(1+$AC$1788)),IF(AD1715="free","re-planting",IF(G1715=0,"",IF($AD$8="",IF(AD1715="me","not NVP, by",IF(AD1715="",IF(G1715&gt;0,(VLOOKUP(A1715,'Discount Lookup'!J:K,2)*G1715*(1-$AC$1786)*(1+$AC$1788)),""),"")),"not NVP, by"))))))))</f>
        <v/>
      </c>
      <c r="AC1715" s="830"/>
      <c r="AD1715" s="375" t="str">
        <f t="shared" si="4117"/>
        <v/>
      </c>
      <c r="AE1715" s="833" t="str">
        <f t="shared" si="4116"/>
        <v/>
      </c>
      <c r="AF1715" s="833"/>
      <c r="AG1715" s="833"/>
      <c r="AH1715" s="91">
        <f>IF(AD1715="free",0,IF(AD1715="me",0,IF(G1715&gt;0,(VLOOKUP(A1715,'Discount Lookup'!J:K,2)*G1715),0)))</f>
        <v>0</v>
      </c>
      <c r="AI1715" s="92" t="str">
        <f t="shared" si="4050"/>
        <v/>
      </c>
      <c r="AJ1715" s="828" t="str">
        <f t="shared" si="4148"/>
        <v/>
      </c>
      <c r="AK1715" s="828"/>
      <c r="AL1715" s="313" t="str">
        <f t="shared" si="4076"/>
        <v/>
      </c>
      <c r="AM1715" s="312"/>
      <c r="AN1715" s="101"/>
      <c r="AO1715" s="101"/>
      <c r="AP1715" s="101"/>
      <c r="AQ1715" s="101"/>
      <c r="AR1715" s="101"/>
      <c r="AS1715" s="101"/>
      <c r="AT1715" s="101"/>
    </row>
    <row r="1716" spans="1:46" ht="12.95" customHeight="1">
      <c r="A1716" s="475"/>
      <c r="B1716" s="103" t="s">
        <v>894</v>
      </c>
      <c r="G1716" s="361"/>
      <c r="H1716" s="749"/>
      <c r="M1716" s="121"/>
      <c r="N1716" s="122" t="s">
        <v>331</v>
      </c>
      <c r="O1716" s="123"/>
      <c r="P1716" s="124"/>
      <c r="Q1716" s="124"/>
      <c r="R1716" s="83"/>
      <c r="S1716" s="82"/>
      <c r="T1716" s="540"/>
      <c r="U1716" s="83"/>
      <c r="V1716" s="100"/>
      <c r="W1716" s="100"/>
      <c r="X1716" s="100"/>
      <c r="Y1716" s="201"/>
      <c r="Z1716" s="829" t="str">
        <f t="shared" si="4147"/>
        <v/>
      </c>
      <c r="AA1716" s="829"/>
      <c r="AB1716" s="830" t="str">
        <f>IF(G1716=0,"",IF(AD1716="free","re-planting",IF(AD1716="me","not NVP, by",IF($AD$8="yes",(VLOOKUP(A1716,'Discount Lookup'!J:K,2)*G1716*(1-$AC$1786)*(1+$AC$1788)),IF(AD1716="NVP",(VLOOKUP(A1716,'Discount Lookup'!J:K,2)*G1716*(1-$AC$1786)*(1+$AC$1788)),IF(AD1716="free","re-planting",IF(G1716=0,"",IF($AD$8="",IF(AD1716="me","not NVP, by",IF(AD1716="",IF(G1716&gt;0,(VLOOKUP(A1716,'Discount Lookup'!J:K,2)*G1716*(1-$AC$1786)*(1+$AC$1788)),""),"")),"not NVP, by"))))))))</f>
        <v/>
      </c>
      <c r="AC1716" s="830"/>
      <c r="AD1716" s="375" t="str">
        <f t="shared" si="4117"/>
        <v/>
      </c>
      <c r="AE1716" s="833" t="str">
        <f t="shared" si="4116"/>
        <v/>
      </c>
      <c r="AF1716" s="833"/>
      <c r="AG1716" s="833"/>
      <c r="AH1716" s="91">
        <f>IF(AD1716="free",0,IF(AD1716="me",0,IF(G1716&gt;0,(VLOOKUP(A1716,'Discount Lookup'!J:K,2)*G1716),0)))</f>
        <v>0</v>
      </c>
      <c r="AI1716" s="92" t="str">
        <f t="shared" si="4050"/>
        <v/>
      </c>
      <c r="AJ1716" s="828" t="str">
        <f t="shared" si="4148"/>
        <v/>
      </c>
      <c r="AK1716" s="828"/>
      <c r="AL1716" s="313" t="str">
        <f t="shared" si="4076"/>
        <v/>
      </c>
      <c r="AM1716" s="312"/>
      <c r="AN1716" s="101"/>
      <c r="AO1716" s="101"/>
      <c r="AP1716" s="101"/>
      <c r="AQ1716" s="101"/>
      <c r="AR1716" s="101"/>
      <c r="AS1716" s="101"/>
      <c r="AT1716" s="101"/>
    </row>
    <row r="1717" spans="1:46" ht="12.95" customHeight="1">
      <c r="A1717" s="836" t="s">
        <v>895</v>
      </c>
      <c r="B1717" s="837"/>
      <c r="C1717" s="837"/>
      <c r="D1717" s="837"/>
      <c r="E1717" s="837"/>
      <c r="F1717" s="837"/>
      <c r="G1717" s="837"/>
      <c r="H1717" s="775" t="s">
        <v>896</v>
      </c>
      <c r="I1717" s="164" t="s">
        <v>174</v>
      </c>
      <c r="J1717" s="157"/>
      <c r="K1717" s="611" t="s">
        <v>45</v>
      </c>
      <c r="L1717" s="630" t="s">
        <v>46</v>
      </c>
      <c r="M1717" s="157"/>
      <c r="N1717" s="158" t="s">
        <v>98</v>
      </c>
      <c r="O1717" s="158"/>
      <c r="P1717" s="158"/>
      <c r="Q1717" s="158"/>
      <c r="R1717" s="157"/>
      <c r="S1717" s="170"/>
      <c r="T1717" s="547"/>
      <c r="U1717" s="159" t="s">
        <v>48</v>
      </c>
      <c r="V1717" s="100" t="b">
        <f>IF(G1717&gt;0,IF(AD1717="me","",G1717))</f>
        <v>0</v>
      </c>
      <c r="W1717" s="100"/>
      <c r="X1717" s="100"/>
      <c r="Y1717" s="201"/>
      <c r="Z1717" s="829" t="str">
        <f t="shared" si="4147"/>
        <v/>
      </c>
      <c r="AA1717" s="829"/>
      <c r="AB1717" s="830" t="str">
        <f>IF(G1717=0,"",IF(AD1717="free","re-planting",IF(AD1717="me","not NVP, by",IF($AD$8="yes",(VLOOKUP(A1717,'Discount Lookup'!J:K,2)*G1717*(1-$AC$1786)*(1+$AC$1788)),IF(AD1717="NVP",(VLOOKUP(A1717,'Discount Lookup'!J:K,2)*G1717*(1-$AC$1786)*(1+$AC$1788)),IF(AD1717="free","re-planting",IF(G1717=0,"",IF($AD$8="",IF(AD1717="me","not NVP, by",IF(AD1717="",IF(G1717&gt;0,(VLOOKUP(A1717,'Discount Lookup'!J:K,2)*G1717*(1-$AC$1786)*(1+$AC$1788)),""),"")),"not NVP, by"))))))))</f>
        <v/>
      </c>
      <c r="AC1717" s="830"/>
      <c r="AD1717" s="375" t="str">
        <f t="shared" si="4117"/>
        <v/>
      </c>
      <c r="AE1717" s="833" t="str">
        <f t="shared" si="4116"/>
        <v/>
      </c>
      <c r="AF1717" s="833"/>
      <c r="AG1717" s="833"/>
      <c r="AH1717" s="91">
        <f>IF(AD1717="free",0,IF(AD1717="me",0,IF(G1717&gt;0,(VLOOKUP(A1717,'Discount Lookup'!J:K,2)*G1717),0)))</f>
        <v>0</v>
      </c>
      <c r="AI1717" s="92" t="str">
        <f t="shared" si="4050"/>
        <v/>
      </c>
      <c r="AJ1717" s="828" t="str">
        <f t="shared" si="4148"/>
        <v/>
      </c>
      <c r="AK1717" s="828"/>
      <c r="AL1717" s="313" t="str">
        <f t="shared" si="4076"/>
        <v/>
      </c>
      <c r="AM1717" s="312"/>
      <c r="AN1717" s="101"/>
      <c r="AO1717" s="101"/>
      <c r="AP1717" s="101"/>
      <c r="AQ1717" s="101"/>
      <c r="AR1717" s="101"/>
      <c r="AS1717" s="101"/>
      <c r="AT1717" s="101"/>
    </row>
    <row r="1718" spans="1:46" ht="12.95" customHeight="1">
      <c r="A1718" s="383">
        <v>1</v>
      </c>
      <c r="B1718" s="158" t="s">
        <v>50</v>
      </c>
      <c r="C1718" s="168" t="s">
        <v>136</v>
      </c>
      <c r="D1718" s="161" t="s">
        <v>87</v>
      </c>
      <c r="E1718" s="162">
        <v>12.95</v>
      </c>
      <c r="F1718" s="713" t="s">
        <v>1306</v>
      </c>
      <c r="G1718" s="357">
        <v>0</v>
      </c>
      <c r="H1718" s="748" t="str">
        <f t="shared" ref="H1718" si="4149">IF(G1718=0,"",IF(F1718="Qty=",IF(G1718=1,"plant","plants"),IF(F1718&gt;0.0001,"warranty","Error")))</f>
        <v/>
      </c>
      <c r="I1718" s="592">
        <f t="shared" ref="I1718" si="4150">IF(F1718="Qty=",(E1718*G1718),((E1718*(1-F1718))*G1718))</f>
        <v>0</v>
      </c>
      <c r="J1718" s="592">
        <f>IF(H1718="warranty",0,(I1718*($J$1782)))</f>
        <v>0</v>
      </c>
      <c r="K1718" s="834">
        <f t="shared" ref="K1718" si="4151">I1718+J1718</f>
        <v>0</v>
      </c>
      <c r="L1718" s="834"/>
      <c r="M1718" s="832" t="str">
        <f>IF($H$1784=0,"",IF(G1718=0,"",IF(F1718="Qty=",CONCATENATE("$",ROUND(K1718*(1-$H$1784),2)," with ",($H$1784*100),"% discount"),CONCATENATE("$",ROUND(K1718*(1-$H$1784),2)," with ",(($H$1784*100+F1718*100)-($H$1784*100*F1718)),IF(F1718&gt;0,"% discounts",IF($H$1781&gt;0,"% discounts","% discount"))))))</f>
        <v/>
      </c>
      <c r="N1718" s="832"/>
      <c r="O1718" s="832"/>
      <c r="P1718" s="832"/>
      <c r="Q1718" s="832"/>
      <c r="R1718" s="832"/>
      <c r="S1718" s="303">
        <f t="shared" ref="S1718" si="4152">E1718*G1718</f>
        <v>0</v>
      </c>
      <c r="T1718" s="541">
        <f>VLOOKUP(A1718,'Discount Lookup'!D:E,2,FALSE)*G1718</f>
        <v>0</v>
      </c>
      <c r="U1718" s="83">
        <f>VLOOKUP(A1718,'Discount Lookup'!G:H,2,FALSE)*G1718</f>
        <v>0</v>
      </c>
      <c r="V1718" s="100">
        <f>E1718*($J$1782)*G1718</f>
        <v>0</v>
      </c>
      <c r="W1718" s="100">
        <f t="shared" ref="W1718" si="4153">I1718</f>
        <v>0</v>
      </c>
      <c r="X1718" s="100" t="b">
        <f>IF(G1718&gt;0,IF(AD1718="me","",G1718))</f>
        <v>0</v>
      </c>
      <c r="Y1718" s="201"/>
      <c r="Z1718" s="829" t="str">
        <f t="shared" si="4147"/>
        <v/>
      </c>
      <c r="AA1718" s="829"/>
      <c r="AB1718" s="830" t="str">
        <f>IF(G1718=0,"",IF(AD1718="free","re-planting",IF(AD1718="me","not NVP, by",IF($AD$8="yes",(VLOOKUP(A1718,'Discount Lookup'!J:K,2)*G1718*(1-$AC$1786)*(1+$AC$1788)),IF(AD1718="NVP",(VLOOKUP(A1718,'Discount Lookup'!J:K,2)*G1718*(1-$AC$1786)*(1+$AC$1788)),IF(AD1718="free","re-planting",IF(G1718=0,"",IF($AD$8="",IF(AD1718="me","not NVP, by",IF(AD1718="",IF(G1718&gt;0,(VLOOKUP(A1718,'Discount Lookup'!J:K,2)*G1718*(1-$AC$1786)*(1+$AC$1788)),""),"")),"not NVP, by"))))))))</f>
        <v/>
      </c>
      <c r="AC1718" s="830"/>
      <c r="AD1718" s="375" t="str">
        <f t="shared" si="4117"/>
        <v/>
      </c>
      <c r="AE1718" s="833" t="str">
        <f t="shared" si="4116"/>
        <v/>
      </c>
      <c r="AF1718" s="833"/>
      <c r="AG1718" s="833"/>
      <c r="AH1718" s="91">
        <f>IF(AD1718="free",0,IF(AD1718="me",0,IF(G1718&gt;0,(VLOOKUP(A1718,'Discount Lookup'!J:K,2)*G1718),0)))</f>
        <v>0</v>
      </c>
      <c r="AI1718" s="92" t="str">
        <f t="shared" si="4050"/>
        <v/>
      </c>
      <c r="AJ1718" s="828" t="str">
        <f t="shared" si="4148"/>
        <v/>
      </c>
      <c r="AK1718" s="828"/>
      <c r="AL1718" s="313" t="str">
        <f t="shared" si="4076"/>
        <v/>
      </c>
      <c r="AM1718" s="312"/>
      <c r="AN1718" s="101"/>
      <c r="AO1718" s="101"/>
      <c r="AP1718" s="101"/>
      <c r="AQ1718" s="101"/>
      <c r="AR1718" s="101"/>
      <c r="AS1718" s="101"/>
      <c r="AT1718" s="101"/>
    </row>
    <row r="1719" spans="1:46" ht="12.95" customHeight="1">
      <c r="A1719" s="394"/>
      <c r="B1719" s="173" t="s">
        <v>897</v>
      </c>
      <c r="C1719" s="213"/>
      <c r="D1719" s="180"/>
      <c r="E1719" s="214"/>
      <c r="F1719" s="724"/>
      <c r="G1719" s="365"/>
      <c r="H1719" s="744"/>
      <c r="I1719" s="214"/>
      <c r="J1719" s="214"/>
      <c r="K1719" s="623"/>
      <c r="L1719" s="623"/>
      <c r="M1719" s="212"/>
      <c r="N1719" s="212"/>
      <c r="O1719" s="215"/>
      <c r="P1719" s="216"/>
      <c r="Q1719" s="48"/>
      <c r="R1719" s="48"/>
      <c r="S1719" s="48"/>
      <c r="T1719" s="546"/>
      <c r="Y1719" s="132"/>
      <c r="Z1719" s="829" t="str">
        <f t="shared" si="4147"/>
        <v/>
      </c>
      <c r="AA1719" s="829"/>
      <c r="AB1719" s="830" t="str">
        <f>IF(G1719=0,"",IF(AD1719="free","re-planting",IF(AD1719="me","not NVP, by",IF($AD$8="yes",(VLOOKUP(A1719,'Discount Lookup'!J:K,2)*G1719*(1-$AC$1786)*(1+$AC$1788)),IF(AD1719="NVP",(VLOOKUP(A1719,'Discount Lookup'!J:K,2)*G1719*(1-$AC$1786)*(1+$AC$1788)),IF(AD1719="free","re-planting",IF(G1719=0,"",IF($AD$8="",IF(AD1719="me","not NVP, by",IF(AD1719="",IF(G1719&gt;0,(VLOOKUP(A1719,'Discount Lookup'!J:K,2)*G1719*(1-$AC$1786)*(1+$AC$1788)),""),"")),"not NVP, by"))))))))</f>
        <v/>
      </c>
      <c r="AC1719" s="830"/>
      <c r="AD1719" s="375" t="str">
        <f t="shared" si="4117"/>
        <v/>
      </c>
      <c r="AE1719" s="833" t="str">
        <f t="shared" si="4116"/>
        <v/>
      </c>
      <c r="AF1719" s="833"/>
      <c r="AG1719" s="833"/>
      <c r="AH1719" s="91">
        <f>IF(AD1719="free",0,IF(AD1719="me",0,IF(G1719&gt;0,(VLOOKUP(A1719,'Discount Lookup'!J:K,2)*G1719),0)))</f>
        <v>0</v>
      </c>
      <c r="AI1719" s="92" t="str">
        <f t="shared" si="4050"/>
        <v/>
      </c>
      <c r="AJ1719" s="828" t="str">
        <f t="shared" si="4148"/>
        <v/>
      </c>
      <c r="AK1719" s="828"/>
      <c r="AL1719" s="313" t="str">
        <f t="shared" si="4076"/>
        <v/>
      </c>
      <c r="AM1719" s="312"/>
      <c r="AN1719" s="101"/>
      <c r="AO1719" s="101"/>
      <c r="AP1719" s="101"/>
      <c r="AQ1719" s="101"/>
      <c r="AR1719" s="101"/>
      <c r="AS1719" s="101"/>
      <c r="AT1719" s="101"/>
    </row>
    <row r="1720" spans="1:46" ht="12.95" customHeight="1">
      <c r="A1720" s="926" t="s">
        <v>976</v>
      </c>
      <c r="B1720" s="837"/>
      <c r="C1720" s="837"/>
      <c r="D1720" s="837"/>
      <c r="E1720" s="837"/>
      <c r="F1720" s="837"/>
      <c r="G1720" s="837"/>
      <c r="H1720" s="775" t="s">
        <v>896</v>
      </c>
      <c r="I1720" s="349" t="s">
        <v>280</v>
      </c>
      <c r="J1720" s="157"/>
      <c r="K1720" s="611" t="s">
        <v>45</v>
      </c>
      <c r="L1720" s="630" t="s">
        <v>46</v>
      </c>
      <c r="M1720" s="157"/>
      <c r="N1720" s="158" t="s">
        <v>69</v>
      </c>
      <c r="O1720" s="158"/>
      <c r="P1720" s="158"/>
      <c r="Q1720" s="158"/>
      <c r="R1720" s="157"/>
      <c r="S1720" s="170"/>
      <c r="T1720" s="549" t="s">
        <v>221</v>
      </c>
      <c r="U1720" s="171"/>
      <c r="V1720" s="100" t="b">
        <f>IF(G1720&gt;0,IF(AD1720="me","",G1720))</f>
        <v>0</v>
      </c>
      <c r="W1720" s="100"/>
      <c r="X1720" s="100"/>
      <c r="Y1720" s="201"/>
      <c r="Z1720" s="829" t="str">
        <f t="shared" si="4147"/>
        <v/>
      </c>
      <c r="AA1720" s="829"/>
      <c r="AB1720" s="830" t="str">
        <f>IF(G1720=0,"",IF(AD1720="free","re-planting",IF(AD1720="me","not NVP, by",IF($AD$8="yes",(VLOOKUP(A1720,'Discount Lookup'!J:K,2)*G1720*(1-$AC$1786)*(1+$AC$1788)),IF(AD1720="NVP",(VLOOKUP(A1720,'Discount Lookup'!J:K,2)*G1720*(1-$AC$1786)*(1+$AC$1788)),IF(AD1720="free","re-planting",IF(G1720=0,"",IF($AD$8="",IF(AD1720="me","not NVP, by",IF(AD1720="",IF(G1720&gt;0,(VLOOKUP(A1720,'Discount Lookup'!J:K,2)*G1720*(1-$AC$1786)*(1+$AC$1788)),""),"")),"not NVP, by"))))))))</f>
        <v/>
      </c>
      <c r="AC1720" s="830"/>
      <c r="AD1720" s="375" t="str">
        <f t="shared" si="4117"/>
        <v/>
      </c>
      <c r="AE1720" s="833" t="str">
        <f t="shared" ref="AE1720:AE1722" si="4154">IF(G1720&gt;0,(CONCATENATE((G1720)," quantity, ",(A1720)," ",B1720)),"")</f>
        <v/>
      </c>
      <c r="AF1720" s="833"/>
      <c r="AG1720" s="833"/>
      <c r="AH1720" s="91">
        <f>IF(AD1720="free",0,IF(AD1720="me",0,IF(G1720&gt;0,(VLOOKUP(A1720,'Discount Lookup'!J:K,2)*G1720),0)))</f>
        <v>0</v>
      </c>
      <c r="AI1720" s="92" t="str">
        <f t="shared" si="4050"/>
        <v/>
      </c>
      <c r="AJ1720" s="828" t="str">
        <f t="shared" si="4148"/>
        <v/>
      </c>
      <c r="AK1720" s="828"/>
      <c r="AL1720" s="313" t="str">
        <f t="shared" si="4076"/>
        <v/>
      </c>
      <c r="AM1720" s="312"/>
      <c r="AN1720" s="101"/>
      <c r="AO1720" s="101"/>
      <c r="AP1720" s="101"/>
      <c r="AQ1720" s="101"/>
      <c r="AR1720" s="101"/>
      <c r="AS1720" s="101"/>
      <c r="AT1720" s="101"/>
    </row>
    <row r="1721" spans="1:46" ht="12.95" customHeight="1">
      <c r="A1721" s="448">
        <v>1</v>
      </c>
      <c r="B1721" s="158" t="s">
        <v>50</v>
      </c>
      <c r="C1721" s="168" t="s">
        <v>136</v>
      </c>
      <c r="D1721" s="161" t="s">
        <v>87</v>
      </c>
      <c r="E1721" s="162">
        <v>11.95</v>
      </c>
      <c r="F1721" s="713" t="s">
        <v>1306</v>
      </c>
      <c r="G1721" s="357">
        <v>0</v>
      </c>
      <c r="H1721" s="748" t="str">
        <f t="shared" ref="H1721" si="4155">IF(G1721=0,"",IF(F1721="Qty=",IF(G1721=1,"plant","plants"),IF(F1721&gt;0.0001,"warranty","Error")))</f>
        <v/>
      </c>
      <c r="I1721" s="592">
        <f t="shared" ref="I1721" si="4156">IF(F1721="Qty=",(E1721*G1721),((E1721*(1-F1721))*G1721))</f>
        <v>0</v>
      </c>
      <c r="J1721" s="592">
        <f>IF(H1721="warranty",0,(I1721*($J$1782)))</f>
        <v>0</v>
      </c>
      <c r="K1721" s="834">
        <f t="shared" ref="K1721" si="4157">I1721+J1721</f>
        <v>0</v>
      </c>
      <c r="L1721" s="834"/>
      <c r="M1721" s="832" t="str">
        <f>IF($H$1784=0,"",IF(G1721=0,"",IF(F1721="Qty=",CONCATENATE("$",ROUND(K1721*(1-$H$1784),2)," with ",($H$1784*100),"% discount"),CONCATENATE("$",ROUND(K1721*(1-$H$1784),2)," with ",(($H$1784*100+F1721*100)-($H$1784*100*F1721)),IF(F1721&gt;0,"% discounts",IF($H$1781&gt;0,"% discounts","% discount"))))))</f>
        <v/>
      </c>
      <c r="N1721" s="832"/>
      <c r="O1721" s="832"/>
      <c r="P1721" s="832"/>
      <c r="Q1721" s="832"/>
      <c r="R1721" s="832"/>
      <c r="S1721" s="303">
        <f t="shared" ref="S1721" si="4158">E1721*G1721</f>
        <v>0</v>
      </c>
      <c r="T1721" s="541">
        <f>VLOOKUP(A1721,'Discount Lookup'!D:E,2,FALSE)*G1721</f>
        <v>0</v>
      </c>
      <c r="U1721" s="83">
        <f>VLOOKUP(A1721,'Discount Lookup'!G:H,2,FALSE)*G1721</f>
        <v>0</v>
      </c>
      <c r="V1721" s="100">
        <f>E1721*($J$1782)*G1721</f>
        <v>0</v>
      </c>
      <c r="W1721" s="100">
        <f t="shared" ref="W1721" si="4159">I1721</f>
        <v>0</v>
      </c>
      <c r="X1721" s="100" t="b">
        <f>IF(G1721&gt;0,IF(AD1721="me","",G1721))</f>
        <v>0</v>
      </c>
      <c r="Y1721" s="201"/>
      <c r="Z1721" s="829" t="str">
        <f t="shared" si="4147"/>
        <v/>
      </c>
      <c r="AA1721" s="829"/>
      <c r="AB1721" s="830" t="str">
        <f>IF(G1721=0,"",IF(AD1721="free","re-planting",IF(AD1721="me","not NVP, by",IF($AD$8="yes",(VLOOKUP(A1721,'Discount Lookup'!J:K,2)*G1721*(1-$AC$1786)*(1+$AC$1788)),IF(AD1721="NVP",(VLOOKUP(A1721,'Discount Lookup'!J:K,2)*G1721*(1-$AC$1786)*(1+$AC$1788)),IF(AD1721="free","re-planting",IF(G1721=0,"",IF($AD$8="",IF(AD1721="me","not NVP, by",IF(AD1721="",IF(G1721&gt;0,(VLOOKUP(A1721,'Discount Lookup'!J:K,2)*G1721*(1-$AC$1786)*(1+$AC$1788)),""),"")),"not NVP, by"))))))))</f>
        <v/>
      </c>
      <c r="AC1721" s="830"/>
      <c r="AD1721" s="375" t="str">
        <f t="shared" si="4117"/>
        <v/>
      </c>
      <c r="AE1721" s="833" t="str">
        <f t="shared" si="4154"/>
        <v/>
      </c>
      <c r="AF1721" s="833"/>
      <c r="AG1721" s="833"/>
      <c r="AH1721" s="91">
        <f>IF(AD1721="free",0,IF(AD1721="me",0,IF(G1721&gt;0,(VLOOKUP(A1721,'Discount Lookup'!J:K,2)*G1721),0)))</f>
        <v>0</v>
      </c>
      <c r="AI1721" s="92" t="str">
        <f t="shared" si="4050"/>
        <v/>
      </c>
      <c r="AJ1721" s="828" t="str">
        <f t="shared" si="4148"/>
        <v/>
      </c>
      <c r="AK1721" s="828"/>
      <c r="AL1721" s="313" t="str">
        <f t="shared" si="4076"/>
        <v/>
      </c>
      <c r="AM1721" s="312"/>
      <c r="AN1721" s="101"/>
      <c r="AO1721" s="101"/>
      <c r="AP1721" s="101"/>
      <c r="AQ1721" s="101"/>
      <c r="AR1721" s="101"/>
      <c r="AS1721" s="101"/>
      <c r="AT1721" s="101"/>
    </row>
    <row r="1722" spans="1:46" ht="12.95" customHeight="1">
      <c r="A1722" s="505"/>
      <c r="B1722" s="103" t="s">
        <v>977</v>
      </c>
      <c r="C1722" s="118"/>
      <c r="D1722" s="118"/>
      <c r="E1722" s="119"/>
      <c r="F1722" s="711"/>
      <c r="G1722" s="358"/>
      <c r="H1722" s="745"/>
      <c r="I1722" s="119"/>
      <c r="J1722" s="119"/>
      <c r="K1722" s="609"/>
      <c r="L1722" s="609"/>
      <c r="M1722" s="121"/>
      <c r="N1722" s="122" t="s">
        <v>176</v>
      </c>
      <c r="O1722" s="123"/>
      <c r="P1722" s="124"/>
      <c r="Q1722" s="124"/>
      <c r="R1722" s="83"/>
      <c r="S1722" s="82"/>
      <c r="T1722" s="540"/>
      <c r="U1722" s="83"/>
      <c r="V1722" s="100"/>
      <c r="W1722" s="100"/>
      <c r="X1722" s="100"/>
      <c r="Y1722" s="201"/>
      <c r="Z1722" s="829" t="str">
        <f t="shared" si="4147"/>
        <v/>
      </c>
      <c r="AA1722" s="829"/>
      <c r="AB1722" s="830" t="str">
        <f>IF(G1722=0,"",IF(AD1722="free","re-planting",IF(AD1722="me","not NVP, by",IF($AD$8="yes",(VLOOKUP(A1722,'Discount Lookup'!J:K,2)*G1722*(1-$AC$1786)*(1+$AC$1788)),IF(AD1722="NVP",(VLOOKUP(A1722,'Discount Lookup'!J:K,2)*G1722*(1-$AC$1786)*(1+$AC$1788)),IF(AD1722="free","re-planting",IF(G1722=0,"",IF($AD$8="",IF(AD1722="me","not NVP, by",IF(AD1722="",IF(G1722&gt;0,(VLOOKUP(A1722,'Discount Lookup'!J:K,2)*G1722*(1-$AC$1786)*(1+$AC$1788)),""),"")),"not NVP, by"))))))))</f>
        <v/>
      </c>
      <c r="AC1722" s="830"/>
      <c r="AD1722" s="375" t="str">
        <f t="shared" si="4117"/>
        <v/>
      </c>
      <c r="AE1722" s="833" t="str">
        <f t="shared" si="4154"/>
        <v/>
      </c>
      <c r="AF1722" s="833"/>
      <c r="AG1722" s="833"/>
      <c r="AH1722" s="91">
        <f>IF(AD1722="free",0,IF(AD1722="me",0,IF(G1722&gt;0,(VLOOKUP(A1722,'Discount Lookup'!J:K,2)*G1722),0)))</f>
        <v>0</v>
      </c>
      <c r="AI1722" s="92" t="str">
        <f t="shared" si="4050"/>
        <v/>
      </c>
      <c r="AJ1722" s="828" t="str">
        <f t="shared" si="4148"/>
        <v/>
      </c>
      <c r="AK1722" s="828"/>
      <c r="AL1722" s="313" t="str">
        <f t="shared" si="4076"/>
        <v/>
      </c>
      <c r="AM1722" s="312"/>
      <c r="AN1722" s="101"/>
      <c r="AO1722" s="101"/>
      <c r="AP1722" s="101"/>
      <c r="AQ1722" s="101"/>
      <c r="AR1722" s="101"/>
      <c r="AS1722" s="101"/>
      <c r="AT1722" s="101"/>
    </row>
    <row r="1723" spans="1:46" ht="12.95" customHeight="1">
      <c r="A1723" s="836" t="s">
        <v>898</v>
      </c>
      <c r="B1723" s="837"/>
      <c r="C1723" s="837"/>
      <c r="D1723" s="837"/>
      <c r="E1723" s="837"/>
      <c r="F1723" s="837"/>
      <c r="G1723" s="837"/>
      <c r="H1723" s="775" t="s">
        <v>899</v>
      </c>
      <c r="I1723" s="164" t="s">
        <v>79</v>
      </c>
      <c r="J1723" s="157"/>
      <c r="K1723" s="611" t="s">
        <v>45</v>
      </c>
      <c r="L1723" s="630" t="s">
        <v>46</v>
      </c>
      <c r="M1723" s="157"/>
      <c r="N1723" s="158" t="s">
        <v>845</v>
      </c>
      <c r="O1723" s="158"/>
      <c r="P1723" s="158"/>
      <c r="Q1723" s="158"/>
      <c r="R1723" s="157"/>
      <c r="S1723" s="170"/>
      <c r="T1723" s="547"/>
      <c r="U1723" s="171"/>
      <c r="V1723" s="100" t="b">
        <f>IF(G1723&gt;0,IF(AD1723="me","",G1723))</f>
        <v>0</v>
      </c>
      <c r="W1723" s="100"/>
      <c r="X1723" s="100"/>
      <c r="Y1723" s="201"/>
      <c r="Z1723" s="829" t="str">
        <f t="shared" ref="Z1723:Z1728" si="4160">IF(G1723=0,"",IF(AD1723="me","",IF($AD$8="me","",IF(AD1723="free","warranty",IF($AD$8="yes","NVP planting:","to NVP install:")))))</f>
        <v/>
      </c>
      <c r="AA1723" s="829"/>
      <c r="AB1723" s="830" t="str">
        <f>IF(G1723=0,"",IF(AD1723="free","re-planting",IF(AD1723="me","not NVP, by",IF($AD$8="yes",(VLOOKUP(A1723,'Discount Lookup'!J:K,2)*G1723*(1-$AC$1786)*(1+$AC$1788)),IF(AD1723="NVP",(VLOOKUP(A1723,'Discount Lookup'!J:K,2)*G1723*(1-$AC$1786)*(1+$AC$1788)),IF(AD1723="free","re-planting",IF(G1723=0,"",IF($AD$8="",IF(AD1723="me","not NVP, by",IF(AD1723="",IF(G1723&gt;0,(VLOOKUP(A1723,'Discount Lookup'!J:K,2)*G1723*(1-$AC$1786)*(1+$AC$1788)),""),"")),"not NVP, by"))))))))</f>
        <v/>
      </c>
      <c r="AC1723" s="830"/>
      <c r="AD1723" s="375" t="str">
        <f t="shared" si="4117"/>
        <v/>
      </c>
      <c r="AE1723" s="833" t="str">
        <f>IF(G1723&gt;0,(CONCATENATE((G1723)," quantity, ",(A1723)," ",B1723)),"")</f>
        <v/>
      </c>
      <c r="AF1723" s="833"/>
      <c r="AG1723" s="833"/>
      <c r="AH1723" s="91">
        <f>IF(AD1723="free",0,IF(AD1723="me",0,IF(G1723&gt;0,(VLOOKUP(A1723,'Discount Lookup'!J:K,2)*G1723),0)))</f>
        <v>0</v>
      </c>
      <c r="AI1723" s="92" t="str">
        <f t="shared" si="4050"/>
        <v/>
      </c>
      <c r="AJ1723" s="828" t="str">
        <f>IF(G1723=0,"",IF(AD1723="me","  delivery-only",IF($AD$8="me","  delivery-only",CONCATENATE(" $",ROUND(AI1723/G1723,2)," each"))))</f>
        <v/>
      </c>
      <c r="AK1723" s="828"/>
      <c r="AL1723" s="313" t="str">
        <f t="shared" si="4076"/>
        <v/>
      </c>
      <c r="AM1723" s="312"/>
      <c r="AN1723" s="101"/>
      <c r="AO1723" s="101"/>
      <c r="AP1723" s="101"/>
      <c r="AQ1723" s="101"/>
      <c r="AR1723" s="101"/>
      <c r="AS1723" s="101"/>
      <c r="AT1723" s="101"/>
    </row>
    <row r="1724" spans="1:46" ht="12.95" customHeight="1">
      <c r="A1724" s="383">
        <v>1</v>
      </c>
      <c r="B1724" s="158" t="s">
        <v>50</v>
      </c>
      <c r="C1724" s="168" t="s">
        <v>136</v>
      </c>
      <c r="D1724" s="161" t="s">
        <v>62</v>
      </c>
      <c r="E1724" s="162">
        <v>6.95</v>
      </c>
      <c r="F1724" s="713" t="s">
        <v>1306</v>
      </c>
      <c r="G1724" s="357">
        <v>0</v>
      </c>
      <c r="H1724" s="748" t="str">
        <f t="shared" ref="H1724" si="4161">IF(G1724=0,"",IF(F1724="Qty=",IF(G1724=1,"plant","plants"),IF(F1724&gt;0.0001,"warranty","Error")))</f>
        <v/>
      </c>
      <c r="I1724" s="592">
        <f t="shared" ref="I1724" si="4162">IF(F1724="Qty=",(E1724*G1724),((E1724*(1-F1724))*G1724))</f>
        <v>0</v>
      </c>
      <c r="J1724" s="592">
        <f>IF(H1724="warranty",0,(I1724*($J$1782)))</f>
        <v>0</v>
      </c>
      <c r="K1724" s="834">
        <f t="shared" ref="K1724" si="4163">I1724+J1724</f>
        <v>0</v>
      </c>
      <c r="L1724" s="834"/>
      <c r="M1724" s="832" t="str">
        <f>IF($H$1784=0,"",IF(G1724=0,"",IF(F1724="Qty=",CONCATENATE("$",ROUND(K1724*(1-$H$1784),2)," with ",($H$1784*100),"% discount"),CONCATENATE("$",ROUND(K1724*(1-$H$1784),2)," with ",(($H$1784*100+F1724*100)-($H$1784*100*F1724)),IF(F1724&gt;0,"% discounts",IF($H$1781&gt;0,"% discounts","% discount"))))))</f>
        <v/>
      </c>
      <c r="N1724" s="832"/>
      <c r="O1724" s="832"/>
      <c r="P1724" s="832"/>
      <c r="Q1724" s="832"/>
      <c r="R1724" s="832"/>
      <c r="S1724" s="303">
        <f t="shared" ref="S1724" si="4164">E1724*G1724</f>
        <v>0</v>
      </c>
      <c r="T1724" s="541">
        <f>VLOOKUP(A1724,'Discount Lookup'!D:E,2,FALSE)*G1724</f>
        <v>0</v>
      </c>
      <c r="U1724" s="83">
        <f>VLOOKUP(A1724,'Discount Lookup'!G:H,2,FALSE)*G1724</f>
        <v>0</v>
      </c>
      <c r="V1724" s="100">
        <f>E1724*($J$1782)*G1724</f>
        <v>0</v>
      </c>
      <c r="W1724" s="100">
        <f t="shared" ref="W1724" si="4165">I1724</f>
        <v>0</v>
      </c>
      <c r="X1724" s="100" t="b">
        <f>IF(G1724&gt;0,IF(AD1724="me","",G1724))</f>
        <v>0</v>
      </c>
      <c r="Y1724" s="201"/>
      <c r="Z1724" s="829" t="str">
        <f t="shared" si="4160"/>
        <v/>
      </c>
      <c r="AA1724" s="829"/>
      <c r="AB1724" s="830" t="str">
        <f>IF(G1724=0,"",IF(AD1724="free","re-planting",IF(AD1724="me","not NVP, by",IF($AD$8="yes",(VLOOKUP(A1724,'Discount Lookup'!J:K,2)*G1724*(1-$AC$1786)*(1+$AC$1788)),IF(AD1724="NVP",(VLOOKUP(A1724,'Discount Lookup'!J:K,2)*G1724*(1-$AC$1786)*(1+$AC$1788)),IF(AD1724="free","re-planting",IF(G1724=0,"",IF($AD$8="",IF(AD1724="me","not NVP, by",IF(AD1724="",IF(G1724&gt;0,(VLOOKUP(A1724,'Discount Lookup'!J:K,2)*G1724*(1-$AC$1786)*(1+$AC$1788)),""),"")),"not NVP, by"))))))))</f>
        <v/>
      </c>
      <c r="AC1724" s="830"/>
      <c r="AD1724" s="375" t="str">
        <f t="shared" si="4117"/>
        <v/>
      </c>
      <c r="AE1724" s="833" t="str">
        <f>IF(G1724&gt;0,(CONCATENATE((G1724)," quantity, ",(A1724)," ",B1724)),"")</f>
        <v/>
      </c>
      <c r="AF1724" s="833"/>
      <c r="AG1724" s="833"/>
      <c r="AH1724" s="91">
        <f>IF(AD1724="free",0,IF(AD1724="me",0,IF(G1724&gt;0,(VLOOKUP(A1724,'Discount Lookup'!J:K,2)*G1724),0)))</f>
        <v>0</v>
      </c>
      <c r="AI1724" s="92" t="str">
        <f t="shared" si="4050"/>
        <v/>
      </c>
      <c r="AJ1724" s="828" t="str">
        <f>IF(G1724=0,"",IF(AD1724="me","  delivery-only",IF($AD$8="me","  delivery-only",CONCATENATE(" $",ROUND(AI1724/G1724,2)," each"))))</f>
        <v/>
      </c>
      <c r="AK1724" s="828"/>
      <c r="AL1724" s="313" t="str">
        <f t="shared" si="4076"/>
        <v/>
      </c>
      <c r="AM1724" s="312"/>
      <c r="AN1724" s="101"/>
      <c r="AO1724" s="101"/>
      <c r="AP1724" s="101"/>
      <c r="AQ1724" s="101"/>
      <c r="AR1724" s="101"/>
      <c r="AS1724" s="101"/>
      <c r="AT1724" s="101"/>
    </row>
    <row r="1725" spans="1:46" ht="12.95" customHeight="1">
      <c r="A1725" s="501"/>
      <c r="B1725" s="103" t="s">
        <v>900</v>
      </c>
      <c r="C1725" s="130"/>
      <c r="D1725" s="104"/>
      <c r="E1725" s="131"/>
      <c r="F1725" s="710"/>
      <c r="G1725" s="356"/>
      <c r="H1725" s="744"/>
      <c r="I1725" s="131"/>
      <c r="J1725" s="131"/>
      <c r="K1725" s="608"/>
      <c r="L1725" s="608"/>
      <c r="M1725" s="212"/>
      <c r="N1725" s="122" t="s">
        <v>331</v>
      </c>
      <c r="O1725" s="123"/>
      <c r="P1725" s="124"/>
      <c r="Q1725" s="124"/>
      <c r="R1725" s="83"/>
      <c r="S1725" s="82"/>
      <c r="T1725" s="540"/>
      <c r="U1725" s="83"/>
      <c r="V1725" s="100"/>
      <c r="W1725" s="100"/>
      <c r="X1725" s="100"/>
      <c r="Y1725" s="201"/>
      <c r="Z1725" s="829" t="str">
        <f t="shared" si="4160"/>
        <v/>
      </c>
      <c r="AA1725" s="829"/>
      <c r="AB1725" s="830" t="str">
        <f>IF(G1725=0,"",IF(AD1725="free","re-planting",IF(AD1725="me","not NVP, by",IF($AD$8="yes",(VLOOKUP(A1725,'Discount Lookup'!J:K,2)*G1725*(1-$AC$1786)*(1+$AC$1788)),IF(AD1725="NVP",(VLOOKUP(A1725,'Discount Lookup'!J:K,2)*G1725*(1-$AC$1786)*(1+$AC$1788)),IF(AD1725="free","re-planting",IF(G1725=0,"",IF($AD$8="",IF(AD1725="me","not NVP, by",IF(AD1725="",IF(G1725&gt;0,(VLOOKUP(A1725,'Discount Lookup'!J:K,2)*G1725*(1-$AC$1786)*(1+$AC$1788)),""),"")),"not NVP, by"))))))))</f>
        <v/>
      </c>
      <c r="AC1725" s="830"/>
      <c r="AD1725" s="375" t="str">
        <f t="shared" si="4117"/>
        <v/>
      </c>
      <c r="AE1725" s="833" t="str">
        <f>IF(G1725&gt;0,(CONCATENATE((G1725)," quantity, ",(A1725)," ",B1725)),"")</f>
        <v/>
      </c>
      <c r="AF1725" s="833"/>
      <c r="AG1725" s="833"/>
      <c r="AH1725" s="91">
        <f>IF(AD1725="free",0,IF(AD1725="me",0,IF(G1725&gt;0,(VLOOKUP(A1725,'Discount Lookup'!J:K,2)*G1725),0)))</f>
        <v>0</v>
      </c>
      <c r="AI1725" s="92" t="str">
        <f t="shared" si="4050"/>
        <v/>
      </c>
      <c r="AJ1725" s="828" t="str">
        <f>IF(G1725=0,"",IF(AD1725="me","  delivery-only",IF($AD$8="me","  delivery-only",CONCATENATE(" $",ROUND(AI1725/G1725,2)," each"))))</f>
        <v/>
      </c>
      <c r="AK1725" s="828"/>
      <c r="AL1725" s="313" t="str">
        <f t="shared" si="4076"/>
        <v/>
      </c>
      <c r="AM1725" s="312"/>
      <c r="AN1725" s="101"/>
      <c r="AO1725" s="101"/>
      <c r="AP1725" s="101"/>
      <c r="AQ1725" s="101"/>
      <c r="AR1725" s="101"/>
      <c r="AS1725" s="101"/>
      <c r="AT1725" s="101"/>
    </row>
    <row r="1726" spans="1:46" ht="12.95" customHeight="1">
      <c r="A1726" s="926" t="s">
        <v>1181</v>
      </c>
      <c r="B1726" s="837"/>
      <c r="C1726" s="837"/>
      <c r="D1726" s="837"/>
      <c r="E1726" s="837"/>
      <c r="F1726" s="837"/>
      <c r="G1726" s="837"/>
      <c r="H1726" s="775" t="s">
        <v>1182</v>
      </c>
      <c r="I1726" s="349" t="s">
        <v>280</v>
      </c>
      <c r="J1726" s="157"/>
      <c r="K1726" s="611" t="s">
        <v>45</v>
      </c>
      <c r="L1726" s="630" t="s">
        <v>46</v>
      </c>
      <c r="M1726" s="157"/>
      <c r="N1726" s="158" t="s">
        <v>69</v>
      </c>
      <c r="O1726" s="158"/>
      <c r="P1726" s="158"/>
      <c r="Q1726" s="158"/>
      <c r="R1726" s="157"/>
      <c r="S1726" s="170"/>
      <c r="T1726" s="547"/>
      <c r="U1726" s="159" t="s">
        <v>48</v>
      </c>
      <c r="V1726" s="100" t="b">
        <f>IF(G1726&gt;0,IF(AD1726="me","",G1726))</f>
        <v>0</v>
      </c>
      <c r="W1726" s="100"/>
      <c r="X1726" s="100"/>
      <c r="Y1726" s="201"/>
      <c r="Z1726" s="838" t="str">
        <f t="shared" si="4160"/>
        <v/>
      </c>
      <c r="AA1726" s="838"/>
      <c r="AB1726" s="830" t="str">
        <f>IF(G1726=0,"",IF(AD1726="free","re-planting",IF(AD1726="me","not NVP, by",IF($AD$8="yes",(VLOOKUP(A1726,'Discount Lookup'!J:K,2)*G1726*(1-$AC$1786)*(1+$AC$1788)),IF(AD1726="NVP",(VLOOKUP(A1726,'Discount Lookup'!J:K,2)*G1726*(1-$AC$1786)*(1+$AC$1788)),IF(AD1726="free","re-planting",IF(G1726=0,"",IF($AD$8="",IF(AD1726="me","not NVP, by",IF(AD1726="",IF(G1726&gt;0,(VLOOKUP(A1726,'Discount Lookup'!J:K,2)*G1726*(1-$AC$1786)*(1+$AC$1788)),""),"")),"not NVP, by"))))))))</f>
        <v/>
      </c>
      <c r="AC1726" s="830"/>
      <c r="AD1726" s="375" t="str">
        <f t="shared" ref="AD1726:AD1740" si="4166">IF(G1726=0,"",IF($AD$8="me","me",IF(H1726="warranty","free",IF($AD$8="yes","NVP",""))))</f>
        <v/>
      </c>
      <c r="AE1726" s="833" t="str">
        <f t="shared" ref="AE1726:AE1728" si="4167">IF(G1726&gt;0,(CONCATENATE((G1726)," quantity, ",(A1726)," ",B1726)),"")</f>
        <v/>
      </c>
      <c r="AF1726" s="833"/>
      <c r="AG1726" s="833"/>
      <c r="AH1726" s="91">
        <f>IF(AD1726="free",0,IF(AD1726="me",0,IF(G1726&gt;0,(VLOOKUP(A1726,'Discount Lookup'!J:K,2)*G1726),0)))</f>
        <v>0</v>
      </c>
      <c r="AI1726" s="92" t="str">
        <f>IF(AD1726="free",(K1726*(1-$H$1784)),IF(G1726=0,"",IF($AD$8="",IF(G1726=0,"",IF(AD1726="me",(K1726*(1-$H$1784)),(K1726*(1-$H$1784))+AB1726)),IF(K1726="Images","",IF(K1726=0,"",(K1726*(1-$H$1784)))))))</f>
        <v/>
      </c>
      <c r="AJ1726" s="828" t="str">
        <f t="shared" ref="AJ1726:AJ1728" si="4168">IF(G1726=0,"",IF(AD1726="me","  delivery-only",IF($AD$8="me","  delivery-only",CONCATENATE(" $",ROUND(AI1726/G1726,2)," each"))))</f>
        <v/>
      </c>
      <c r="AK1726" s="828"/>
      <c r="AL1726" s="313" t="str">
        <f t="shared" si="4076"/>
        <v/>
      </c>
      <c r="AM1726" s="312"/>
      <c r="AN1726" s="101"/>
      <c r="AO1726" s="101"/>
      <c r="AP1726" s="101"/>
      <c r="AQ1726" s="101"/>
      <c r="AR1726" s="101"/>
      <c r="AS1726" s="101"/>
      <c r="AT1726" s="101"/>
    </row>
    <row r="1727" spans="1:46" ht="12.95" customHeight="1">
      <c r="A1727" s="448">
        <v>1</v>
      </c>
      <c r="B1727" s="158" t="s">
        <v>50</v>
      </c>
      <c r="C1727" s="168" t="s">
        <v>136</v>
      </c>
      <c r="D1727" s="161" t="s">
        <v>87</v>
      </c>
      <c r="E1727" s="162">
        <v>11.95</v>
      </c>
      <c r="F1727" s="713" t="s">
        <v>1306</v>
      </c>
      <c r="G1727" s="357">
        <v>0</v>
      </c>
      <c r="H1727" s="748" t="str">
        <f t="shared" ref="H1727" si="4169">IF(G1727=0,"",IF(F1727="Qty=",IF(G1727=1,"plant","plants"),IF(F1727&gt;0.0001,"warranty","Error")))</f>
        <v/>
      </c>
      <c r="I1727" s="592">
        <f t="shared" ref="I1727" si="4170">IF(F1727="Qty=",(E1727*G1727),((E1727*(1-F1727))*G1727))</f>
        <v>0</v>
      </c>
      <c r="J1727" s="592">
        <f>IF(H1727="warranty",0,(I1727*($J$1782)))</f>
        <v>0</v>
      </c>
      <c r="K1727" s="834">
        <f t="shared" ref="K1727" si="4171">I1727+J1727</f>
        <v>0</v>
      </c>
      <c r="L1727" s="834"/>
      <c r="M1727" s="832" t="str">
        <f>IF($H$1784=0,"",IF(G1727=0,"",IF(F1727="Qty=",CONCATENATE("$",ROUND(K1727*(1-$H$1784),2)," with ",($H$1784*100),"% discount"),CONCATENATE("$",ROUND(K1727*(1-$H$1784),2)," with ",(($H$1784*100+F1727*100)-($H$1784*100*F1727)),IF(F1727&gt;0,"% discounts",IF($H$1781&gt;0,"% discounts","% discount"))))))</f>
        <v/>
      </c>
      <c r="N1727" s="832"/>
      <c r="O1727" s="832"/>
      <c r="P1727" s="832"/>
      <c r="Q1727" s="832"/>
      <c r="R1727" s="832"/>
      <c r="S1727" s="303">
        <f t="shared" ref="S1727" si="4172">E1727*G1727</f>
        <v>0</v>
      </c>
      <c r="T1727" s="541">
        <f>VLOOKUP(A1727,'Discount Lookup'!D:E,2,FALSE)*G1727</f>
        <v>0</v>
      </c>
      <c r="U1727" s="83">
        <f>VLOOKUP(A1727,'Discount Lookup'!G:H,2,FALSE)*G1727</f>
        <v>0</v>
      </c>
      <c r="V1727" s="100">
        <f>E1727*($J$1782)*G1727</f>
        <v>0</v>
      </c>
      <c r="W1727" s="100">
        <f t="shared" ref="W1727" si="4173">I1727</f>
        <v>0</v>
      </c>
      <c r="X1727" s="100" t="b">
        <f>IF(G1727&gt;0,IF(AD1727="me","",G1727))</f>
        <v>0</v>
      </c>
      <c r="Y1727" s="201"/>
      <c r="Z1727" s="838" t="str">
        <f t="shared" si="4160"/>
        <v/>
      </c>
      <c r="AA1727" s="838"/>
      <c r="AB1727" s="830" t="str">
        <f>IF(G1727=0,"",IF(AD1727="free","re-planting",IF(AD1727="me","not NVP, by",IF($AD$8="yes",(VLOOKUP(A1727,'Discount Lookup'!J:K,2)*G1727*(1-$AC$1786)*(1+$AC$1788)),IF(AD1727="NVP",(VLOOKUP(A1727,'Discount Lookup'!J:K,2)*G1727*(1-$AC$1786)*(1+$AC$1788)),IF(AD1727="free","re-planting",IF(G1727=0,"",IF($AD$8="",IF(AD1727="me","not NVP, by",IF(AD1727="",IF(G1727&gt;0,(VLOOKUP(A1727,'Discount Lookup'!J:K,2)*G1727*(1-$AC$1786)*(1+$AC$1788)),""),"")),"not NVP, by"))))))))</f>
        <v/>
      </c>
      <c r="AC1727" s="830"/>
      <c r="AD1727" s="375" t="str">
        <f t="shared" si="4166"/>
        <v/>
      </c>
      <c r="AE1727" s="833" t="str">
        <f t="shared" si="4167"/>
        <v/>
      </c>
      <c r="AF1727" s="833"/>
      <c r="AG1727" s="833"/>
      <c r="AH1727" s="91">
        <f>IF(AD1727="free",0,IF(AD1727="me",0,IF(G1727&gt;0,(VLOOKUP(A1727,'Discount Lookup'!J:K,2)*G1727),0)))</f>
        <v>0</v>
      </c>
      <c r="AI1727" s="92" t="str">
        <f>IF(G1727=0,"",IF(AD1727="free",(K1727*(1-$H$1784)),IF($AD$8="me",(K1727*(1-$H$1784)),IF(AD1727="me",(K1727*(1-$H$1784)),(K1727*(1-$H$1784))+AB1727))))</f>
        <v/>
      </c>
      <c r="AJ1727" s="828" t="str">
        <f t="shared" si="4168"/>
        <v/>
      </c>
      <c r="AK1727" s="828"/>
      <c r="AL1727" s="313" t="str">
        <f t="shared" si="4076"/>
        <v/>
      </c>
      <c r="AM1727" s="312"/>
      <c r="AN1727" s="101"/>
      <c r="AO1727" s="101"/>
      <c r="AP1727" s="101"/>
      <c r="AQ1727" s="101"/>
      <c r="AR1727" s="101"/>
      <c r="AS1727" s="101"/>
      <c r="AT1727" s="101"/>
    </row>
    <row r="1728" spans="1:46" ht="12.95" customHeight="1">
      <c r="A1728" s="505"/>
      <c r="B1728" s="103" t="s">
        <v>1180</v>
      </c>
      <c r="C1728" s="118"/>
      <c r="D1728" s="118"/>
      <c r="E1728" s="119"/>
      <c r="F1728" s="711"/>
      <c r="G1728" s="358"/>
      <c r="H1728" s="745"/>
      <c r="I1728" s="119"/>
      <c r="J1728" s="119"/>
      <c r="K1728" s="609"/>
      <c r="L1728" s="609"/>
      <c r="M1728" s="121"/>
      <c r="N1728" s="122" t="s">
        <v>176</v>
      </c>
      <c r="O1728" s="123"/>
      <c r="P1728" s="124"/>
      <c r="Q1728" s="124"/>
      <c r="R1728" s="83"/>
      <c r="S1728" s="82"/>
      <c r="T1728" s="540"/>
      <c r="U1728" s="83"/>
      <c r="V1728" s="100"/>
      <c r="W1728" s="100"/>
      <c r="X1728" s="100"/>
      <c r="Y1728" s="201"/>
      <c r="Z1728" s="838" t="str">
        <f t="shared" si="4160"/>
        <v/>
      </c>
      <c r="AA1728" s="838"/>
      <c r="AB1728" s="830" t="str">
        <f>IF(G1728=0,"",IF(AD1728="free","re-planting",IF(AD1728="me","not NVP, by",IF($AD$8="yes",(VLOOKUP(A1728,'Discount Lookup'!J:K,2)*G1728*(1-$AC$1786)*(1+$AC$1788)),IF(AD1728="NVP",(VLOOKUP(A1728,'Discount Lookup'!J:K,2)*G1728*(1-$AC$1786)*(1+$AC$1788)),IF(AD1728="free","re-planting",IF(G1728=0,"",IF($AD$8="",IF(AD1728="me","not NVP, by",IF(AD1728="",IF(G1728&gt;0,(VLOOKUP(A1728,'Discount Lookup'!J:K,2)*G1728*(1-$AC$1786)*(1+$AC$1788)),""),"")),"not NVP, by"))))))))</f>
        <v/>
      </c>
      <c r="AC1728" s="830"/>
      <c r="AD1728" s="375" t="str">
        <f t="shared" si="4166"/>
        <v/>
      </c>
      <c r="AE1728" s="833" t="str">
        <f t="shared" si="4167"/>
        <v/>
      </c>
      <c r="AF1728" s="833"/>
      <c r="AG1728" s="833"/>
      <c r="AH1728" s="91">
        <f>IF(AD1728="free",0,IF(AD1728="me",0,IF(G1728&gt;0,(VLOOKUP(A1728,'Discount Lookup'!J:K,2)*G1728),0)))</f>
        <v>0</v>
      </c>
      <c r="AI1728" s="92" t="str">
        <f>IF(AD1728="free",(K1728*(1-$H$1784)),IF(G1728=0,"",IF($AD$8="",IF(G1728=0,"",IF(AD1728="me",(K1728*(1-$H$1784)),(K1728*(1-$H$1784))+AB1728)),IF(K1728="Images","",IF(K1728=0,"",(K1728*(1-$H$1784)))))))</f>
        <v/>
      </c>
      <c r="AJ1728" s="828" t="str">
        <f t="shared" si="4168"/>
        <v/>
      </c>
      <c r="AK1728" s="828"/>
      <c r="AL1728" s="313" t="str">
        <f t="shared" si="4076"/>
        <v/>
      </c>
      <c r="AM1728" s="312"/>
      <c r="AN1728" s="101"/>
      <c r="AO1728" s="101"/>
      <c r="AP1728" s="101"/>
      <c r="AQ1728" s="101"/>
      <c r="AR1728" s="101"/>
      <c r="AS1728" s="101"/>
      <c r="AT1728" s="101"/>
    </row>
    <row r="1729" spans="1:46" ht="12.95" customHeight="1">
      <c r="A1729" s="926" t="s">
        <v>1215</v>
      </c>
      <c r="B1729" s="837"/>
      <c r="C1729" s="837"/>
      <c r="D1729" s="837"/>
      <c r="E1729" s="837"/>
      <c r="F1729" s="837"/>
      <c r="G1729" s="837"/>
      <c r="H1729" s="775" t="s">
        <v>807</v>
      </c>
      <c r="I1729" s="164" t="s">
        <v>235</v>
      </c>
      <c r="J1729" s="157"/>
      <c r="K1729" s="611" t="s">
        <v>45</v>
      </c>
      <c r="L1729" s="631" t="s">
        <v>46</v>
      </c>
      <c r="M1729" s="48"/>
      <c r="N1729" s="158" t="s">
        <v>69</v>
      </c>
      <c r="O1729" s="165"/>
      <c r="P1729" s="165"/>
      <c r="Q1729" s="158"/>
      <c r="R1729" s="157"/>
      <c r="S1729" s="170"/>
      <c r="T1729" s="547"/>
      <c r="U1729" s="159" t="s">
        <v>221</v>
      </c>
      <c r="V1729" s="201" t="b">
        <f>IF(G1729&gt;0,IF(AD1729="me","",G1729))</f>
        <v>0</v>
      </c>
      <c r="W1729" s="201"/>
      <c r="X1729" s="201"/>
      <c r="Y1729" s="790"/>
      <c r="Z1729" s="838" t="str">
        <f t="shared" ref="Z1729:Z1740" si="4174">IF(G1729=0,"",IF(AD1729="me","",IF($AD$8="me","",IF(AD1729="free","warranty",IF($AD$8="yes","NVP planting:","to NVP install:")))))</f>
        <v/>
      </c>
      <c r="AA1729" s="838"/>
      <c r="AB1729" s="830" t="str">
        <f>IF(G1729=0,"",IF(AD1729="free","re-planting",IF(AD1729="me","not NVP, by",IF($AD$8="yes",(VLOOKUP(A1729,'Discount Lookup'!J:K,2)*G1729*(1-$AC$1786)*(1+$AC$1788)),IF(AD1729="NVP",(VLOOKUP(A1729,'Discount Lookup'!J:K,2)*G1729*(1-$AC$1786)*(1+$AC$1788)),IF(AD1729="free","re-planting",IF(G1729=0,"",IF($AD$8="",IF(AD1729="me","not NVP, by",IF(AD1729="",IF(G1729&gt;0,(VLOOKUP(A1729,'Discount Lookup'!J:K,2)*G1729*(1-$AC$1786)*(1+$AC$1788)),""),"")),"not NVP, by"))))))))</f>
        <v/>
      </c>
      <c r="AC1729" s="830"/>
      <c r="AD1729" s="375" t="str">
        <f t="shared" si="4166"/>
        <v/>
      </c>
      <c r="AE1729" s="833" t="str">
        <f>IF(G1729&gt;0,(CONCATENATE((G1729)," quantity, ",(A1729)," ",B1729)),"")</f>
        <v/>
      </c>
      <c r="AF1729" s="833"/>
      <c r="AG1729" s="833"/>
      <c r="AH1729" s="91" t="s">
        <v>109</v>
      </c>
      <c r="AI1729" s="92" t="str">
        <f t="shared" ref="AI1729:AI1746" si="4175">IF(G1729=0,"",IF(AD1729="free",(K1729*(1-$H$1784)),IF($AD$8="me",(K1729*(1-$H$1784)),IF(AD1729="me",(K1729*(1-$H$1784)),(K1729*(1-$H$1784))+AB1729))))</f>
        <v/>
      </c>
      <c r="AJ1729" s="828" t="str">
        <f>IF(G1729=0,"",IF(AD1729="me","  delivery-only",CONCATENATE(" $",ROUND(AI1729/G1729,2)," each")))</f>
        <v/>
      </c>
      <c r="AK1729" s="828"/>
      <c r="AL1729" s="313" t="str">
        <f t="shared" si="4076"/>
        <v/>
      </c>
      <c r="AM1729" s="312"/>
      <c r="AN1729" s="101"/>
      <c r="AO1729" s="101"/>
      <c r="AP1729" s="101"/>
      <c r="AQ1729" s="101"/>
      <c r="AR1729" s="101"/>
      <c r="AS1729" s="101"/>
      <c r="AT1729" s="101"/>
    </row>
    <row r="1730" spans="1:46" ht="12.95" customHeight="1">
      <c r="A1730" s="448" t="s">
        <v>668</v>
      </c>
      <c r="B1730" s="158" t="s">
        <v>669</v>
      </c>
      <c r="C1730" s="168" t="s">
        <v>136</v>
      </c>
      <c r="D1730" s="161" t="s">
        <v>87</v>
      </c>
      <c r="E1730" s="162">
        <v>13.95</v>
      </c>
      <c r="F1730" s="713" t="s">
        <v>1306</v>
      </c>
      <c r="G1730" s="357">
        <v>0</v>
      </c>
      <c r="H1730" s="748" t="str">
        <f t="shared" ref="H1730" si="4176">IF(G1730=0,"",IF(F1730="Qty=",IF(G1730=1,"plant","plants"),IF(F1730&gt;0.0001,"warranty","Error")))</f>
        <v/>
      </c>
      <c r="I1730" s="592">
        <f t="shared" ref="I1730" si="4177">IF(F1730="Qty=",(E1730*G1730),((E1730*(1-F1730))*G1730))</f>
        <v>0</v>
      </c>
      <c r="J1730" s="592">
        <f>IF(H1730="warranty",0,(I1730*($J$1782)))</f>
        <v>0</v>
      </c>
      <c r="K1730" s="834">
        <f t="shared" ref="K1730" si="4178">I1730+J1730</f>
        <v>0</v>
      </c>
      <c r="L1730" s="834"/>
      <c r="M1730" s="832" t="str">
        <f>IF($H$1784=0,"",IF(G1730=0,"",IF(F1730="Qty=",CONCATENATE("$",ROUND(K1730*(1-$H$1784),2)," with ",($H$1784*100),"% discount"),CONCATENATE("$",ROUND(K1730*(1-$H$1784),2)," with ",(($H$1784*100+F1730*100)-($H$1784*100*F1730)),IF(F1730&gt;0,"% discounts",IF($H$1781&gt;0,"% discounts","% discount"))))))</f>
        <v/>
      </c>
      <c r="N1730" s="832"/>
      <c r="O1730" s="832"/>
      <c r="P1730" s="832"/>
      <c r="Q1730" s="832"/>
      <c r="R1730" s="832"/>
      <c r="S1730" s="303">
        <f t="shared" ref="S1730" si="4179">E1730*G1730</f>
        <v>0</v>
      </c>
      <c r="T1730" s="541">
        <f>VLOOKUP(A1730,'Discount Lookup'!D:E,2,FALSE)*G1730</f>
        <v>0</v>
      </c>
      <c r="U1730" s="83">
        <f>VLOOKUP(A1730,'Discount Lookup'!G:H,2,FALSE)*G1730</f>
        <v>0</v>
      </c>
      <c r="V1730" s="100">
        <f>E1730*($J$1782)*G1730</f>
        <v>0</v>
      </c>
      <c r="W1730" s="100">
        <f t="shared" ref="W1730" si="4180">I1730</f>
        <v>0</v>
      </c>
      <c r="X1730" s="100" t="b">
        <f>IF(G1730&gt;0,IF(AD1730="me","",G1730))</f>
        <v>0</v>
      </c>
      <c r="Y1730" s="790"/>
      <c r="Z1730" s="838" t="str">
        <f t="shared" si="4174"/>
        <v/>
      </c>
      <c r="AA1730" s="838"/>
      <c r="AB1730" s="830" t="str">
        <f>IF(G1730=0,"",IF(AD1730="free","re-planting",IF(AD1730="me","not NVP, by",IF($AD$8="yes",(VLOOKUP(A1730,'Discount Lookup'!J:K,2)*G1730*(1-$AC$1786)*(1+$AC$1788)),IF(AD1730="NVP",(VLOOKUP(A1730,'Discount Lookup'!J:K,2)*G1730*(1-$AC$1786)*(1+$AC$1788)),IF(AD1730="free","re-planting",IF(G1730=0,"",IF($AD$8="",IF(AD1730="me","not NVP, by",IF(AD1730="",IF(G1730&gt;0,(VLOOKUP(A1730,'Discount Lookup'!J:K,2)*G1730*(1-$AC$1786)*(1+$AC$1788)),""),"")),"not NVP, by"))))))))</f>
        <v/>
      </c>
      <c r="AC1730" s="830"/>
      <c r="AD1730" s="375" t="str">
        <f t="shared" si="4166"/>
        <v/>
      </c>
      <c r="AE1730" s="833" t="str">
        <f t="shared" ref="AE1730" si="4181">IF(G1730&gt;0,(CONCATENATE((G1730)," quantity, ",(A1730)," ",B1730)),"")</f>
        <v/>
      </c>
      <c r="AF1730" s="833"/>
      <c r="AG1730" s="833"/>
      <c r="AH1730" s="91" t="str">
        <f>IF(AD1730="free",0,IF(AD1730="me","",IF(G1730&gt;0,(VLOOKUP(A1730,'Discount Lookup'!J:K,2)*G1730),"")))</f>
        <v/>
      </c>
      <c r="AI1730" s="92" t="str">
        <f t="shared" si="4175"/>
        <v/>
      </c>
      <c r="AJ1730" s="828" t="str">
        <f t="shared" ref="AJ1730" si="4182">IF(G1730=0,"",IF(AD1730="me","  delivery-only",CONCATENATE(" $",ROUND(AI1730/G1730,2)," each")))</f>
        <v/>
      </c>
      <c r="AK1730" s="828"/>
      <c r="AL1730" s="313" t="str">
        <f t="shared" si="4076"/>
        <v/>
      </c>
      <c r="AM1730" s="312"/>
      <c r="AN1730" s="101"/>
      <c r="AO1730" s="101"/>
      <c r="AP1730" s="101"/>
      <c r="AQ1730" s="101"/>
      <c r="AR1730" s="101"/>
      <c r="AS1730" s="101"/>
      <c r="AT1730" s="101"/>
    </row>
    <row r="1731" spans="1:46" ht="12.95" customHeight="1">
      <c r="A1731" s="505"/>
      <c r="B1731" s="173" t="s">
        <v>1210</v>
      </c>
      <c r="C1731" s="118"/>
      <c r="D1731" s="118"/>
      <c r="E1731" s="119"/>
      <c r="F1731" s="711"/>
      <c r="G1731" s="358"/>
      <c r="H1731" s="745"/>
      <c r="I1731" s="119"/>
      <c r="J1731" s="119"/>
      <c r="K1731" s="609"/>
      <c r="L1731" s="609"/>
      <c r="M1731" s="121"/>
      <c r="N1731" s="122" t="s">
        <v>336</v>
      </c>
      <c r="O1731" s="123"/>
      <c r="P1731" s="124"/>
      <c r="Q1731" s="124"/>
      <c r="R1731" s="83"/>
      <c r="S1731" s="82"/>
      <c r="T1731" s="540"/>
      <c r="U1731" s="83"/>
      <c r="V1731" s="100" t="b">
        <f>IF(G1731&gt;0,IF(AD1731="me","",G1731))</f>
        <v>0</v>
      </c>
      <c r="W1731" s="100"/>
      <c r="X1731" s="100"/>
      <c r="Y1731" s="790"/>
      <c r="Z1731" s="838" t="str">
        <f t="shared" si="4174"/>
        <v/>
      </c>
      <c r="AA1731" s="838"/>
      <c r="AB1731" s="830" t="str">
        <f>IF(G1731=0,"",IF(AD1731="free","re-planting",IF(AD1731="me","not NVP, by",IF($AD$8="yes",(VLOOKUP(A1731,'Discount Lookup'!J:K,2)*G1731*(1-$AC$1786)*(1+$AC$1788)),IF(AD1731="NVP",(VLOOKUP(A1731,'Discount Lookup'!J:K,2)*G1731*(1-$AC$1786)*(1+$AC$1788)),IF(AD1731="free","re-planting",IF(G1731=0,"",IF($AD$8="",IF(AD1731="me","not NVP, by",IF(AD1731="",IF(G1731&gt;0,(VLOOKUP(A1731,'Discount Lookup'!J:K,2)*G1731*(1-$AC$1786)*(1+$AC$1788)),""),"")),"not NVP, by"))))))))</f>
        <v/>
      </c>
      <c r="AC1731" s="830"/>
      <c r="AD1731" s="375" t="str">
        <f t="shared" si="4166"/>
        <v/>
      </c>
      <c r="AE1731" s="833" t="str">
        <f t="shared" ref="AE1731" si="4183">IF(G1731&gt;0,(CONCATENATE((G1731)," quantity, ",(A1731)," ",B1731)),"")</f>
        <v/>
      </c>
      <c r="AF1731" s="833"/>
      <c r="AG1731" s="833"/>
      <c r="AH1731" s="91" t="s">
        <v>109</v>
      </c>
      <c r="AI1731" s="92" t="str">
        <f t="shared" si="4175"/>
        <v/>
      </c>
      <c r="AJ1731" s="828" t="str">
        <f t="shared" ref="AJ1731" si="4184">IF(G1731=0,"",IF(AD1731="me","  delivery-only",CONCATENATE(" $",ROUND(AI1731/G1731,2)," each")))</f>
        <v/>
      </c>
      <c r="AK1731" s="828"/>
      <c r="AL1731" s="313" t="str">
        <f t="shared" si="4076"/>
        <v/>
      </c>
      <c r="AM1731" s="312"/>
      <c r="AN1731" s="101"/>
      <c r="AO1731" s="101"/>
      <c r="AP1731" s="101"/>
      <c r="AQ1731" s="101"/>
      <c r="AR1731" s="101"/>
      <c r="AS1731" s="101"/>
      <c r="AT1731" s="101"/>
    </row>
    <row r="1732" spans="1:46" ht="12.95" customHeight="1">
      <c r="A1732" s="926" t="s">
        <v>1202</v>
      </c>
      <c r="B1732" s="837"/>
      <c r="C1732" s="837"/>
      <c r="D1732" s="837"/>
      <c r="E1732" s="837"/>
      <c r="F1732" s="837"/>
      <c r="G1732" s="837"/>
      <c r="H1732" s="775" t="s">
        <v>807</v>
      </c>
      <c r="I1732" s="164" t="s">
        <v>235</v>
      </c>
      <c r="J1732" s="157"/>
      <c r="K1732" s="611" t="s">
        <v>45</v>
      </c>
      <c r="L1732" s="630" t="s">
        <v>46</v>
      </c>
      <c r="M1732" s="157"/>
      <c r="N1732" s="158" t="s">
        <v>69</v>
      </c>
      <c r="O1732" s="158"/>
      <c r="P1732" s="158"/>
      <c r="Q1732" s="158"/>
      <c r="R1732" s="157"/>
      <c r="S1732" s="170"/>
      <c r="T1732" s="547"/>
      <c r="U1732" s="159" t="s">
        <v>48</v>
      </c>
      <c r="V1732" s="100" t="b">
        <f>IF(G1732&gt;0,IF(AD1732="me","",G1732))</f>
        <v>0</v>
      </c>
      <c r="W1732" s="100"/>
      <c r="X1732" s="100"/>
      <c r="Y1732" s="790"/>
      <c r="Z1732" s="829" t="str">
        <f t="shared" si="4174"/>
        <v/>
      </c>
      <c r="AA1732" s="829"/>
      <c r="AB1732" s="830" t="str">
        <f>IF(G1732=0,"",IF(AD1732="free","re-planting",IF(AD1732="me","not NVP, by",IF($AD$8="yes",(VLOOKUP(A1732,'Discount Lookup'!J:K,2)*G1732*(1-$AC$1786)*(1+$AC$1788)),IF(AD1732="NVP",(VLOOKUP(A1732,'Discount Lookup'!J:K,2)*G1732*(1-$AC$1786)*(1+$AC$1788)),IF(AD1732="free","re-planting",IF(G1732=0,"",IF($AD$8="",IF(AD1732="me","not NVP, by",IF(AD1732="",IF(G1732&gt;0,(VLOOKUP(A1732,'Discount Lookup'!J:K,2)*G1732*(1-$AC$1786)*(1+$AC$1788)),""),"")),"not NVP, by"))))))))</f>
        <v/>
      </c>
      <c r="AC1732" s="830"/>
      <c r="AD1732" s="375" t="str">
        <f t="shared" si="4166"/>
        <v/>
      </c>
      <c r="AE1732" s="833" t="str">
        <f t="shared" ref="AE1732:AE1734" si="4185">IF(G1732&gt;0,(CONCATENATE((G1732)," quantity, ",(A1732)," ",B1732)),"")</f>
        <v/>
      </c>
      <c r="AF1732" s="833"/>
      <c r="AG1732" s="833"/>
      <c r="AH1732" s="91">
        <f>IF(AD1732="free",0,IF(AD1732="me",0,IF(G1732&gt;0,(VLOOKUP(A1732,'Discount Lookup'!J:K,2)*G1732),0)))</f>
        <v>0</v>
      </c>
      <c r="AI1732" s="92" t="str">
        <f t="shared" si="4175"/>
        <v/>
      </c>
      <c r="AJ1732" s="828" t="str">
        <f>IF(G1732=0,"",IF(AD1732="me","  delivery-only",IF($AD$8="me","  delivery-only",CONCATENATE(" $",ROUND(AI1732/G1732,2)," each"))))</f>
        <v/>
      </c>
      <c r="AK1732" s="828"/>
      <c r="AL1732" s="313" t="str">
        <f t="shared" si="4076"/>
        <v/>
      </c>
      <c r="AM1732" s="312"/>
      <c r="AN1732" s="101"/>
      <c r="AO1732" s="101"/>
      <c r="AP1732" s="101"/>
      <c r="AQ1732" s="101"/>
      <c r="AR1732" s="101"/>
      <c r="AS1732" s="101"/>
      <c r="AT1732" s="101"/>
    </row>
    <row r="1733" spans="1:46" ht="12.95" customHeight="1">
      <c r="A1733" s="448" t="s">
        <v>668</v>
      </c>
      <c r="B1733" s="158" t="s">
        <v>669</v>
      </c>
      <c r="C1733" s="168" t="s">
        <v>236</v>
      </c>
      <c r="D1733" s="161" t="s">
        <v>87</v>
      </c>
      <c r="E1733" s="162">
        <v>13.95</v>
      </c>
      <c r="F1733" s="713" t="s">
        <v>1306</v>
      </c>
      <c r="G1733" s="357">
        <v>0</v>
      </c>
      <c r="H1733" s="748" t="str">
        <f t="shared" ref="H1733" si="4186">IF(G1733=0,"",IF(F1733="Qty=",IF(G1733=1,"plant","plants"),IF(F1733&gt;0.0001,"warranty","Error")))</f>
        <v/>
      </c>
      <c r="I1733" s="592">
        <f t="shared" ref="I1733" si="4187">IF(F1733="Qty=",(E1733*G1733),((E1733*(1-F1733))*G1733))</f>
        <v>0</v>
      </c>
      <c r="J1733" s="592">
        <f>IF(H1733="warranty",0,(I1733*($J$1782)))</f>
        <v>0</v>
      </c>
      <c r="K1733" s="834">
        <f t="shared" ref="K1733" si="4188">I1733+J1733</f>
        <v>0</v>
      </c>
      <c r="L1733" s="834"/>
      <c r="M1733" s="832" t="str">
        <f>IF($H$1784=0,"",IF(G1733=0,"",IF(F1733="Qty=",CONCATENATE("$",ROUND(K1733*(1-$H$1784),2)," with ",($H$1784*100),"% discount"),CONCATENATE("$",ROUND(K1733*(1-$H$1784),2)," with ",(($H$1784*100+F1733*100)-($H$1784*100*F1733)),IF(F1733&gt;0,"% discounts",IF($H$1781&gt;0,"% discounts","% discount"))))))</f>
        <v/>
      </c>
      <c r="N1733" s="832"/>
      <c r="O1733" s="832"/>
      <c r="P1733" s="832"/>
      <c r="Q1733" s="832"/>
      <c r="R1733" s="832"/>
      <c r="S1733" s="303">
        <f t="shared" ref="S1733" si="4189">E1733*G1733</f>
        <v>0</v>
      </c>
      <c r="T1733" s="541">
        <f>VLOOKUP(A1733,'Discount Lookup'!D:E,2,FALSE)*G1733</f>
        <v>0</v>
      </c>
      <c r="U1733" s="83">
        <f>VLOOKUP(A1733,'Discount Lookup'!G:H,2,FALSE)*G1733</f>
        <v>0</v>
      </c>
      <c r="V1733" s="100">
        <f>E1733*($J$1782)*G1733</f>
        <v>0</v>
      </c>
      <c r="W1733" s="100">
        <f t="shared" ref="W1733" si="4190">I1733</f>
        <v>0</v>
      </c>
      <c r="X1733" s="100" t="b">
        <f>IF(G1733&gt;0,IF(AD1733="me","",G1733))</f>
        <v>0</v>
      </c>
      <c r="Y1733" s="790"/>
      <c r="Z1733" s="829" t="str">
        <f t="shared" si="4174"/>
        <v/>
      </c>
      <c r="AA1733" s="829"/>
      <c r="AB1733" s="830" t="str">
        <f>IF(G1733=0,"",IF(AD1733="free","re-planting",IF(AD1733="me","not NVP, by",IF($AD$8="yes",(VLOOKUP(A1733,'Discount Lookup'!J:K,2)*G1733*(1-$AC$1786)*(1+$AC$1788)),IF(AD1733="NVP",(VLOOKUP(A1733,'Discount Lookup'!J:K,2)*G1733*(1-$AC$1786)*(1+$AC$1788)),IF(AD1733="free","re-planting",IF(G1733=0,"",IF($AD$8="",IF(AD1733="me","not NVP, by",IF(AD1733="",IF(G1733&gt;0,(VLOOKUP(A1733,'Discount Lookup'!J:K,2)*G1733*(1-$AC$1786)*(1+$AC$1788)),""),"")),"not NVP, by"))))))))</f>
        <v/>
      </c>
      <c r="AC1733" s="830"/>
      <c r="AD1733" s="375" t="str">
        <f t="shared" si="4166"/>
        <v/>
      </c>
      <c r="AE1733" s="833" t="str">
        <f t="shared" si="4185"/>
        <v/>
      </c>
      <c r="AF1733" s="833"/>
      <c r="AG1733" s="833"/>
      <c r="AH1733" s="91">
        <f>IF(AD1733="free",0,IF(AD1733="me",0,IF(G1733&gt;0,(VLOOKUP(A1733,'Discount Lookup'!J:K,2)*G1733),0)))</f>
        <v>0</v>
      </c>
      <c r="AI1733" s="92" t="str">
        <f t="shared" si="4175"/>
        <v/>
      </c>
      <c r="AJ1733" s="828" t="str">
        <f>IF(G1733=0,"",IF(AD1733="me","  delivery-only",IF($AD$8="me","  delivery-only",CONCATENATE(" $",ROUND(AI1733/G1733,2)," each"))))</f>
        <v/>
      </c>
      <c r="AK1733" s="828"/>
      <c r="AL1733" s="313" t="str">
        <f t="shared" si="4076"/>
        <v/>
      </c>
      <c r="AM1733" s="312"/>
      <c r="AN1733" s="101"/>
      <c r="AO1733" s="101"/>
      <c r="AP1733" s="101"/>
      <c r="AQ1733" s="101"/>
      <c r="AR1733" s="101"/>
      <c r="AS1733" s="101"/>
      <c r="AT1733" s="101"/>
    </row>
    <row r="1734" spans="1:46" ht="12.95" customHeight="1">
      <c r="A1734" s="505"/>
      <c r="B1734" s="173" t="s">
        <v>1203</v>
      </c>
      <c r="C1734" s="118"/>
      <c r="D1734" s="118"/>
      <c r="E1734" s="119"/>
      <c r="F1734" s="711"/>
      <c r="G1734" s="358"/>
      <c r="H1734" s="745"/>
      <c r="I1734" s="119"/>
      <c r="J1734" s="119"/>
      <c r="K1734" s="609"/>
      <c r="L1734" s="609"/>
      <c r="M1734" s="121"/>
      <c r="N1734" s="122" t="s">
        <v>336</v>
      </c>
      <c r="O1734" s="123"/>
      <c r="P1734" s="124"/>
      <c r="Q1734" s="124"/>
      <c r="R1734" s="83"/>
      <c r="S1734" s="82"/>
      <c r="T1734" s="540"/>
      <c r="U1734" s="83"/>
      <c r="V1734" s="100" t="b">
        <f>IF(G1734&gt;0,IF(AD1734="me","",G1734))</f>
        <v>0</v>
      </c>
      <c r="W1734" s="100"/>
      <c r="X1734" s="100"/>
      <c r="Y1734" s="790"/>
      <c r="Z1734" s="829" t="str">
        <f t="shared" si="4174"/>
        <v/>
      </c>
      <c r="AA1734" s="829"/>
      <c r="AB1734" s="830" t="str">
        <f>IF(G1734=0,"",IF(AD1734="free","re-planting",IF(AD1734="me","not NVP, by",IF($AD$8="yes",(VLOOKUP(A1734,'Discount Lookup'!J:K,2)*G1734*(1-$AC$1786)*(1+$AC$1788)),IF(AD1734="NVP",(VLOOKUP(A1734,'Discount Lookup'!J:K,2)*G1734*(1-$AC$1786)*(1+$AC$1788)),IF(AD1734="free","re-planting",IF(G1734=0,"",IF($AD$8="",IF(AD1734="me","not NVP, by",IF(AD1734="",IF(G1734&gt;0,(VLOOKUP(A1734,'Discount Lookup'!J:K,2)*G1734*(1-$AC$1786)*(1+$AC$1788)),""),"")),"not NVP, by"))))))))</f>
        <v/>
      </c>
      <c r="AC1734" s="830"/>
      <c r="AD1734" s="375" t="str">
        <f t="shared" si="4166"/>
        <v/>
      </c>
      <c r="AE1734" s="833" t="str">
        <f t="shared" si="4185"/>
        <v/>
      </c>
      <c r="AF1734" s="833"/>
      <c r="AG1734" s="833"/>
      <c r="AH1734" s="91">
        <f>IF(AD1734="free",0,IF(AD1734="me",0,IF(G1734&gt;0,(VLOOKUP(A1734,'Discount Lookup'!J:K,2)*G1734),0)))</f>
        <v>0</v>
      </c>
      <c r="AI1734" s="92" t="str">
        <f t="shared" si="4175"/>
        <v/>
      </c>
      <c r="AJ1734" s="828" t="str">
        <f>IF(G1734=0,"",IF(AD1734="me","  delivery-only",IF($AD$8="me","  delivery-only",CONCATENATE(" $",ROUND(AI1734/G1734,2)," each"))))</f>
        <v/>
      </c>
      <c r="AK1734" s="828"/>
      <c r="AL1734" s="313" t="str">
        <f t="shared" si="4076"/>
        <v/>
      </c>
      <c r="AM1734" s="312"/>
      <c r="AN1734" s="101"/>
      <c r="AO1734" s="101"/>
      <c r="AP1734" s="101"/>
      <c r="AQ1734" s="101"/>
      <c r="AR1734" s="101"/>
      <c r="AS1734" s="101"/>
      <c r="AT1734" s="101"/>
    </row>
    <row r="1735" spans="1:46" ht="12.95" customHeight="1">
      <c r="A1735" s="926" t="s">
        <v>1265</v>
      </c>
      <c r="B1735" s="837"/>
      <c r="C1735" s="837"/>
      <c r="D1735" s="837"/>
      <c r="E1735" s="837"/>
      <c r="F1735" s="837"/>
      <c r="G1735" s="837"/>
      <c r="H1735" s="775" t="s">
        <v>807</v>
      </c>
      <c r="I1735" s="164" t="s">
        <v>235</v>
      </c>
      <c r="J1735" s="157"/>
      <c r="K1735" s="611" t="s">
        <v>45</v>
      </c>
      <c r="L1735" s="630" t="s">
        <v>46</v>
      </c>
      <c r="M1735" s="157"/>
      <c r="N1735" s="158" t="s">
        <v>69</v>
      </c>
      <c r="O1735" s="158"/>
      <c r="P1735" s="158"/>
      <c r="Q1735" s="158"/>
      <c r="R1735" s="157"/>
      <c r="S1735" s="170"/>
      <c r="T1735" s="547"/>
      <c r="U1735" s="159" t="s">
        <v>48</v>
      </c>
      <c r="V1735" s="100" t="b">
        <f>IF(G1735&gt;0,IF(AD1735="me","",G1735))</f>
        <v>0</v>
      </c>
      <c r="W1735" s="100"/>
      <c r="X1735" s="100"/>
      <c r="Y1735" s="790"/>
      <c r="Z1735" s="838" t="str">
        <f t="shared" si="4174"/>
        <v/>
      </c>
      <c r="AA1735" s="838"/>
      <c r="AB1735" s="830" t="str">
        <f>IF(G1735=0,"",IF(AD1735="free","re-planting",IF(AD1735="me","not NVP, by",IF($AD$8="yes",(VLOOKUP(A1735,'Discount Lookup'!J:K,2)*G1735*(1-$AC$1786)*(1+$AC$1788)),IF(AD1735="NVP",(VLOOKUP(A1735,'Discount Lookup'!J:K,2)*G1735*(1-$AC$1786)*(1+$AC$1788)),IF(AD1735="free","re-planting",IF(G1735=0,"",IF($AD$8="",IF(AD1735="me","not NVP, by",IF(AD1735="",IF(G1735&gt;0,(VLOOKUP(A1735,'Discount Lookup'!J:K,2)*G1735*(1-$AC$1786)*(1+$AC$1788)),""),"")),"not NVP, by"))))))))</f>
        <v/>
      </c>
      <c r="AC1735" s="830"/>
      <c r="AD1735" s="375" t="str">
        <f t="shared" si="4166"/>
        <v/>
      </c>
      <c r="AE1735" s="833" t="str">
        <f t="shared" ref="AE1735:AE1737" si="4191">IF(G1735&gt;0,(CONCATENATE((G1735)," quantity, ",(A1735)," ",B1735)),"")</f>
        <v/>
      </c>
      <c r="AF1735" s="833"/>
      <c r="AG1735" s="833"/>
      <c r="AH1735" s="91">
        <f>IF(AD1735="free",0,IF(AD1735="me",0,IF(G1735&gt;0,(VLOOKUP(A1735,'Discount Lookup'!J:K,2)*G1735),0)))</f>
        <v>0</v>
      </c>
      <c r="AI1735" s="92" t="str">
        <f t="shared" si="4175"/>
        <v/>
      </c>
      <c r="AJ1735" s="828" t="str">
        <f t="shared" ref="AJ1735:AJ1737" si="4192">IF(G1735=0,"",IF(AD1735="me","  delivery-only",IF($AD$8="me","  delivery-only",CONCATENATE(" $",ROUND(AI1735/G1735,2)," each"))))</f>
        <v/>
      </c>
      <c r="AK1735" s="828"/>
      <c r="AL1735" s="313" t="str">
        <f t="shared" si="4076"/>
        <v/>
      </c>
      <c r="AM1735" s="312"/>
      <c r="AN1735" s="101"/>
      <c r="AO1735" s="101"/>
      <c r="AP1735" s="101"/>
      <c r="AQ1735" s="101"/>
      <c r="AR1735" s="101"/>
      <c r="AS1735" s="101"/>
      <c r="AT1735" s="101"/>
    </row>
    <row r="1736" spans="1:46" ht="12.95" customHeight="1">
      <c r="A1736" s="448" t="s">
        <v>668</v>
      </c>
      <c r="B1736" s="158" t="s">
        <v>669</v>
      </c>
      <c r="C1736" s="168" t="s">
        <v>136</v>
      </c>
      <c r="D1736" s="161" t="s">
        <v>87</v>
      </c>
      <c r="E1736" s="162">
        <v>13.95</v>
      </c>
      <c r="F1736" s="713" t="s">
        <v>1306</v>
      </c>
      <c r="G1736" s="357">
        <v>0</v>
      </c>
      <c r="H1736" s="748" t="str">
        <f t="shared" ref="H1736" si="4193">IF(G1736=0,"",IF(F1736="Qty=",IF(G1736=1,"plant","plants"),IF(F1736&gt;0.0001,"warranty","Error")))</f>
        <v/>
      </c>
      <c r="I1736" s="592">
        <f t="shared" ref="I1736" si="4194">IF(F1736="Qty=",(E1736*G1736),((E1736*(1-F1736))*G1736))</f>
        <v>0</v>
      </c>
      <c r="J1736" s="592">
        <f t="shared" ref="J1736" si="4195">IF(H1736="warranty",0,(I1736*($J$1782)))</f>
        <v>0</v>
      </c>
      <c r="K1736" s="834">
        <f t="shared" ref="K1736" si="4196">I1736+J1736</f>
        <v>0</v>
      </c>
      <c r="L1736" s="834"/>
      <c r="M1736" s="832" t="str">
        <f t="shared" ref="M1736" si="4197">IF($H$1784=0,"",IF(G1736=0,"",IF(F1736="Qty=",CONCATENATE("$",ROUND(K1736*(1-$H$1784),2)," with ",($H$1784*100),"% discount"),CONCATENATE("$",ROUND(K1736*(1-$H$1784),2)," with ",(($H$1784*100+F1736*100)-($H$1784*100*F1736)),IF(F1736&gt;0,"% discounts",IF($H$1781&gt;0,"% discounts","% discount"))))))</f>
        <v/>
      </c>
      <c r="N1736" s="832"/>
      <c r="O1736" s="832"/>
      <c r="P1736" s="832"/>
      <c r="Q1736" s="832"/>
      <c r="R1736" s="832"/>
      <c r="S1736" s="303">
        <f t="shared" ref="S1736" si="4198">E1736*G1736</f>
        <v>0</v>
      </c>
      <c r="T1736" s="541">
        <f>VLOOKUP(A1736,'Discount Lookup'!D:E,2,FALSE)*G1736</f>
        <v>0</v>
      </c>
      <c r="U1736" s="83">
        <f>VLOOKUP(A1736,'Discount Lookup'!G:H,2,FALSE)*G1736</f>
        <v>0</v>
      </c>
      <c r="V1736" s="100">
        <f>E1736*($J$1782)*G1736</f>
        <v>0</v>
      </c>
      <c r="W1736" s="100">
        <f t="shared" ref="W1736" si="4199">I1736</f>
        <v>0</v>
      </c>
      <c r="X1736" s="100" t="b">
        <f>IF(G1736&gt;0,IF(AD1736="me","",G1736))</f>
        <v>0</v>
      </c>
      <c r="Y1736" s="790"/>
      <c r="Z1736" s="838" t="str">
        <f t="shared" si="4174"/>
        <v/>
      </c>
      <c r="AA1736" s="838"/>
      <c r="AB1736" s="830" t="str">
        <f>IF(G1736=0,"",IF(AD1736="free","re-planting",IF(AD1736="me","not NVP, by",IF($AD$8="yes",(VLOOKUP(A1736,'Discount Lookup'!J:K,2)*G1736*(1-$AC$1786)*(1+$AC$1788)),IF(AD1736="NVP",(VLOOKUP(A1736,'Discount Lookup'!J:K,2)*G1736*(1-$AC$1786)*(1+$AC$1788)),IF(AD1736="free","re-planting",IF(G1736=0,"",IF($AD$8="",IF(AD1736="me","not NVP, by",IF(AD1736="",IF(G1736&gt;0,(VLOOKUP(A1736,'Discount Lookup'!J:K,2)*G1736*(1-$AC$1786)*(1+$AC$1788)),""),"")),"not NVP, by"))))))))</f>
        <v/>
      </c>
      <c r="AC1736" s="830"/>
      <c r="AD1736" s="375" t="str">
        <f t="shared" si="4166"/>
        <v/>
      </c>
      <c r="AE1736" s="833" t="str">
        <f t="shared" si="4191"/>
        <v/>
      </c>
      <c r="AF1736" s="833"/>
      <c r="AG1736" s="833"/>
      <c r="AH1736" s="91">
        <f>IF(AD1736="free",0,IF(AD1736="me",0,IF(G1736&gt;0,(VLOOKUP(A1736,'Discount Lookup'!J:K,2)*G1736),0)))</f>
        <v>0</v>
      </c>
      <c r="AI1736" s="92" t="str">
        <f t="shared" si="4175"/>
        <v/>
      </c>
      <c r="AJ1736" s="828" t="str">
        <f t="shared" si="4192"/>
        <v/>
      </c>
      <c r="AK1736" s="828"/>
      <c r="AL1736" s="313" t="str">
        <f t="shared" si="4076"/>
        <v/>
      </c>
      <c r="AM1736" s="312"/>
      <c r="AN1736" s="101"/>
      <c r="AO1736" s="101"/>
      <c r="AP1736" s="101"/>
      <c r="AQ1736" s="101"/>
      <c r="AR1736" s="101"/>
      <c r="AS1736" s="101"/>
      <c r="AT1736" s="101"/>
    </row>
    <row r="1737" spans="1:46" ht="12.95" customHeight="1">
      <c r="A1737" s="503"/>
      <c r="B1737" s="149" t="s">
        <v>1266</v>
      </c>
      <c r="C1737" s="104"/>
      <c r="D1737" s="104"/>
      <c r="E1737" s="105"/>
      <c r="F1737" s="709"/>
      <c r="G1737" s="358"/>
      <c r="H1737" s="743"/>
      <c r="I1737" s="102"/>
      <c r="J1737" s="102"/>
      <c r="K1737" s="607"/>
      <c r="L1737" s="607"/>
      <c r="M1737" s="121"/>
      <c r="N1737" s="122" t="s">
        <v>336</v>
      </c>
      <c r="O1737" s="123"/>
      <c r="P1737" s="124"/>
      <c r="Q1737" s="124"/>
      <c r="R1737" s="83"/>
      <c r="S1737" s="82"/>
      <c r="T1737" s="540"/>
      <c r="U1737" s="83"/>
      <c r="V1737" s="100" t="b">
        <f>IF(G1737&gt;0,IF(AD1737="me","",G1737))</f>
        <v>0</v>
      </c>
      <c r="W1737" s="100"/>
      <c r="X1737" s="100"/>
      <c r="Y1737" s="790"/>
      <c r="Z1737" s="838" t="str">
        <f t="shared" si="4174"/>
        <v/>
      </c>
      <c r="AA1737" s="838"/>
      <c r="AB1737" s="830" t="str">
        <f>IF(G1737=0,"",IF(AD1737="free","re-planting",IF(AD1737="me","not NVP, by",IF($AD$8="yes",(VLOOKUP(A1737,'Discount Lookup'!J:K,2)*G1737*(1-$AC$1786)*(1+$AC$1788)),IF(AD1737="NVP",(VLOOKUP(A1737,'Discount Lookup'!J:K,2)*G1737*(1-$AC$1786)*(1+$AC$1788)),IF(AD1737="free","re-planting",IF(G1737=0,"",IF($AD$8="",IF(AD1737="me","not NVP, by",IF(AD1737="",IF(G1737&gt;0,(VLOOKUP(A1737,'Discount Lookup'!J:K,2)*G1737*(1-$AC$1786)*(1+$AC$1788)),""),"")),"not NVP, by"))))))))</f>
        <v/>
      </c>
      <c r="AC1737" s="830"/>
      <c r="AD1737" s="375" t="str">
        <f t="shared" si="4166"/>
        <v/>
      </c>
      <c r="AE1737" s="833" t="str">
        <f t="shared" si="4191"/>
        <v/>
      </c>
      <c r="AF1737" s="833"/>
      <c r="AG1737" s="833"/>
      <c r="AH1737" s="91">
        <f>IF(AD1737="free",0,IF(AD1737="me",0,IF(G1737&gt;0,(VLOOKUP(A1737,'Discount Lookup'!J:K,2)*G1737),0)))</f>
        <v>0</v>
      </c>
      <c r="AI1737" s="92" t="str">
        <f t="shared" si="4175"/>
        <v/>
      </c>
      <c r="AJ1737" s="828" t="str">
        <f t="shared" si="4192"/>
        <v/>
      </c>
      <c r="AK1737" s="828"/>
      <c r="AL1737" s="313" t="str">
        <f t="shared" si="4076"/>
        <v/>
      </c>
      <c r="AM1737" s="312"/>
      <c r="AN1737" s="101"/>
      <c r="AO1737" s="101"/>
      <c r="AP1737" s="101"/>
      <c r="AQ1737" s="101"/>
      <c r="AR1737" s="101"/>
      <c r="AS1737" s="101"/>
      <c r="AT1737" s="101"/>
    </row>
    <row r="1738" spans="1:46" ht="12.95" customHeight="1">
      <c r="A1738" s="926" t="s">
        <v>1209</v>
      </c>
      <c r="B1738" s="837"/>
      <c r="C1738" s="837"/>
      <c r="D1738" s="837"/>
      <c r="E1738" s="837"/>
      <c r="F1738" s="837"/>
      <c r="G1738" s="837"/>
      <c r="H1738" s="775" t="s">
        <v>807</v>
      </c>
      <c r="I1738" s="164" t="s">
        <v>235</v>
      </c>
      <c r="J1738" s="157"/>
      <c r="K1738" s="611" t="s">
        <v>45</v>
      </c>
      <c r="L1738" s="630" t="s">
        <v>46</v>
      </c>
      <c r="M1738" s="157"/>
      <c r="N1738" s="158" t="s">
        <v>69</v>
      </c>
      <c r="O1738" s="158"/>
      <c r="P1738" s="158"/>
      <c r="Q1738" s="158"/>
      <c r="R1738" s="157"/>
      <c r="S1738" s="170"/>
      <c r="T1738" s="547"/>
      <c r="U1738" s="159" t="s">
        <v>48</v>
      </c>
      <c r="V1738" s="100" t="b">
        <f>IF(G1738&gt;0,IF(AD1738="me","",G1738))</f>
        <v>0</v>
      </c>
      <c r="W1738" s="100"/>
      <c r="X1738" s="100"/>
      <c r="Y1738" s="790"/>
      <c r="Z1738" s="829" t="str">
        <f t="shared" si="4174"/>
        <v/>
      </c>
      <c r="AA1738" s="829"/>
      <c r="AB1738" s="830" t="str">
        <f>IF(G1738=0,"",IF(AD1738="free","re-planting",IF(AD1738="me","not NVP, by",IF($AD$8="yes",(VLOOKUP(A1738,'Discount Lookup'!J:K,2)*G1738*(1-$AC$1786)*(1+$AC$1788)),IF(AD1738="NVP",(VLOOKUP(A1738,'Discount Lookup'!J:K,2)*G1738*(1-$AC$1786)*(1+$AC$1788)),IF(AD1738="free","re-planting",IF(G1738=0,"",IF($AD$8="",IF(AD1738="me","not NVP, by",IF(AD1738="",IF(G1738&gt;0,(VLOOKUP(A1738,'Discount Lookup'!J:K,2)*G1738*(1-$AC$1786)*(1+$AC$1788)),""),"")),"not NVP, by"))))))))</f>
        <v/>
      </c>
      <c r="AC1738" s="830"/>
      <c r="AD1738" s="375" t="str">
        <f t="shared" si="4166"/>
        <v/>
      </c>
      <c r="AE1738" s="833" t="str">
        <f>IF(G1738&gt;0,(CONCATENATE((G1738)," quantity, ",(A1738)," ",B1738)),"")</f>
        <v/>
      </c>
      <c r="AF1738" s="833"/>
      <c r="AG1738" s="833"/>
      <c r="AH1738" s="91">
        <f>IF(AD1738="free",0,IF(AD1738="me",0,IF(G1738&gt;0,(VLOOKUP(A1738,'Discount Lookup'!J:K,2)*G1738),0)))</f>
        <v>0</v>
      </c>
      <c r="AI1738" s="92" t="str">
        <f t="shared" si="4175"/>
        <v/>
      </c>
      <c r="AJ1738" s="828" t="str">
        <f>IF(G1738=0,"",IF(AD1738="me","  delivery-only",CONCATENATE(" $",ROUND(AI1738/G1738,2)," each")))</f>
        <v/>
      </c>
      <c r="AK1738" s="828"/>
      <c r="AL1738" s="313" t="str">
        <f t="shared" si="4076"/>
        <v/>
      </c>
      <c r="AM1738" s="312"/>
      <c r="AN1738" s="101"/>
      <c r="AO1738" s="101"/>
      <c r="AP1738" s="101"/>
      <c r="AQ1738" s="101"/>
      <c r="AR1738" s="101"/>
      <c r="AS1738" s="101"/>
      <c r="AT1738" s="101"/>
    </row>
    <row r="1739" spans="1:46" ht="12.95" customHeight="1">
      <c r="A1739" s="448" t="s">
        <v>668</v>
      </c>
      <c r="B1739" s="158" t="s">
        <v>669</v>
      </c>
      <c r="C1739" s="168" t="s">
        <v>236</v>
      </c>
      <c r="D1739" s="161" t="s">
        <v>87</v>
      </c>
      <c r="E1739" s="162">
        <v>13.95</v>
      </c>
      <c r="F1739" s="713" t="s">
        <v>1306</v>
      </c>
      <c r="G1739" s="357">
        <v>0</v>
      </c>
      <c r="H1739" s="748" t="str">
        <f t="shared" ref="H1739" si="4200">IF(G1739=0,"",IF(F1739="Qty=",IF(G1739=1,"plant","plants"),IF(F1739&gt;0.0001,"warranty","Error")))</f>
        <v/>
      </c>
      <c r="I1739" s="592">
        <f t="shared" ref="I1739" si="4201">IF(F1739="Qty=",(E1739*G1739),((E1739*(1-F1739))*G1739))</f>
        <v>0</v>
      </c>
      <c r="J1739" s="592">
        <f t="shared" ref="J1739" si="4202">IF(H1739="warranty",0,(I1739*($J$1782)))</f>
        <v>0</v>
      </c>
      <c r="K1739" s="834">
        <f t="shared" ref="K1739" si="4203">I1739+J1739</f>
        <v>0</v>
      </c>
      <c r="L1739" s="834"/>
      <c r="M1739" s="832" t="str">
        <f t="shared" ref="M1739" si="4204">IF($H$1784=0,"",IF(G1739=0,"",IF(F1739="Qty=",CONCATENATE("$",ROUND(K1739*(1-$H$1784),2)," with ",($H$1784*100),"% discount"),CONCATENATE("$",ROUND(K1739*(1-$H$1784),2)," with ",(($H$1784*100+F1739*100)-($H$1784*100*F1739)),IF(F1739&gt;0,"% discounts",IF($H$1781&gt;0,"% discounts","% discount"))))))</f>
        <v/>
      </c>
      <c r="N1739" s="832"/>
      <c r="O1739" s="832"/>
      <c r="P1739" s="832"/>
      <c r="Q1739" s="832"/>
      <c r="R1739" s="832"/>
      <c r="S1739" s="303">
        <f t="shared" ref="S1739" si="4205">E1739*G1739</f>
        <v>0</v>
      </c>
      <c r="T1739" s="541">
        <f>VLOOKUP(A1739,'Discount Lookup'!D:E,2,FALSE)*G1739</f>
        <v>0</v>
      </c>
      <c r="U1739" s="83">
        <f>VLOOKUP(A1739,'Discount Lookup'!G:H,2,FALSE)*G1739</f>
        <v>0</v>
      </c>
      <c r="V1739" s="100">
        <f>E1739*($J$1782)*G1739</f>
        <v>0</v>
      </c>
      <c r="W1739" s="100">
        <f t="shared" ref="W1739" si="4206">I1739</f>
        <v>0</v>
      </c>
      <c r="X1739" s="100" t="b">
        <f>IF(G1739&gt;0,IF(AD1739="me","",G1739))</f>
        <v>0</v>
      </c>
      <c r="Y1739" s="790"/>
      <c r="Z1739" s="829" t="str">
        <f t="shared" si="4174"/>
        <v/>
      </c>
      <c r="AA1739" s="829"/>
      <c r="AB1739" s="830" t="str">
        <f>IF(G1739=0,"",IF(AD1739="free","re-planting",IF(AD1739="me","not NVP, by",IF($AD$8="yes",(VLOOKUP(A1739,'Discount Lookup'!J:K,2)*G1739*(1-$AC$1786)*(1+$AC$1788)),IF(AD1739="NVP",(VLOOKUP(A1739,'Discount Lookup'!J:K,2)*G1739*(1-$AC$1786)*(1+$AC$1788)),IF(AD1739="free","re-planting",IF(G1739=0,"",IF($AD$8="",IF(AD1739="me","not NVP, by",IF(AD1739="",IF(G1739&gt;0,(VLOOKUP(A1739,'Discount Lookup'!J:K,2)*G1739*(1-$AC$1786)*(1+$AC$1788)),""),"")),"not NVP, by"))))))))</f>
        <v/>
      </c>
      <c r="AC1739" s="830"/>
      <c r="AD1739" s="375" t="str">
        <f t="shared" si="4166"/>
        <v/>
      </c>
      <c r="AE1739" s="833" t="str">
        <f>IF(G1739&gt;0,(CONCATENATE((G1739)," quantity, ",(A1739)," ",B1739)),"")</f>
        <v/>
      </c>
      <c r="AF1739" s="833"/>
      <c r="AG1739" s="833"/>
      <c r="AH1739" s="91">
        <f>IF(AD1739="free",0,IF(AD1739="me",0,IF(G1739&gt;0,(VLOOKUP(A1739,'Discount Lookup'!J:K,2)*G1739),0)))</f>
        <v>0</v>
      </c>
      <c r="AI1739" s="92" t="str">
        <f t="shared" si="4175"/>
        <v/>
      </c>
      <c r="AJ1739" s="828" t="str">
        <f>IF(G1739=0,"",IF(AD1739="me","  delivery-only",CONCATENATE(" $",ROUND(AI1739/G1739,2)," each")))</f>
        <v/>
      </c>
      <c r="AK1739" s="828"/>
      <c r="AL1739" s="313" t="str">
        <f t="shared" ref="AL1739:AL1756" si="4207">IF(AD1739="free","      ~ discounts included, no tax or planting fee applies ~",IF(G1739=0,"",IF($AD$8="me",CONCATENATE(" $",ROUND(AI1739/G1739,2)," per plant, with tax &amp; discount"),IF(AD1739="me",CONCATENATE(" $",ROUND(AI1739/G1739,2)," per plant, with tax &amp; discount"),CONCATENATE("= $",ROUND((K1739*(1-$H$1784))/G1739,2)," per plant + $",AB1739/G1739,(" per planting      ~ includes tax &amp; discounts ~"))))))</f>
        <v/>
      </c>
      <c r="AM1739" s="312"/>
      <c r="AN1739" s="101"/>
      <c r="AO1739" s="101"/>
      <c r="AP1739" s="101"/>
      <c r="AQ1739" s="101"/>
      <c r="AR1739" s="101"/>
      <c r="AS1739" s="101"/>
      <c r="AT1739" s="101"/>
    </row>
    <row r="1740" spans="1:46" ht="12.95" customHeight="1">
      <c r="A1740" s="503"/>
      <c r="B1740" s="149" t="s">
        <v>1267</v>
      </c>
      <c r="C1740" s="104"/>
      <c r="D1740" s="104"/>
      <c r="E1740" s="105"/>
      <c r="F1740" s="709"/>
      <c r="G1740" s="358"/>
      <c r="H1740" s="743"/>
      <c r="I1740" s="102"/>
      <c r="J1740" s="102"/>
      <c r="K1740" s="607"/>
      <c r="L1740" s="607"/>
      <c r="M1740" s="121"/>
      <c r="N1740" s="122" t="s">
        <v>336</v>
      </c>
      <c r="O1740" s="123"/>
      <c r="P1740" s="124"/>
      <c r="Q1740" s="124"/>
      <c r="R1740" s="83"/>
      <c r="S1740" s="82"/>
      <c r="T1740" s="540"/>
      <c r="U1740" s="83"/>
      <c r="V1740" s="100" t="b">
        <f>IF(G1740&gt;0,IF(AD1740="me","",G1740))</f>
        <v>0</v>
      </c>
      <c r="W1740" s="100"/>
      <c r="X1740" s="100"/>
      <c r="Y1740" s="790"/>
      <c r="Z1740" s="829" t="str">
        <f t="shared" si="4174"/>
        <v/>
      </c>
      <c r="AA1740" s="829"/>
      <c r="AB1740" s="830" t="str">
        <f>IF(G1740=0,"",IF(AD1740="free","re-planting",IF(AD1740="me","not NVP, by",IF($AD$8="yes",(VLOOKUP(A1740,'Discount Lookup'!J:K,2)*G1740*(1-$AC$1786)*(1+$AC$1788)),IF(AD1740="NVP",(VLOOKUP(A1740,'Discount Lookup'!J:K,2)*G1740*(1-$AC$1786)*(1+$AC$1788)),IF(AD1740="free","re-planting",IF(G1740=0,"",IF($AD$8="",IF(AD1740="me","not NVP, by",IF(AD1740="",IF(G1740&gt;0,(VLOOKUP(A1740,'Discount Lookup'!J:K,2)*G1740*(1-$AC$1786)*(1+$AC$1788)),""),"")),"not NVP, by"))))))))</f>
        <v/>
      </c>
      <c r="AC1740" s="830"/>
      <c r="AD1740" s="375" t="str">
        <f t="shared" si="4166"/>
        <v/>
      </c>
      <c r="AE1740" s="833" t="str">
        <f>IF(G1740&gt;0,(CONCATENATE((G1740)," quantity, ",(A1740)," ",B1740)),"")</f>
        <v/>
      </c>
      <c r="AF1740" s="833"/>
      <c r="AG1740" s="833"/>
      <c r="AH1740" s="91">
        <f>IF(AD1740="free",0,IF(AD1740="me",0,IF(G1740&gt;0,(VLOOKUP(A1740,'Discount Lookup'!J:K,2)*G1740),0)))</f>
        <v>0</v>
      </c>
      <c r="AI1740" s="92" t="str">
        <f t="shared" si="4175"/>
        <v/>
      </c>
      <c r="AJ1740" s="828" t="str">
        <f>IF(G1740=0,"",IF(AD1740="me","  delivery-only",CONCATENATE(" $",ROUND(AI1740/G1740,2)," each")))</f>
        <v/>
      </c>
      <c r="AK1740" s="828"/>
      <c r="AL1740" s="313" t="str">
        <f t="shared" si="4207"/>
        <v/>
      </c>
      <c r="AM1740" s="312"/>
      <c r="AN1740" s="101"/>
      <c r="AO1740" s="101"/>
      <c r="AP1740" s="101"/>
      <c r="AQ1740" s="101"/>
      <c r="AR1740" s="101"/>
      <c r="AS1740" s="101"/>
      <c r="AT1740" s="101"/>
    </row>
    <row r="1741" spans="1:46" ht="12.95" customHeight="1">
      <c r="A1741" s="836" t="s">
        <v>901</v>
      </c>
      <c r="B1741" s="837"/>
      <c r="C1741" s="837"/>
      <c r="D1741" s="837"/>
      <c r="E1741" s="837"/>
      <c r="F1741" s="837"/>
      <c r="G1741" s="837"/>
      <c r="H1741" s="775" t="s">
        <v>816</v>
      </c>
      <c r="I1741" s="349" t="s">
        <v>280</v>
      </c>
      <c r="J1741" s="157"/>
      <c r="K1741" s="611" t="s">
        <v>45</v>
      </c>
      <c r="L1741" s="630" t="s">
        <v>46</v>
      </c>
      <c r="M1741" s="157"/>
      <c r="N1741" s="158" t="s">
        <v>98</v>
      </c>
      <c r="O1741" s="175"/>
      <c r="P1741" s="175"/>
      <c r="Q1741" s="175"/>
      <c r="R1741" s="157"/>
      <c r="S1741" s="170"/>
      <c r="T1741" s="547"/>
      <c r="U1741" s="171"/>
      <c r="V1741" s="100"/>
      <c r="W1741" s="100"/>
      <c r="X1741" s="100"/>
      <c r="Y1741" s="201"/>
      <c r="Z1741" s="829" t="str">
        <f t="shared" si="4147"/>
        <v/>
      </c>
      <c r="AA1741" s="829"/>
      <c r="AB1741" s="830" t="str">
        <f>IF(G1741=0,"",IF(AD1741="free","re-planting",IF(AD1741="me","not NVP, by",IF($AD$8="yes",(VLOOKUP(A1741,'Discount Lookup'!J:K,2)*G1741*(1-$AC$1786)*(1+$AC$1788)),IF(AD1741="NVP",(VLOOKUP(A1741,'Discount Lookup'!J:K,2)*G1741*(1-$AC$1786)*(1+$AC$1788)),IF(AD1741="free","re-planting",IF(G1741=0,"",IF($AD$8="",IF(AD1741="me","not NVP, by",IF(AD1741="",IF(G1741&gt;0,(VLOOKUP(A1741,'Discount Lookup'!J:K,2)*G1741*(1-$AC$1786)*(1+$AC$1788)),""),"")),"not NVP, by"))))))))</f>
        <v/>
      </c>
      <c r="AC1741" s="830"/>
      <c r="AD1741" s="375" t="str">
        <f t="shared" si="4117"/>
        <v/>
      </c>
      <c r="AE1741" s="833" t="str">
        <f t="shared" si="4116"/>
        <v/>
      </c>
      <c r="AF1741" s="833"/>
      <c r="AG1741" s="833"/>
      <c r="AH1741" s="91">
        <f>IF(AD1741="free",0,IF(AD1741="me",0,IF(G1741&gt;0,(VLOOKUP(A1741,'Discount Lookup'!J:K,2)*G1741),0)))</f>
        <v>0</v>
      </c>
      <c r="AI1741" s="92" t="str">
        <f t="shared" si="4175"/>
        <v/>
      </c>
      <c r="AJ1741" s="828" t="str">
        <f t="shared" si="4148"/>
        <v/>
      </c>
      <c r="AK1741" s="828"/>
      <c r="AL1741" s="313" t="str">
        <f t="shared" si="4207"/>
        <v/>
      </c>
      <c r="AM1741" s="312"/>
      <c r="AN1741" s="101"/>
      <c r="AO1741" s="101"/>
      <c r="AP1741" s="101"/>
      <c r="AQ1741" s="101"/>
      <c r="AR1741" s="101"/>
      <c r="AS1741" s="101"/>
      <c r="AT1741" s="101"/>
    </row>
    <row r="1742" spans="1:46" ht="12.95" customHeight="1">
      <c r="A1742" s="383">
        <v>1</v>
      </c>
      <c r="B1742" s="158" t="s">
        <v>50</v>
      </c>
      <c r="C1742" s="168" t="s">
        <v>136</v>
      </c>
      <c r="D1742" s="161" t="s">
        <v>87</v>
      </c>
      <c r="E1742" s="162">
        <v>10.95</v>
      </c>
      <c r="F1742" s="713" t="s">
        <v>1306</v>
      </c>
      <c r="G1742" s="357">
        <v>0</v>
      </c>
      <c r="H1742" s="748" t="str">
        <f t="shared" ref="H1742" si="4208">IF(G1742=0,"",IF(F1742="Qty=",IF(G1742=1,"plant","plants"),IF(F1742&gt;0.0001,"warranty","Error")))</f>
        <v/>
      </c>
      <c r="I1742" s="592">
        <f t="shared" ref="I1742" si="4209">IF(F1742="Qty=",(E1742*G1742),((E1742*(1-F1742))*G1742))</f>
        <v>0</v>
      </c>
      <c r="J1742" s="592">
        <f t="shared" ref="J1742" si="4210">IF(H1742="warranty",0,(I1742*($J$1782)))</f>
        <v>0</v>
      </c>
      <c r="K1742" s="834">
        <f t="shared" ref="K1742" si="4211">I1742+J1742</f>
        <v>0</v>
      </c>
      <c r="L1742" s="834"/>
      <c r="M1742" s="832" t="str">
        <f t="shared" ref="M1742" si="4212">IF($H$1784=0,"",IF(G1742=0,"",IF(F1742="Qty=",CONCATENATE("$",ROUND(K1742*(1-$H$1784),2)," with ",($H$1784*100),"% discount"),CONCATENATE("$",ROUND(K1742*(1-$H$1784),2)," with ",(($H$1784*100+F1742*100)-($H$1784*100*F1742)),IF(F1742&gt;0,"% discounts",IF($H$1781&gt;0,"% discounts","% discount"))))))</f>
        <v/>
      </c>
      <c r="N1742" s="832"/>
      <c r="O1742" s="832"/>
      <c r="P1742" s="832"/>
      <c r="Q1742" s="832"/>
      <c r="R1742" s="832"/>
      <c r="S1742" s="303">
        <f t="shared" ref="S1742" si="4213">E1742*G1742</f>
        <v>0</v>
      </c>
      <c r="T1742" s="541">
        <f>VLOOKUP(A1742,'Discount Lookup'!D:E,2,FALSE)*G1742</f>
        <v>0</v>
      </c>
      <c r="U1742" s="83">
        <f>VLOOKUP(A1742,'Discount Lookup'!G:H,2,FALSE)*G1742</f>
        <v>0</v>
      </c>
      <c r="V1742" s="100">
        <f>E1742*($J$1782)*G1742</f>
        <v>0</v>
      </c>
      <c r="W1742" s="100">
        <f t="shared" ref="W1742" si="4214">I1742</f>
        <v>0</v>
      </c>
      <c r="X1742" s="100" t="b">
        <f>IF(G1742&gt;0,IF(AD1742="me","",G1742))</f>
        <v>0</v>
      </c>
      <c r="Y1742" s="201"/>
      <c r="Z1742" s="829" t="str">
        <f t="shared" si="4147"/>
        <v/>
      </c>
      <c r="AA1742" s="829"/>
      <c r="AB1742" s="830" t="str">
        <f>IF(G1742=0,"",IF(AD1742="free","re-planting",IF(AD1742="me","not NVP, by",IF($AD$8="yes",(VLOOKUP(A1742,'Discount Lookup'!J:K,2)*G1742*(1-$AC$1786)*(1+$AC$1788)),IF(AD1742="NVP",(VLOOKUP(A1742,'Discount Lookup'!J:K,2)*G1742*(1-$AC$1786)*(1+$AC$1788)),IF(AD1742="free","re-planting",IF(G1742=0,"",IF($AD$8="",IF(AD1742="me","not NVP, by",IF(AD1742="",IF(G1742&gt;0,(VLOOKUP(A1742,'Discount Lookup'!J:K,2)*G1742*(1-$AC$1786)*(1+$AC$1788)),""),"")),"not NVP, by"))))))))</f>
        <v/>
      </c>
      <c r="AC1742" s="830"/>
      <c r="AD1742" s="375" t="str">
        <f t="shared" si="4117"/>
        <v/>
      </c>
      <c r="AE1742" s="833" t="str">
        <f t="shared" si="4116"/>
        <v/>
      </c>
      <c r="AF1742" s="833"/>
      <c r="AG1742" s="833"/>
      <c r="AH1742" s="91">
        <f>IF(AD1742="free",0,IF(AD1742="me",0,IF(G1742&gt;0,(VLOOKUP(A1742,'Discount Lookup'!J:K,2)*G1742),0)))</f>
        <v>0</v>
      </c>
      <c r="AI1742" s="92" t="str">
        <f t="shared" si="4175"/>
        <v/>
      </c>
      <c r="AJ1742" s="828" t="str">
        <f t="shared" si="4148"/>
        <v/>
      </c>
      <c r="AK1742" s="828"/>
      <c r="AL1742" s="313" t="str">
        <f t="shared" si="4207"/>
        <v/>
      </c>
      <c r="AM1742" s="312"/>
      <c r="AN1742" s="101"/>
      <c r="AO1742" s="101"/>
      <c r="AP1742" s="101"/>
      <c r="AQ1742" s="101"/>
      <c r="AR1742" s="101"/>
      <c r="AS1742" s="101"/>
      <c r="AT1742" s="101"/>
    </row>
    <row r="1743" spans="1:46" ht="12.95" customHeight="1">
      <c r="A1743" s="394"/>
      <c r="B1743" s="173" t="s">
        <v>902</v>
      </c>
      <c r="C1743" s="213"/>
      <c r="D1743" s="180"/>
      <c r="E1743" s="214"/>
      <c r="F1743" s="724"/>
      <c r="G1743" s="365"/>
      <c r="H1743" s="744"/>
      <c r="I1743" s="214"/>
      <c r="J1743" s="214"/>
      <c r="K1743" s="623"/>
      <c r="L1743" s="623"/>
      <c r="M1743" s="212"/>
      <c r="N1743" s="122" t="s">
        <v>336</v>
      </c>
      <c r="O1743" s="123"/>
      <c r="P1743" s="124"/>
      <c r="Q1743" s="124"/>
      <c r="R1743" s="83">
        <f>IF(F1743=0,E1743*($J$1782)*G1743,0)</f>
        <v>0</v>
      </c>
      <c r="S1743" s="82">
        <f>E1743*G1743</f>
        <v>0</v>
      </c>
      <c r="T1743" s="540"/>
      <c r="U1743" s="83"/>
      <c r="V1743" s="100" t="b">
        <f>IF(G1743&gt;0,IF(AD1743="me","",G1743))</f>
        <v>0</v>
      </c>
      <c r="W1743" s="100"/>
      <c r="X1743" s="100"/>
      <c r="Y1743" s="201"/>
      <c r="Z1743" s="829" t="str">
        <f t="shared" si="4147"/>
        <v/>
      </c>
      <c r="AA1743" s="829"/>
      <c r="AB1743" s="830" t="str">
        <f>IF(G1743=0,"",IF(AD1743="free","re-planting",IF(AD1743="me","not NVP, by",IF($AD$8="yes",(VLOOKUP(A1743,'Discount Lookup'!J:K,2)*G1743*(1-$AC$1786)*(1+$AC$1788)),IF(AD1743="NVP",(VLOOKUP(A1743,'Discount Lookup'!J:K,2)*G1743*(1-$AC$1786)*(1+$AC$1788)),IF(AD1743="free","re-planting",IF(G1743=0,"",IF($AD$8="",IF(AD1743="me","not NVP, by",IF(AD1743="",IF(G1743&gt;0,(VLOOKUP(A1743,'Discount Lookup'!J:K,2)*G1743*(1-$AC$1786)*(1+$AC$1788)),""),"")),"not NVP, by"))))))))</f>
        <v/>
      </c>
      <c r="AC1743" s="830"/>
      <c r="AD1743" s="375" t="str">
        <f t="shared" si="4117"/>
        <v/>
      </c>
      <c r="AE1743" s="833" t="str">
        <f t="shared" si="4116"/>
        <v/>
      </c>
      <c r="AF1743" s="833"/>
      <c r="AG1743" s="833"/>
      <c r="AH1743" s="91">
        <f>IF(AD1743="free",0,IF(AD1743="me",0,IF(G1743&gt;0,(VLOOKUP(A1743,'Discount Lookup'!J:K,2)*G1743),0)))</f>
        <v>0</v>
      </c>
      <c r="AI1743" s="92" t="str">
        <f t="shared" si="4175"/>
        <v/>
      </c>
      <c r="AJ1743" s="828" t="str">
        <f t="shared" si="4148"/>
        <v/>
      </c>
      <c r="AK1743" s="828"/>
      <c r="AL1743" s="313" t="str">
        <f t="shared" si="4207"/>
        <v/>
      </c>
      <c r="AM1743" s="312"/>
      <c r="AN1743" s="101"/>
      <c r="AO1743" s="101"/>
      <c r="AP1743" s="101"/>
      <c r="AQ1743" s="101"/>
      <c r="AR1743" s="101"/>
      <c r="AS1743" s="101"/>
      <c r="AT1743" s="101"/>
    </row>
    <row r="1744" spans="1:46" ht="12.95" customHeight="1">
      <c r="A1744" s="836" t="s">
        <v>903</v>
      </c>
      <c r="B1744" s="837"/>
      <c r="C1744" s="837"/>
      <c r="D1744" s="837"/>
      <c r="E1744" s="837"/>
      <c r="F1744" s="837"/>
      <c r="G1744" s="837"/>
      <c r="H1744" s="775" t="s">
        <v>816</v>
      </c>
      <c r="I1744" s="164" t="s">
        <v>174</v>
      </c>
      <c r="J1744" s="157"/>
      <c r="K1744" s="611" t="s">
        <v>45</v>
      </c>
      <c r="L1744" s="630" t="s">
        <v>46</v>
      </c>
      <c r="M1744" s="157"/>
      <c r="N1744" s="175" t="s">
        <v>157</v>
      </c>
      <c r="O1744" s="175"/>
      <c r="P1744" s="175"/>
      <c r="Q1744" s="175"/>
      <c r="R1744" s="157"/>
      <c r="S1744" s="170"/>
      <c r="T1744" s="547"/>
      <c r="U1744" s="171"/>
      <c r="V1744" s="100" t="b">
        <f>IF(G1744&gt;0,IF(AD1744="me","",G1744))</f>
        <v>0</v>
      </c>
      <c r="W1744" s="100"/>
      <c r="X1744" s="100"/>
      <c r="Y1744" s="201"/>
      <c r="Z1744" s="829" t="str">
        <f t="shared" si="4147"/>
        <v/>
      </c>
      <c r="AA1744" s="829"/>
      <c r="AB1744" s="830" t="str">
        <f>IF(G1744=0,"",IF(AD1744="free","re-planting",IF(AD1744="me","not NVP, by",IF($AD$8="yes",(VLOOKUP(A1744,'Discount Lookup'!J:K,2)*G1744*(1-$AC$1786)*(1+$AC$1788)),IF(AD1744="NVP",(VLOOKUP(A1744,'Discount Lookup'!J:K,2)*G1744*(1-$AC$1786)*(1+$AC$1788)),IF(AD1744="free","re-planting",IF(G1744=0,"",IF($AD$8="",IF(AD1744="me","not NVP, by",IF(AD1744="",IF(G1744&gt;0,(VLOOKUP(A1744,'Discount Lookup'!J:K,2)*G1744*(1-$AC$1786)*(1+$AC$1788)),""),"")),"not NVP, by"))))))))</f>
        <v/>
      </c>
      <c r="AC1744" s="830"/>
      <c r="AD1744" s="375" t="str">
        <f t="shared" si="4117"/>
        <v/>
      </c>
      <c r="AE1744" s="833" t="str">
        <f t="shared" si="4116"/>
        <v/>
      </c>
      <c r="AF1744" s="833"/>
      <c r="AG1744" s="833"/>
      <c r="AH1744" s="91">
        <f>IF(AD1744="free",0,IF(AD1744="me",0,IF(G1744&gt;0,(VLOOKUP(A1744,'Discount Lookup'!J:K,2)*G1744),0)))</f>
        <v>0</v>
      </c>
      <c r="AI1744" s="92" t="str">
        <f t="shared" si="4175"/>
        <v/>
      </c>
      <c r="AJ1744" s="828" t="str">
        <f t="shared" si="4148"/>
        <v/>
      </c>
      <c r="AK1744" s="828"/>
      <c r="AL1744" s="313" t="str">
        <f t="shared" si="4207"/>
        <v/>
      </c>
      <c r="AM1744" s="312"/>
      <c r="AN1744" s="101"/>
      <c r="AO1744" s="101"/>
      <c r="AP1744" s="101"/>
      <c r="AQ1744" s="101"/>
      <c r="AR1744" s="101"/>
      <c r="AS1744" s="101"/>
      <c r="AT1744" s="101"/>
    </row>
    <row r="1745" spans="1:46" ht="12.95" customHeight="1">
      <c r="A1745" s="383" t="s">
        <v>668</v>
      </c>
      <c r="B1745" s="158" t="s">
        <v>669</v>
      </c>
      <c r="C1745" s="168" t="s">
        <v>136</v>
      </c>
      <c r="D1745" s="161" t="s">
        <v>87</v>
      </c>
      <c r="E1745" s="162">
        <v>14.95</v>
      </c>
      <c r="F1745" s="713" t="s">
        <v>1306</v>
      </c>
      <c r="G1745" s="357">
        <v>0</v>
      </c>
      <c r="H1745" s="748" t="str">
        <f t="shared" ref="H1745" si="4215">IF(G1745=0,"",IF(F1745="Qty=",IF(G1745=1,"plant","plants"),IF(F1745&gt;0.0001,"warranty","Error")))</f>
        <v/>
      </c>
      <c r="I1745" s="592">
        <f t="shared" ref="I1745" si="4216">IF(F1745="Qty=",(E1745*G1745),((E1745*(1-F1745))*G1745))</f>
        <v>0</v>
      </c>
      <c r="J1745" s="592">
        <f t="shared" ref="J1745" si="4217">IF(H1745="warranty",0,(I1745*($J$1782)))</f>
        <v>0</v>
      </c>
      <c r="K1745" s="834">
        <f t="shared" ref="K1745" si="4218">I1745+J1745</f>
        <v>0</v>
      </c>
      <c r="L1745" s="834"/>
      <c r="M1745" s="832" t="str">
        <f t="shared" ref="M1745" si="4219">IF($H$1784=0,"",IF(G1745=0,"",IF(F1745="Qty=",CONCATENATE("$",ROUND(K1745*(1-$H$1784),2)," with ",($H$1784*100),"% discount"),CONCATENATE("$",ROUND(K1745*(1-$H$1784),2)," with ",(($H$1784*100+F1745*100)-($H$1784*100*F1745)),IF(F1745&gt;0,"% discounts",IF($H$1781&gt;0,"% discounts","% discount"))))))</f>
        <v/>
      </c>
      <c r="N1745" s="832"/>
      <c r="O1745" s="832"/>
      <c r="P1745" s="832"/>
      <c r="Q1745" s="832"/>
      <c r="R1745" s="832"/>
      <c r="S1745" s="303">
        <f t="shared" ref="S1745" si="4220">E1745*G1745</f>
        <v>0</v>
      </c>
      <c r="T1745" s="541">
        <f>VLOOKUP(A1745,'Discount Lookup'!D:E,2,FALSE)*G1745</f>
        <v>0</v>
      </c>
      <c r="U1745" s="83">
        <f>VLOOKUP(A1745,'Discount Lookup'!G:H,2,FALSE)*G1745</f>
        <v>0</v>
      </c>
      <c r="V1745" s="100">
        <f>E1745*($J$1782)*G1745</f>
        <v>0</v>
      </c>
      <c r="W1745" s="100">
        <f t="shared" ref="W1745" si="4221">I1745</f>
        <v>0</v>
      </c>
      <c r="X1745" s="100" t="b">
        <f>IF(G1745&gt;0,IF(AD1745="me","",G1745))</f>
        <v>0</v>
      </c>
      <c r="Y1745" s="201"/>
      <c r="Z1745" s="829" t="str">
        <f t="shared" si="4147"/>
        <v/>
      </c>
      <c r="AA1745" s="829"/>
      <c r="AB1745" s="830" t="str">
        <f>IF(G1745=0,"",IF(AD1745="free","re-planting",IF(AD1745="me","not NVP, by",IF($AD$8="yes",(VLOOKUP(A1745,'Discount Lookup'!J:K,2)*G1745*(1-$AC$1786)*(1+$AC$1788)),IF(AD1745="NVP",(VLOOKUP(A1745,'Discount Lookup'!J:K,2)*G1745*(1-$AC$1786)*(1+$AC$1788)),IF(AD1745="free","re-planting",IF(G1745=0,"",IF($AD$8="",IF(AD1745="me","not NVP, by",IF(AD1745="",IF(G1745&gt;0,(VLOOKUP(A1745,'Discount Lookup'!J:K,2)*G1745*(1-$AC$1786)*(1+$AC$1788)),""),"")),"not NVP, by"))))))))</f>
        <v/>
      </c>
      <c r="AC1745" s="830"/>
      <c r="AD1745" s="375" t="str">
        <f t="shared" si="4117"/>
        <v/>
      </c>
      <c r="AE1745" s="833" t="str">
        <f t="shared" si="4116"/>
        <v/>
      </c>
      <c r="AF1745" s="833"/>
      <c r="AG1745" s="833"/>
      <c r="AH1745" s="91">
        <f>IF(AD1745="free",0,IF(AD1745="me",0,IF(G1745&gt;0,(VLOOKUP(A1745,'Discount Lookup'!J:K,2)*G1745),0)))</f>
        <v>0</v>
      </c>
      <c r="AI1745" s="92" t="str">
        <f t="shared" si="4175"/>
        <v/>
      </c>
      <c r="AJ1745" s="828" t="str">
        <f t="shared" si="4148"/>
        <v/>
      </c>
      <c r="AK1745" s="828"/>
      <c r="AL1745" s="313" t="str">
        <f t="shared" si="4207"/>
        <v/>
      </c>
      <c r="AM1745" s="312"/>
      <c r="AN1745" s="101"/>
      <c r="AO1745" s="101"/>
      <c r="AP1745" s="101"/>
      <c r="AQ1745" s="101"/>
      <c r="AR1745" s="101"/>
      <c r="AS1745" s="101"/>
      <c r="AT1745" s="101"/>
    </row>
    <row r="1746" spans="1:46" ht="12.95" customHeight="1">
      <c r="A1746" s="394"/>
      <c r="B1746" s="173" t="s">
        <v>904</v>
      </c>
      <c r="C1746" s="213"/>
      <c r="D1746" s="180"/>
      <c r="E1746" s="214"/>
      <c r="F1746" s="724"/>
      <c r="G1746" s="365"/>
      <c r="H1746" s="744"/>
      <c r="I1746" s="214"/>
      <c r="J1746" s="214"/>
      <c r="K1746" s="623"/>
      <c r="L1746" s="623"/>
      <c r="M1746" s="832" t="str">
        <f>IF($H$1784=0,"",IF(G1746=0,"",(CONCATENATE("$",ROUND(K1746*(1-$H$1784),2)," with ",(($H$1784*100+F1746*100)-($H$1784*100*F1746)),IF(F1746&gt;0,"% discounts",IF($H$1781&gt;0,"% discounts","% discount"))))))</f>
        <v/>
      </c>
      <c r="N1746" s="832"/>
      <c r="O1746" s="832"/>
      <c r="P1746" s="832"/>
      <c r="Q1746" s="832"/>
      <c r="R1746" s="832"/>
      <c r="S1746" s="82">
        <f>E1746*G1746</f>
        <v>0</v>
      </c>
      <c r="T1746" s="540"/>
      <c r="U1746" s="83"/>
      <c r="V1746" s="100" t="b">
        <f>IF(G1746&gt;0,IF(AD1746="me","",G1746))</f>
        <v>0</v>
      </c>
      <c r="W1746" s="100"/>
      <c r="X1746" s="100"/>
      <c r="Y1746" s="201"/>
      <c r="Z1746" s="829" t="str">
        <f t="shared" si="4147"/>
        <v/>
      </c>
      <c r="AA1746" s="829"/>
      <c r="AB1746" s="830" t="str">
        <f>IF(G1746=0,"",IF(AD1746="free","re-planting",IF(AD1746="me","not NVP, by",IF($AD$8="yes",(VLOOKUP(A1746,'Discount Lookup'!J:K,2)*G1746*(1-$AC$1786)*(1+$AC$1788)),IF(AD1746="NVP",(VLOOKUP(A1746,'Discount Lookup'!J:K,2)*G1746*(1-$AC$1786)*(1+$AC$1788)),IF(AD1746="free","re-planting",IF(G1746=0,"",IF($AD$8="",IF(AD1746="me","not NVP, by",IF(AD1746="",IF(G1746&gt;0,(VLOOKUP(A1746,'Discount Lookup'!J:K,2)*G1746*(1-$AC$1786)*(1+$AC$1788)),""),"")),"not NVP, by"))))))))</f>
        <v/>
      </c>
      <c r="AC1746" s="830"/>
      <c r="AD1746" s="375" t="str">
        <f t="shared" si="4117"/>
        <v/>
      </c>
      <c r="AE1746" s="833" t="str">
        <f t="shared" si="4116"/>
        <v/>
      </c>
      <c r="AF1746" s="833"/>
      <c r="AG1746" s="833"/>
      <c r="AH1746" s="91">
        <f>IF(AD1746="free",0,IF(AD1746="me",0,IF(G1746&gt;0,(VLOOKUP(A1746,'Discount Lookup'!J:K,2)*G1746),0)))</f>
        <v>0</v>
      </c>
      <c r="AI1746" s="92" t="str">
        <f t="shared" si="4175"/>
        <v/>
      </c>
      <c r="AJ1746" s="828" t="str">
        <f t="shared" si="4148"/>
        <v/>
      </c>
      <c r="AK1746" s="828"/>
      <c r="AL1746" s="313" t="str">
        <f t="shared" si="4207"/>
        <v/>
      </c>
      <c r="AM1746" s="312"/>
      <c r="AN1746" s="101"/>
      <c r="AO1746" s="101"/>
      <c r="AP1746" s="101"/>
      <c r="AQ1746" s="101"/>
      <c r="AR1746" s="101"/>
      <c r="AS1746" s="101"/>
      <c r="AT1746" s="101"/>
    </row>
    <row r="1747" spans="1:46" ht="12.95" customHeight="1">
      <c r="A1747" s="926" t="s">
        <v>1675</v>
      </c>
      <c r="B1747" s="837"/>
      <c r="C1747" s="837"/>
      <c r="D1747" s="837"/>
      <c r="E1747" s="837"/>
      <c r="F1747" s="837"/>
      <c r="G1747" s="837"/>
      <c r="H1747" s="775" t="s">
        <v>825</v>
      </c>
      <c r="I1747" s="349" t="s">
        <v>280</v>
      </c>
      <c r="J1747" s="157"/>
      <c r="K1747" s="611" t="s">
        <v>45</v>
      </c>
      <c r="L1747" s="630" t="s">
        <v>46</v>
      </c>
      <c r="M1747" s="157"/>
      <c r="N1747" s="158" t="s">
        <v>1371</v>
      </c>
      <c r="O1747" s="158"/>
      <c r="P1747" s="164"/>
      <c r="Q1747" s="164"/>
      <c r="R1747" s="157"/>
      <c r="S1747" s="170"/>
      <c r="T1747" s="547"/>
      <c r="U1747" s="159" t="s">
        <v>1370</v>
      </c>
      <c r="V1747" s="100" t="b">
        <f>IF(G1747&gt;0,IF(AD1747="me","",G1747))</f>
        <v>0</v>
      </c>
      <c r="W1747" s="100"/>
      <c r="X1747" s="100"/>
      <c r="Y1747" s="790"/>
      <c r="Z1747" s="829" t="str">
        <f t="shared" si="4147"/>
        <v/>
      </c>
      <c r="AA1747" s="829"/>
      <c r="AB1747" s="830" t="str">
        <f>IF(G1747=0,"",IF(AD1747="free","re-planting",IF(AD1747="me","not NVP, by",IF($AD$8="yes",(VLOOKUP(A1747,'Discount Lookup'!J:K,2)*G1747*(1-$AC$1786)*(1+$AC$1788)),IF(AD1747="NVP",(VLOOKUP(A1747,'Discount Lookup'!J:K,2)*G1747*(1-$AC$1786)*(1+$AC$1788)),IF(AD1747="free","re-planting",IF(G1747=0,"",IF($AD$8="",IF(AD1747="me","not NVP, by",IF(AD1747="",IF(G1747&gt;0,(VLOOKUP(A1747,'Discount Lookup'!J:K,2)*G1747*(1-$AC$1786)*(1+$AC$1788)),""),"")),"not NVP, by"))))))))</f>
        <v/>
      </c>
      <c r="AC1747" s="830"/>
      <c r="AD1747" s="375" t="str">
        <f t="shared" ref="AD1747:AD1752" si="4222">IF(G1747=0,"",IF($AD$8="me","me",IF(H1747="warranty","free",IF($AD$8="yes","NVP",""))))</f>
        <v/>
      </c>
      <c r="AE1747" s="833" t="str">
        <f t="shared" ref="AE1747:AE1752" si="4223">IF(G1747&gt;0,(CONCATENATE((G1747)," quantity, ",(A1747)," ",B1747)),"")</f>
        <v/>
      </c>
      <c r="AF1747" s="833"/>
      <c r="AG1747" s="833"/>
      <c r="AH1747" s="91">
        <f>IF(AD1747="free",0,IF(AD1747="me",0,IF(G1747&gt;0,(VLOOKUP(A1747,'Discount Lookup'!J:K,2)*G1747),0)))</f>
        <v>0</v>
      </c>
      <c r="AI1747" s="92" t="str">
        <f>IF(AD1747="free",(K1747*(1-$H$1784)),IF(G1747=0,"",IF($AD$8="",IF(G1747=0,"",IF(AD1747="me",(K1747*(1-$H$1784)),(K1747*(1-$H$1784))+AB1747)),IF(K1747="Images","",IF(K1747=0,"",(K1747*(1-$H$1784)))))))</f>
        <v/>
      </c>
      <c r="AJ1747" s="828" t="str">
        <f t="shared" si="4148"/>
        <v/>
      </c>
      <c r="AK1747" s="828"/>
      <c r="AL1747" s="313" t="str">
        <f t="shared" si="4207"/>
        <v/>
      </c>
      <c r="AM1747" s="312"/>
      <c r="AN1747" s="101"/>
      <c r="AO1747" s="101"/>
      <c r="AP1747" s="101"/>
      <c r="AQ1747" s="101"/>
      <c r="AR1747" s="101"/>
      <c r="AS1747" s="101"/>
      <c r="AT1747" s="101"/>
    </row>
    <row r="1748" spans="1:46" ht="12.95" customHeight="1">
      <c r="A1748" s="448">
        <v>1</v>
      </c>
      <c r="B1748" s="158" t="s">
        <v>50</v>
      </c>
      <c r="C1748" s="168" t="s">
        <v>136</v>
      </c>
      <c r="D1748" s="161" t="s">
        <v>87</v>
      </c>
      <c r="E1748" s="162">
        <v>12.95</v>
      </c>
      <c r="F1748" s="713" t="s">
        <v>1306</v>
      </c>
      <c r="G1748" s="357">
        <v>0</v>
      </c>
      <c r="H1748" s="748" t="str">
        <f t="shared" ref="H1748" si="4224">IF(G1748=0,"",IF(F1748="Qty=",IF(G1748=1,"plant","plants"),IF(F1748&gt;0.0001,"warranty","Error")))</f>
        <v/>
      </c>
      <c r="I1748" s="592">
        <f t="shared" ref="I1748" si="4225">IF(F1748="Qty=",(E1748*G1748),((E1748*(1-F1748))*G1748))</f>
        <v>0</v>
      </c>
      <c r="J1748" s="592">
        <f t="shared" ref="J1748" si="4226">IF(H1748="warranty",0,(I1748*($J$1782)))</f>
        <v>0</v>
      </c>
      <c r="K1748" s="834">
        <f t="shared" ref="K1748" si="4227">I1748+J1748</f>
        <v>0</v>
      </c>
      <c r="L1748" s="834"/>
      <c r="M1748" s="832" t="str">
        <f t="shared" ref="M1748" si="4228">IF($H$1784=0,"",IF(G1748=0,"",IF(F1748="Qty=",CONCATENATE("$",ROUND(K1748*(1-$H$1784),2)," with ",($H$1784*100),"% discount"),CONCATENATE("$",ROUND(K1748*(1-$H$1784),2)," with ",(($H$1784*100+F1748*100)-($H$1784*100*F1748)),IF(F1748&gt;0,"% discounts",IF($H$1781&gt;0,"% discounts","% discount"))))))</f>
        <v/>
      </c>
      <c r="N1748" s="832"/>
      <c r="O1748" s="832"/>
      <c r="P1748" s="832"/>
      <c r="Q1748" s="832"/>
      <c r="R1748" s="832"/>
      <c r="S1748" s="303">
        <f t="shared" ref="S1748" si="4229">E1748*G1748</f>
        <v>0</v>
      </c>
      <c r="T1748" s="541">
        <f>VLOOKUP(A1748,'Discount Lookup'!D:E,2,FALSE)*G1748</f>
        <v>0</v>
      </c>
      <c r="U1748" s="83">
        <f>VLOOKUP(A1748,'Discount Lookup'!G:H,2,FALSE)*G1748</f>
        <v>0</v>
      </c>
      <c r="V1748" s="100">
        <f>E1748*($J$1782)*G1748</f>
        <v>0</v>
      </c>
      <c r="W1748" s="100">
        <f t="shared" ref="W1748" si="4230">I1748</f>
        <v>0</v>
      </c>
      <c r="X1748" s="100" t="b">
        <f>IF(G1748&gt;0,IF(AD1748="me","",G1748))</f>
        <v>0</v>
      </c>
      <c r="Y1748" s="790"/>
      <c r="Z1748" s="838" t="str">
        <f t="shared" si="4147"/>
        <v/>
      </c>
      <c r="AA1748" s="838"/>
      <c r="AB1748" s="830" t="str">
        <f>IF(G1748=0,"",IF(AD1748="free","re-planting",IF(AD1748="me","not NVP, by",IF($AD$8="yes",(VLOOKUP(A1748,'Discount Lookup'!J:K,2)*G1748*(1-$AC$1786)*(1+$AC$1788)),IF(AD1748="NVP",(VLOOKUP(A1748,'Discount Lookup'!J:K,2)*G1748*(1-$AC$1786)*(1+$AC$1788)),IF(AD1748="free","re-planting",IF(G1748=0,"",IF($AD$8="",IF(AD1748="me","not NVP, by",IF(AD1748="",IF(G1748&gt;0,(VLOOKUP(A1748,'Discount Lookup'!J:K,2)*G1748*(1-$AC$1786)*(1+$AC$1788)),""),"")),"not NVP, by"))))))))</f>
        <v/>
      </c>
      <c r="AC1748" s="830"/>
      <c r="AD1748" s="375" t="str">
        <f t="shared" si="4222"/>
        <v/>
      </c>
      <c r="AE1748" s="833" t="str">
        <f t="shared" si="4223"/>
        <v/>
      </c>
      <c r="AF1748" s="833"/>
      <c r="AG1748" s="833"/>
      <c r="AH1748" s="91">
        <f>IF(AD1748="free",0,IF(AD1748="me",0,IF(G1748&gt;0,(VLOOKUP(A1748,'Discount Lookup'!J:K,2)*G1748),0)))</f>
        <v>0</v>
      </c>
      <c r="AI1748" s="92" t="str">
        <f>IF(G1748=0,"",IF(AD1748="free",(K1748*(1-$H$1784)),IF($AD$8="me",(K1748*(1-$H$1784)),IF(AD1748="me",(K1748*(1-$H$1784)),(K1748*(1-$H$1784))+AB1748))))</f>
        <v/>
      </c>
      <c r="AJ1748" s="828" t="str">
        <f t="shared" si="4148"/>
        <v/>
      </c>
      <c r="AK1748" s="828"/>
      <c r="AL1748" s="313" t="str">
        <f t="shared" si="4207"/>
        <v/>
      </c>
      <c r="AM1748" s="312"/>
      <c r="AN1748" s="101"/>
      <c r="AO1748" s="101"/>
      <c r="AP1748" s="101"/>
      <c r="AQ1748" s="101"/>
      <c r="AR1748" s="101"/>
      <c r="AS1748" s="101"/>
      <c r="AT1748" s="101"/>
    </row>
    <row r="1749" spans="1:46" ht="12.95" customHeight="1">
      <c r="A1749" s="505"/>
      <c r="B1749" s="103" t="s">
        <v>1677</v>
      </c>
      <c r="C1749" s="118"/>
      <c r="D1749" s="118"/>
      <c r="E1749" s="119"/>
      <c r="F1749" s="711"/>
      <c r="G1749" s="358"/>
      <c r="H1749" s="745"/>
      <c r="I1749" s="119"/>
      <c r="J1749" s="119"/>
      <c r="K1749" s="609"/>
      <c r="L1749" s="609"/>
      <c r="M1749" s="121"/>
      <c r="N1749" s="122" t="s">
        <v>331</v>
      </c>
      <c r="O1749" s="123"/>
      <c r="P1749" s="124"/>
      <c r="Q1749" s="124"/>
      <c r="R1749" s="83"/>
      <c r="S1749" s="82"/>
      <c r="T1749" s="540"/>
      <c r="U1749" s="83"/>
      <c r="V1749" s="100"/>
      <c r="W1749" s="100"/>
      <c r="X1749" s="100"/>
      <c r="Y1749" s="790"/>
      <c r="Z1749" s="838" t="str">
        <f t="shared" si="4147"/>
        <v/>
      </c>
      <c r="AA1749" s="838"/>
      <c r="AB1749" s="830" t="str">
        <f>IF(G1749=0,"",IF(AD1749="free","re-planting",IF(AD1749="me","not NVP, by",IF($AD$8="yes",(VLOOKUP(A1749,'Discount Lookup'!J:K,2)*G1749*(1-$AC$1786)*(1+$AC$1788)),IF(AD1749="NVP",(VLOOKUP(A1749,'Discount Lookup'!J:K,2)*G1749*(1-$AC$1786)*(1+$AC$1788)),IF(AD1749="free","re-planting",IF(G1749=0,"",IF($AD$8="",IF(AD1749="me","not NVP, by",IF(AD1749="",IF(G1749&gt;0,(VLOOKUP(A1749,'Discount Lookup'!J:K,2)*G1749*(1-$AC$1786)*(1+$AC$1788)),""),"")),"not NVP, by"))))))))</f>
        <v/>
      </c>
      <c r="AC1749" s="830"/>
      <c r="AD1749" s="375" t="str">
        <f t="shared" si="4222"/>
        <v/>
      </c>
      <c r="AE1749" s="833" t="str">
        <f t="shared" si="4223"/>
        <v/>
      </c>
      <c r="AF1749" s="833"/>
      <c r="AG1749" s="833"/>
      <c r="AH1749" s="91">
        <f>IF(AD1749="free",0,IF(AD1749="me",0,IF(G1749&gt;0,(VLOOKUP(A1749,'Discount Lookup'!J:K,2)*G1749),0)))</f>
        <v>0</v>
      </c>
      <c r="AI1749" s="92" t="str">
        <f>IF(AD1749="free",(K1749*(1-$H$1784)),IF(G1749=0,"",IF($AD$8="",IF(G1749=0,"",IF(AD1749="me",(K1749*(1-$H$1784)),(K1749*(1-$H$1784))+AB1749)),IF(K1749="Images","",IF(K1749=0,"",(K1749*(1-$H$1784)))))))</f>
        <v/>
      </c>
      <c r="AJ1749" s="828" t="str">
        <f t="shared" si="4148"/>
        <v/>
      </c>
      <c r="AK1749" s="828"/>
      <c r="AL1749" s="313" t="str">
        <f t="shared" si="4207"/>
        <v/>
      </c>
      <c r="AM1749" s="312"/>
      <c r="AN1749" s="101"/>
      <c r="AO1749" s="101"/>
      <c r="AP1749" s="101"/>
      <c r="AQ1749" s="101"/>
      <c r="AR1749" s="101"/>
      <c r="AS1749" s="101"/>
      <c r="AT1749" s="101"/>
    </row>
    <row r="1750" spans="1:46" ht="12.95" customHeight="1">
      <c r="A1750" s="926" t="s">
        <v>1674</v>
      </c>
      <c r="B1750" s="837"/>
      <c r="C1750" s="837"/>
      <c r="D1750" s="837"/>
      <c r="E1750" s="837"/>
      <c r="F1750" s="837"/>
      <c r="G1750" s="837"/>
      <c r="H1750" s="775" t="s">
        <v>825</v>
      </c>
      <c r="I1750" s="349" t="s">
        <v>280</v>
      </c>
      <c r="J1750" s="157"/>
      <c r="K1750" s="611" t="s">
        <v>45</v>
      </c>
      <c r="L1750" s="630" t="s">
        <v>46</v>
      </c>
      <c r="M1750" s="157"/>
      <c r="N1750" s="158" t="s">
        <v>1371</v>
      </c>
      <c r="O1750" s="158"/>
      <c r="P1750" s="164"/>
      <c r="Q1750" s="164"/>
      <c r="R1750" s="157"/>
      <c r="S1750" s="170"/>
      <c r="T1750" s="547"/>
      <c r="U1750" s="159" t="s">
        <v>1370</v>
      </c>
      <c r="V1750" s="100" t="b">
        <f>IF(G1750&gt;0,IF(AD1750="me","",G1750))</f>
        <v>0</v>
      </c>
      <c r="W1750" s="100"/>
      <c r="X1750" s="100"/>
      <c r="Y1750" s="790"/>
      <c r="Z1750" s="829" t="str">
        <f t="shared" ref="Z1750" si="4231">IF(G1750=0,"",IF(AD1750="me","",IF($AD$8="me","",IF(AD1750="free","warranty",IF($AD$8="yes","NVP planting:","to NVP install:")))))</f>
        <v/>
      </c>
      <c r="AA1750" s="829"/>
      <c r="AB1750" s="830" t="str">
        <f>IF(G1750=0,"",IF(AD1750="free","re-planting",IF(AD1750="me","not NVP, by",IF($AD$8="yes",(VLOOKUP(A1750,'Discount Lookup'!J:K,2)*G1750*(1-$AC$1786)*(1+$AC$1788)),IF(AD1750="NVP",(VLOOKUP(A1750,'Discount Lookup'!J:K,2)*G1750*(1-$AC$1786)*(1+$AC$1788)),IF(AD1750="free","re-planting",IF(G1750=0,"",IF($AD$8="",IF(AD1750="me","not NVP, by",IF(AD1750="",IF(G1750&gt;0,(VLOOKUP(A1750,'Discount Lookup'!J:K,2)*G1750*(1-$AC$1786)*(1+$AC$1788)),""),"")),"not NVP, by"))))))))</f>
        <v/>
      </c>
      <c r="AC1750" s="830"/>
      <c r="AD1750" s="375" t="str">
        <f t="shared" si="4222"/>
        <v/>
      </c>
      <c r="AE1750" s="833" t="str">
        <f t="shared" si="4223"/>
        <v/>
      </c>
      <c r="AF1750" s="833"/>
      <c r="AG1750" s="833"/>
      <c r="AH1750" s="91">
        <f>IF(AD1750="free",0,IF(AD1750="me",0,IF(G1750&gt;0,(VLOOKUP(A1750,'Discount Lookup'!J:K,2)*G1750),0)))</f>
        <v>0</v>
      </c>
      <c r="AI1750" s="92" t="str">
        <f>IF(AD1750="free",(K1750*(1-$H$1784)),IF(G1750=0,"",IF($AD$8="",IF(G1750=0,"",IF(AD1750="me",(K1750*(1-$H$1784)),(K1750*(1-$H$1784))+AB1750)),IF(K1750="Images","",IF(K1750=0,"",(K1750*(1-$H$1784)))))))</f>
        <v/>
      </c>
      <c r="AJ1750" s="828" t="str">
        <f t="shared" ref="AJ1750:AJ1752" si="4232">IF(G1750=0,"",IF(AD1750="me","  delivery-only",IF($AD$8="me","  delivery-only",CONCATENATE(" $",ROUND(AI1750/G1750,2)," each"))))</f>
        <v/>
      </c>
      <c r="AK1750" s="828"/>
      <c r="AL1750" s="313" t="str">
        <f t="shared" si="4207"/>
        <v/>
      </c>
      <c r="AM1750" s="312"/>
      <c r="AN1750" s="101"/>
      <c r="AO1750" s="101"/>
      <c r="AP1750" s="101"/>
      <c r="AQ1750" s="101"/>
      <c r="AR1750" s="101"/>
      <c r="AS1750" s="101"/>
      <c r="AT1750" s="101"/>
    </row>
    <row r="1751" spans="1:46" ht="12.95" customHeight="1">
      <c r="A1751" s="448">
        <v>1</v>
      </c>
      <c r="B1751" s="158" t="s">
        <v>50</v>
      </c>
      <c r="C1751" s="168" t="s">
        <v>136</v>
      </c>
      <c r="D1751" s="161" t="s">
        <v>87</v>
      </c>
      <c r="E1751" s="162">
        <v>12.95</v>
      </c>
      <c r="F1751" s="713" t="s">
        <v>1306</v>
      </c>
      <c r="G1751" s="357">
        <v>0</v>
      </c>
      <c r="H1751" s="748" t="str">
        <f t="shared" ref="H1751" si="4233">IF(G1751=0,"",IF(F1751="Qty=",IF(G1751=1,"plant","plants"),IF(F1751&gt;0.0001,"warranty","Error")))</f>
        <v/>
      </c>
      <c r="I1751" s="592">
        <f t="shared" ref="I1751" si="4234">IF(F1751="Qty=",(E1751*G1751),((E1751*(1-F1751))*G1751))</f>
        <v>0</v>
      </c>
      <c r="J1751" s="592">
        <f t="shared" ref="J1751" si="4235">IF(H1751="warranty",0,(I1751*($J$1782)))</f>
        <v>0</v>
      </c>
      <c r="K1751" s="834">
        <f t="shared" ref="K1751" si="4236">I1751+J1751</f>
        <v>0</v>
      </c>
      <c r="L1751" s="834"/>
      <c r="M1751" s="832" t="str">
        <f t="shared" ref="M1751" si="4237">IF($H$1784=0,"",IF(G1751=0,"",IF(F1751="Qty=",CONCATENATE("$",ROUND(K1751*(1-$H$1784),2)," with ",($H$1784*100),"% discount"),CONCATENATE("$",ROUND(K1751*(1-$H$1784),2)," with ",(($H$1784*100+F1751*100)-($H$1784*100*F1751)),IF(F1751&gt;0,"% discounts",IF($H$1781&gt;0,"% discounts","% discount"))))))</f>
        <v/>
      </c>
      <c r="N1751" s="832"/>
      <c r="O1751" s="832"/>
      <c r="P1751" s="832"/>
      <c r="Q1751" s="832"/>
      <c r="R1751" s="832"/>
      <c r="S1751" s="303">
        <f t="shared" ref="S1751" si="4238">E1751*G1751</f>
        <v>0</v>
      </c>
      <c r="T1751" s="541">
        <f>VLOOKUP(A1751,'Discount Lookup'!D:E,2,FALSE)*G1751</f>
        <v>0</v>
      </c>
      <c r="U1751" s="83">
        <f>VLOOKUP(A1751,'Discount Lookup'!G:H,2,FALSE)*G1751</f>
        <v>0</v>
      </c>
      <c r="V1751" s="100">
        <f>E1751*($J$1782)*G1751</f>
        <v>0</v>
      </c>
      <c r="W1751" s="100">
        <f t="shared" ref="W1751" si="4239">I1751</f>
        <v>0</v>
      </c>
      <c r="X1751" s="100" t="b">
        <f>IF(G1751&gt;0,IF(AD1751="me","",G1751))</f>
        <v>0</v>
      </c>
      <c r="Y1751" s="790"/>
      <c r="Z1751" s="838" t="str">
        <f t="shared" ref="Z1751:Z1752" si="4240">IF(G1751=0,"",IF(AD1751="me","",IF($AD$8="me","",IF(AD1751="free","warranty",IF($AD$8="yes","NVP planting:","to NVP install:")))))</f>
        <v/>
      </c>
      <c r="AA1751" s="838"/>
      <c r="AB1751" s="830" t="str">
        <f>IF(G1751=0,"",IF(AD1751="free","re-planting",IF(AD1751="me","not NVP, by",IF($AD$8="yes",(VLOOKUP(A1751,'Discount Lookup'!J:K,2)*G1751*(1-$AC$1786)*(1+$AC$1788)),IF(AD1751="NVP",(VLOOKUP(A1751,'Discount Lookup'!J:K,2)*G1751*(1-$AC$1786)*(1+$AC$1788)),IF(AD1751="free","re-planting",IF(G1751=0,"",IF($AD$8="",IF(AD1751="me","not NVP, by",IF(AD1751="",IF(G1751&gt;0,(VLOOKUP(A1751,'Discount Lookup'!J:K,2)*G1751*(1-$AC$1786)*(1+$AC$1788)),""),"")),"not NVP, by"))))))))</f>
        <v/>
      </c>
      <c r="AC1751" s="830"/>
      <c r="AD1751" s="375" t="str">
        <f t="shared" si="4222"/>
        <v/>
      </c>
      <c r="AE1751" s="833" t="str">
        <f t="shared" si="4223"/>
        <v/>
      </c>
      <c r="AF1751" s="833"/>
      <c r="AG1751" s="833"/>
      <c r="AH1751" s="91">
        <f>IF(AD1751="free",0,IF(AD1751="me",0,IF(G1751&gt;0,(VLOOKUP(A1751,'Discount Lookup'!J:K,2)*G1751),0)))</f>
        <v>0</v>
      </c>
      <c r="AI1751" s="92" t="str">
        <f>IF(G1751=0,"",IF(AD1751="free",(K1751*(1-$H$1784)),IF($AD$8="me",(K1751*(1-$H$1784)),IF(AD1751="me",(K1751*(1-$H$1784)),(K1751*(1-$H$1784))+AB1751))))</f>
        <v/>
      </c>
      <c r="AJ1751" s="828" t="str">
        <f t="shared" si="4232"/>
        <v/>
      </c>
      <c r="AK1751" s="828"/>
      <c r="AL1751" s="313" t="str">
        <f t="shared" si="4207"/>
        <v/>
      </c>
      <c r="AM1751" s="312"/>
      <c r="AN1751" s="101"/>
      <c r="AO1751" s="101"/>
      <c r="AP1751" s="101"/>
      <c r="AQ1751" s="101"/>
      <c r="AR1751" s="101"/>
      <c r="AS1751" s="101"/>
      <c r="AT1751" s="101"/>
    </row>
    <row r="1752" spans="1:46" ht="12.95" customHeight="1">
      <c r="A1752" s="505"/>
      <c r="B1752" s="103" t="s">
        <v>1676</v>
      </c>
      <c r="C1752" s="118"/>
      <c r="D1752" s="118"/>
      <c r="E1752" s="119"/>
      <c r="F1752" s="711"/>
      <c r="G1752" s="358"/>
      <c r="H1752" s="745"/>
      <c r="I1752" s="119"/>
      <c r="J1752" s="119"/>
      <c r="K1752" s="609"/>
      <c r="L1752" s="609"/>
      <c r="M1752" s="121"/>
      <c r="N1752" s="122" t="s">
        <v>331</v>
      </c>
      <c r="O1752" s="123"/>
      <c r="P1752" s="124"/>
      <c r="Q1752" s="124"/>
      <c r="R1752" s="83"/>
      <c r="S1752" s="82"/>
      <c r="T1752" s="540"/>
      <c r="U1752" s="83"/>
      <c r="V1752" s="100"/>
      <c r="W1752" s="100"/>
      <c r="X1752" s="100"/>
      <c r="Y1752" s="790"/>
      <c r="Z1752" s="838" t="str">
        <f t="shared" si="4240"/>
        <v/>
      </c>
      <c r="AA1752" s="838"/>
      <c r="AB1752" s="830" t="str">
        <f>IF(G1752=0,"",IF(AD1752="free","re-planting",IF(AD1752="me","not NVP, by",IF($AD$8="yes",(VLOOKUP(A1752,'Discount Lookup'!J:K,2)*G1752*(1-$AC$1786)*(1+$AC$1788)),IF(AD1752="NVP",(VLOOKUP(A1752,'Discount Lookup'!J:K,2)*G1752*(1-$AC$1786)*(1+$AC$1788)),IF(AD1752="free","re-planting",IF(G1752=0,"",IF($AD$8="",IF(AD1752="me","not NVP, by",IF(AD1752="",IF(G1752&gt;0,(VLOOKUP(A1752,'Discount Lookup'!J:K,2)*G1752*(1-$AC$1786)*(1+$AC$1788)),""),"")),"not NVP, by"))))))))</f>
        <v/>
      </c>
      <c r="AC1752" s="830"/>
      <c r="AD1752" s="375" t="str">
        <f t="shared" si="4222"/>
        <v/>
      </c>
      <c r="AE1752" s="833" t="str">
        <f t="shared" si="4223"/>
        <v/>
      </c>
      <c r="AF1752" s="833"/>
      <c r="AG1752" s="833"/>
      <c r="AH1752" s="91">
        <f>IF(AD1752="free",0,IF(AD1752="me",0,IF(G1752&gt;0,(VLOOKUP(A1752,'Discount Lookup'!J:K,2)*G1752),0)))</f>
        <v>0</v>
      </c>
      <c r="AI1752" s="92" t="str">
        <f>IF(AD1752="free",(K1752*(1-$H$1784)),IF(G1752=0,"",IF($AD$8="",IF(G1752=0,"",IF(AD1752="me",(K1752*(1-$H$1784)),(K1752*(1-$H$1784))+AB1752)),IF(K1752="Images","",IF(K1752=0,"",(K1752*(1-$H$1784)))))))</f>
        <v/>
      </c>
      <c r="AJ1752" s="828" t="str">
        <f t="shared" si="4232"/>
        <v/>
      </c>
      <c r="AK1752" s="828"/>
      <c r="AL1752" s="313" t="str">
        <f t="shared" si="4207"/>
        <v/>
      </c>
      <c r="AM1752" s="312"/>
      <c r="AN1752" s="101"/>
      <c r="AO1752" s="101"/>
      <c r="AP1752" s="101"/>
      <c r="AQ1752" s="101"/>
      <c r="AR1752" s="101"/>
      <c r="AS1752" s="101"/>
      <c r="AT1752" s="101"/>
    </row>
    <row r="1753" spans="1:46" ht="12.95" customHeight="1">
      <c r="A1753" s="386" t="s">
        <v>905</v>
      </c>
      <c r="B1753" s="379"/>
      <c r="C1753" s="379"/>
      <c r="D1753" s="379"/>
      <c r="E1753" s="379"/>
      <c r="F1753" s="726"/>
      <c r="G1753" s="395"/>
      <c r="H1753" s="775" t="s">
        <v>906</v>
      </c>
      <c r="I1753" s="164" t="s">
        <v>174</v>
      </c>
      <c r="J1753" s="157"/>
      <c r="K1753" s="611" t="s">
        <v>45</v>
      </c>
      <c r="L1753" s="630" t="s">
        <v>46</v>
      </c>
      <c r="M1753" s="157"/>
      <c r="N1753" s="175" t="s">
        <v>157</v>
      </c>
      <c r="O1753" s="175"/>
      <c r="P1753" s="175"/>
      <c r="Q1753" s="175"/>
      <c r="R1753" s="157"/>
      <c r="S1753" s="170"/>
      <c r="T1753" s="547"/>
      <c r="U1753" s="171"/>
      <c r="V1753" s="100" t="b">
        <f>IF(G1753&gt;0,IF(AD1753="me","",G1753))</f>
        <v>0</v>
      </c>
      <c r="W1753" s="100"/>
      <c r="X1753" s="100"/>
      <c r="Y1753" s="201"/>
      <c r="Z1753" s="829" t="str">
        <f t="shared" si="4147"/>
        <v/>
      </c>
      <c r="AA1753" s="829"/>
      <c r="AB1753" s="830" t="str">
        <f>IF(G1753=0,"",IF(AD1753="free","re-planting",IF(AD1753="me","not NVP, by",IF($AD$8="yes",(VLOOKUP(A1753,'Discount Lookup'!J:K,2)*G1753*(1-$AC$1786)*(1+$AC$1788)),IF(AD1753="NVP",(VLOOKUP(A1753,'Discount Lookup'!J:K,2)*G1753*(1-$AC$1786)*(1+$AC$1788)),IF(AD1753="free","re-planting",IF(G1753=0,"",IF($AD$8="",IF(AD1753="me","not NVP, by",IF(AD1753="",IF(G1753&gt;0,(VLOOKUP(A1753,'Discount Lookup'!J:K,2)*G1753*(1-$AC$1786)*(1+$AC$1788)),""),"")),"not NVP, by"))))))))</f>
        <v/>
      </c>
      <c r="AC1753" s="830"/>
      <c r="AD1753" s="375" t="str">
        <f t="shared" si="4117"/>
        <v/>
      </c>
      <c r="AE1753" s="833" t="str">
        <f t="shared" si="4116"/>
        <v/>
      </c>
      <c r="AF1753" s="833"/>
      <c r="AG1753" s="833"/>
      <c r="AH1753" s="91">
        <f>IF(AD1753="free",0,IF(AD1753="me",0,IF(G1753&gt;0,(VLOOKUP(A1753,'Discount Lookup'!J:K,2)*G1753),0)))</f>
        <v>0</v>
      </c>
      <c r="AI1753" s="92" t="str">
        <f>IF(G1753=0,"",IF(AD1753="free",(K1753*(1-$H$1784)),IF($AD$8="me",(K1753*(1-$H$1784)),IF(AD1753="me",(K1753*(1-$H$1784)),(K1753*(1-$H$1784))+AB1753))))</f>
        <v/>
      </c>
      <c r="AJ1753" s="828" t="str">
        <f t="shared" si="4148"/>
        <v/>
      </c>
      <c r="AK1753" s="828"/>
      <c r="AL1753" s="313" t="str">
        <f t="shared" si="4207"/>
        <v/>
      </c>
      <c r="AM1753" s="312"/>
      <c r="AN1753" s="101"/>
      <c r="AO1753" s="101"/>
      <c r="AP1753" s="101"/>
      <c r="AQ1753" s="101"/>
      <c r="AR1753" s="101"/>
      <c r="AS1753" s="101"/>
      <c r="AT1753" s="101"/>
    </row>
    <row r="1754" spans="1:46" ht="12.95" customHeight="1">
      <c r="A1754" s="383">
        <v>1</v>
      </c>
      <c r="B1754" s="158" t="s">
        <v>50</v>
      </c>
      <c r="C1754" s="168" t="s">
        <v>136</v>
      </c>
      <c r="D1754" s="161" t="s">
        <v>87</v>
      </c>
      <c r="E1754" s="162">
        <v>14.95</v>
      </c>
      <c r="F1754" s="713" t="s">
        <v>1306</v>
      </c>
      <c r="G1754" s="357">
        <v>0</v>
      </c>
      <c r="H1754" s="748" t="str">
        <f t="shared" ref="H1754:H1755" si="4241">IF(G1754=0,"",IF(F1754="Qty=",IF(G1754=1,"plant","plants"),IF(F1754&gt;0.0001,"warranty","Error")))</f>
        <v/>
      </c>
      <c r="I1754" s="592">
        <f t="shared" ref="I1754:I1755" si="4242">IF(F1754="Qty=",(E1754*G1754),((E1754*(1-F1754))*G1754))</f>
        <v>0</v>
      </c>
      <c r="J1754" s="592">
        <f t="shared" ref="J1754:J1755" si="4243">IF(H1754="warranty",0,(I1754*($J$1782)))</f>
        <v>0</v>
      </c>
      <c r="K1754" s="834">
        <f t="shared" ref="K1754:K1755" si="4244">I1754+J1754</f>
        <v>0</v>
      </c>
      <c r="L1754" s="834"/>
      <c r="M1754" s="832" t="str">
        <f t="shared" ref="M1754" si="4245">IF($H$1784=0,"",IF(G1754=0,"",IF(F1754="Qty=",CONCATENATE("$",ROUND(K1754*(1-$H$1784),2)," with ",($H$1784*100),"% discount"),CONCATENATE("$",ROUND(K1754*(1-$H$1784),2)," with ",(($H$1784*100+F1754*100)-($H$1784*100*F1754)),IF(F1754&gt;0,"% discounts",IF($H$1781&gt;0,"% discounts","% discount"))))))</f>
        <v/>
      </c>
      <c r="N1754" s="832"/>
      <c r="O1754" s="832"/>
      <c r="P1754" s="832"/>
      <c r="Q1754" s="832"/>
      <c r="R1754" s="832"/>
      <c r="S1754" s="303">
        <f t="shared" ref="S1754" si="4246">E1754*G1754</f>
        <v>0</v>
      </c>
      <c r="T1754" s="541">
        <f>VLOOKUP(A1754,'Discount Lookup'!D:E,2,FALSE)*G1754</f>
        <v>0</v>
      </c>
      <c r="U1754" s="83">
        <f>VLOOKUP(A1754,'Discount Lookup'!G:H,2,FALSE)*G1754</f>
        <v>0</v>
      </c>
      <c r="V1754" s="100">
        <f>E1754*($J$1782)*G1754</f>
        <v>0</v>
      </c>
      <c r="W1754" s="100">
        <f t="shared" ref="W1754" si="4247">I1754</f>
        <v>0</v>
      </c>
      <c r="X1754" s="100" t="b">
        <f>IF(G1754&gt;0,IF(AD1754="me","",G1754))</f>
        <v>0</v>
      </c>
      <c r="Y1754" s="790"/>
      <c r="Z1754" s="838" t="str">
        <f t="shared" si="4147"/>
        <v/>
      </c>
      <c r="AA1754" s="838"/>
      <c r="AB1754" s="830" t="str">
        <f>IF(G1754=0,"",IF(AD1754="free","re-planting",IF(AD1754="me","not NVP, by",IF($AD$8="yes",(VLOOKUP(A1754,'Discount Lookup'!J:K,2)*G1754*(1-$AC$1786)*(1+$AC$1788)),IF(AD1754="NVP",(VLOOKUP(A1754,'Discount Lookup'!J:K,2)*G1754*(1-$AC$1786)*(1+$AC$1788)),IF(AD1754="free","re-planting",IF(G1754=0,"",IF($AD$8="",IF(AD1754="me","not NVP, by",IF(AD1754="",IF(G1754&gt;0,(VLOOKUP(A1754,'Discount Lookup'!J:K,2)*G1754*(1-$AC$1786)*(1+$AC$1788)),""),"")),"not NVP, by"))))))))</f>
        <v/>
      </c>
      <c r="AC1754" s="830"/>
      <c r="AD1754" s="375" t="str">
        <f t="shared" si="4117"/>
        <v/>
      </c>
      <c r="AE1754" s="833" t="str">
        <f t="shared" si="4116"/>
        <v/>
      </c>
      <c r="AF1754" s="833"/>
      <c r="AG1754" s="833"/>
      <c r="AH1754" s="91">
        <f>IF(AD1754="free",0,IF(AD1754="me",0,IF(G1754&gt;0,(VLOOKUP(A1754,'Discount Lookup'!J:K,2)*G1754),0)))</f>
        <v>0</v>
      </c>
      <c r="AI1754" s="92" t="str">
        <f>IF(G1754=0,"",IF(AD1754="free",(K1754*(1-$H$1784)),IF($AD$8="me",(K1754*(1-$H$1784)),IF(AD1754="me",(K1754*(1-$H$1784)),(K1754*(1-$H$1784))+AB1754))))</f>
        <v/>
      </c>
      <c r="AJ1754" s="828" t="str">
        <f t="shared" ref="AJ1754" si="4248">IF(G1754=0,"",IF(AD1754="me","  delivery-only",IF($AD$8="me","  delivery-only",CONCATENATE(" $",ROUND(AI1754/G1754,2)," each"))))</f>
        <v/>
      </c>
      <c r="AK1754" s="828"/>
      <c r="AL1754" s="313" t="str">
        <f t="shared" si="4207"/>
        <v/>
      </c>
      <c r="AM1754" s="312"/>
      <c r="AN1754" s="101"/>
      <c r="AO1754" s="101"/>
      <c r="AP1754" s="101"/>
      <c r="AQ1754" s="101"/>
      <c r="AR1754" s="101"/>
      <c r="AS1754" s="101"/>
      <c r="AT1754" s="101"/>
    </row>
    <row r="1755" spans="1:46" ht="12.95" customHeight="1">
      <c r="A1755" s="383">
        <v>1</v>
      </c>
      <c r="B1755" s="158" t="s">
        <v>50</v>
      </c>
      <c r="C1755" s="168" t="s">
        <v>236</v>
      </c>
      <c r="D1755" s="161" t="s">
        <v>63</v>
      </c>
      <c r="E1755" s="162">
        <v>12.95</v>
      </c>
      <c r="F1755" s="713" t="s">
        <v>1306</v>
      </c>
      <c r="G1755" s="357">
        <v>0</v>
      </c>
      <c r="H1755" s="748" t="str">
        <f t="shared" si="4241"/>
        <v/>
      </c>
      <c r="I1755" s="592">
        <f t="shared" si="4242"/>
        <v>0</v>
      </c>
      <c r="J1755" s="592">
        <f t="shared" si="4243"/>
        <v>0</v>
      </c>
      <c r="K1755" s="834">
        <f t="shared" si="4244"/>
        <v>0</v>
      </c>
      <c r="L1755" s="834"/>
      <c r="M1755" s="832" t="str">
        <f t="shared" ref="M1755" si="4249">IF($H$1784=0,"",IF(G1755=0,"",IF(F1755="Qty=",CONCATENATE("$",ROUND(K1755*(1-$H$1784),2)," with ",($H$1784*100),"% discount"),CONCATENATE("$",ROUND(K1755*(1-$H$1784),2)," with ",(($H$1784*100+F1755*100)-($H$1784*100*F1755)),IF(F1755&gt;0,"% discounts",IF($H$1781&gt;0,"% discounts","% discount"))))))</f>
        <v/>
      </c>
      <c r="N1755" s="832"/>
      <c r="O1755" s="832"/>
      <c r="P1755" s="832"/>
      <c r="Q1755" s="832"/>
      <c r="R1755" s="832"/>
      <c r="S1755" s="303">
        <f t="shared" ref="S1755" si="4250">E1755*G1755</f>
        <v>0</v>
      </c>
      <c r="T1755" s="541">
        <f>VLOOKUP(A1755,'Discount Lookup'!D:E,2,FALSE)*G1755</f>
        <v>0</v>
      </c>
      <c r="U1755" s="83">
        <f>VLOOKUP(A1755,'Discount Lookup'!G:H,2,FALSE)*G1755</f>
        <v>0</v>
      </c>
      <c r="V1755" s="100">
        <f>E1755*($J$1782)*G1755</f>
        <v>0</v>
      </c>
      <c r="W1755" s="100">
        <f t="shared" ref="W1755" si="4251">I1755</f>
        <v>0</v>
      </c>
      <c r="X1755" s="100" t="b">
        <f>IF(G1755&gt;0,IF(AD1755="me","",G1755))</f>
        <v>0</v>
      </c>
      <c r="Y1755" s="201"/>
      <c r="Z1755" s="829" t="str">
        <f t="shared" si="4147"/>
        <v/>
      </c>
      <c r="AA1755" s="829"/>
      <c r="AB1755" s="830" t="str">
        <f>IF(G1755=0,"",IF(AD1755="free","re-planting",IF(AD1755="me","not NVP, by",IF($AD$8="yes",(VLOOKUP(A1755,'Discount Lookup'!J:K,2)*G1755*(1-$AC$1786)*(1+$AC$1788)),IF(AD1755="NVP",(VLOOKUP(A1755,'Discount Lookup'!J:K,2)*G1755*(1-$AC$1786)*(1+$AC$1788)),IF(AD1755="free","re-planting",IF(G1755=0,"",IF($AD$8="",IF(AD1755="me","not NVP, by",IF(AD1755="",IF(G1755&gt;0,(VLOOKUP(A1755,'Discount Lookup'!J:K,2)*G1755*(1-$AC$1786)*(1+$AC$1788)),""),"")),"not NVP, by"))))))))</f>
        <v/>
      </c>
      <c r="AC1755" s="830"/>
      <c r="AD1755" s="375" t="str">
        <f t="shared" si="4117"/>
        <v/>
      </c>
      <c r="AE1755" s="833" t="str">
        <f t="shared" si="4116"/>
        <v/>
      </c>
      <c r="AF1755" s="833"/>
      <c r="AG1755" s="833"/>
      <c r="AH1755" s="91">
        <f>IF(AD1755="free",0,IF(AD1755="me",0,IF(G1755&gt;0,(VLOOKUP(A1755,'Discount Lookup'!J:K,2)*G1755),0)))</f>
        <v>0</v>
      </c>
      <c r="AI1755" s="92" t="str">
        <f>IF(G1755=0,"",IF(AD1755="free",(K1755*(1-$H$1784)),IF($AD$8="me",(K1755*(1-$H$1784)),IF(AD1755="me",(K1755*(1-$H$1784)),(K1755*(1-$H$1784))+AB1755))))</f>
        <v/>
      </c>
      <c r="AJ1755" s="828" t="str">
        <f t="shared" si="4148"/>
        <v/>
      </c>
      <c r="AK1755" s="828"/>
      <c r="AL1755" s="313" t="str">
        <f t="shared" si="4207"/>
        <v/>
      </c>
      <c r="AM1755" s="312"/>
      <c r="AN1755" s="101"/>
      <c r="AO1755" s="101"/>
      <c r="AP1755" s="101"/>
      <c r="AQ1755" s="101"/>
      <c r="AR1755" s="101"/>
      <c r="AS1755" s="101"/>
      <c r="AT1755" s="101"/>
    </row>
    <row r="1756" spans="1:46" ht="12.95" customHeight="1">
      <c r="A1756" s="394"/>
      <c r="B1756" s="173" t="s">
        <v>907</v>
      </c>
      <c r="C1756" s="213"/>
      <c r="D1756" s="180"/>
      <c r="E1756" s="214"/>
      <c r="F1756" s="724"/>
      <c r="G1756" s="365"/>
      <c r="H1756" s="744"/>
      <c r="I1756" s="214"/>
      <c r="J1756" s="214"/>
      <c r="K1756" s="623"/>
      <c r="L1756" s="623"/>
      <c r="M1756" s="212"/>
      <c r="N1756" s="174" t="s">
        <v>857</v>
      </c>
      <c r="O1756" s="123"/>
      <c r="P1756" s="124"/>
      <c r="Q1756" s="124"/>
      <c r="R1756" s="83">
        <f>IF(F1756=0,E1756*($J$1782)*G1756,0)</f>
        <v>0</v>
      </c>
      <c r="S1756" s="82">
        <f t="shared" ref="S1756:S1773" si="4252">E1756*G1756</f>
        <v>0</v>
      </c>
      <c r="T1756" s="540"/>
      <c r="U1756" s="83"/>
      <c r="V1756" s="100" t="b">
        <f>IF(G1756&gt;0,IF(AD1756="me","",G1756))</f>
        <v>0</v>
      </c>
      <c r="W1756" s="100"/>
      <c r="X1756" s="100"/>
      <c r="Y1756" s="201"/>
      <c r="Z1756" s="829"/>
      <c r="AA1756" s="829"/>
      <c r="AB1756" s="830"/>
      <c r="AC1756" s="830"/>
      <c r="AD1756" s="375" t="str">
        <f t="shared" si="4117"/>
        <v/>
      </c>
      <c r="AE1756" s="833"/>
      <c r="AF1756" s="833"/>
      <c r="AG1756" s="833"/>
      <c r="AH1756" s="91">
        <f>IF(AD1756="free",0,IF(AD1756="me",0,IF(G1756&gt;0,(VLOOKUP(A1756,'Discount Lookup'!J:K,2)*G1756),0)))</f>
        <v>0</v>
      </c>
      <c r="AI1756" s="92" t="str">
        <f>IF(G1756=0,"",IF(AD1756="free",(K1756*(1-$H$1784)),IF($AD$8="me",(K1756*(1-$H$1784)),IF(AD1756="me",(K1756*(1-$H$1784)),(K1756*(1-$H$1784))+AB1756))))</f>
        <v/>
      </c>
      <c r="AJ1756" s="828" t="str">
        <f t="shared" si="4148"/>
        <v/>
      </c>
      <c r="AK1756" s="828"/>
      <c r="AL1756" s="313" t="str">
        <f t="shared" si="4207"/>
        <v/>
      </c>
      <c r="AM1756" s="312"/>
      <c r="AN1756" s="101"/>
      <c r="AO1756" s="101"/>
      <c r="AP1756" s="101"/>
      <c r="AQ1756" s="101"/>
      <c r="AR1756" s="101"/>
      <c r="AS1756" s="101"/>
      <c r="AT1756" s="101"/>
    </row>
    <row r="1757" spans="1:46" ht="12.95" customHeight="1">
      <c r="A1757" s="190"/>
      <c r="B1757" s="48"/>
      <c r="C1757" s="104"/>
      <c r="D1757" s="104"/>
      <c r="E1757" s="105"/>
      <c r="F1757" s="709"/>
      <c r="G1757" s="358"/>
      <c r="H1757" s="743"/>
      <c r="I1757" s="102"/>
      <c r="J1757" s="102"/>
      <c r="K1757" s="840" t="s">
        <v>125</v>
      </c>
      <c r="L1757" s="840"/>
      <c r="M1757" s="121"/>
      <c r="P1757" s="152"/>
      <c r="Q1757" s="841"/>
      <c r="R1757" s="841"/>
      <c r="S1757" s="841"/>
      <c r="T1757" s="841"/>
      <c r="U1757" s="841"/>
      <c r="V1757" s="841"/>
      <c r="Y1757" s="132"/>
      <c r="Z1757" s="829"/>
      <c r="AA1757" s="829"/>
      <c r="AB1757" s="830"/>
      <c r="AC1757" s="830"/>
      <c r="AD1757" s="375" t="str">
        <f t="shared" si="4117"/>
        <v/>
      </c>
      <c r="AE1757" s="833"/>
      <c r="AF1757" s="833"/>
      <c r="AG1757" s="833"/>
      <c r="AH1757" s="91">
        <f>IF(AD1803="free",0,IF(AD1803="me",0,IF(G1757&gt;0,(VLOOKUP(A1757,'Discount Lookup'!J:K,2)*G1757),0)))</f>
        <v>0</v>
      </c>
      <c r="AI1757" s="92" t="str">
        <f>IF(G1757=0,"",IF(AD1803="free",(K1757*(1-$H$1784)),IF($AD$8="me",(K1757*(1-$H$1784)),IF(AD1803="me",(K1757*(1-$H$1784)),(K1757*(1-$H$1784))+AB1803))))</f>
        <v/>
      </c>
      <c r="AJ1757" s="828" t="str">
        <f>IF(G1757=0,"",IF(AD1803="me","  delivery-only",IF($AD$8="me","  delivery-only",CONCATENATE(" $",ROUND(AI1757/G1757,2)," each"))))</f>
        <v/>
      </c>
      <c r="AK1757" s="828"/>
      <c r="AL1757" s="313" t="str">
        <f>IF(AD1803="free","      ~ discounts included, no tax or planting fee applies ~",IF(G1757=0,"",IF($AD$8="me",CONCATENATE(" $",ROUND(AI1757/G1757,2)," per plant, with tax &amp; discount"),IF(AD1803="me",CONCATENATE(" $",ROUND(AI1757/G1757,2)," per plant, with tax &amp; discount"),CONCATENATE("= $",ROUND((K1757*(1-$H$1784))/G1757,2)," per plant + $",AB1803/G1757,(" per planting      ~ includes tax &amp; discounts ~"))))))</f>
        <v/>
      </c>
      <c r="AM1757" s="312"/>
      <c r="AN1757" s="101"/>
      <c r="AO1757" s="101"/>
      <c r="AP1757" s="101"/>
      <c r="AQ1757" s="101"/>
      <c r="AR1757" s="101"/>
      <c r="AS1757" s="101"/>
      <c r="AT1757" s="101"/>
    </row>
    <row r="1758" spans="1:46" ht="12.95" customHeight="1">
      <c r="A1758" s="961" t="s">
        <v>908</v>
      </c>
      <c r="B1758" s="962"/>
      <c r="C1758" s="962"/>
      <c r="D1758" s="962"/>
      <c r="E1758" s="962"/>
      <c r="F1758" s="962"/>
      <c r="G1758" s="962"/>
      <c r="H1758" s="962"/>
      <c r="I1758" s="962"/>
      <c r="J1758" s="962"/>
      <c r="K1758" s="962"/>
      <c r="L1758" s="962"/>
      <c r="P1758" s="124"/>
      <c r="Q1758" s="124"/>
      <c r="R1758" s="83">
        <f>IF(F1758=0,E1758*($J$1782)*G1758,0)</f>
        <v>0</v>
      </c>
      <c r="S1758" s="82">
        <f t="shared" si="4252"/>
        <v>0</v>
      </c>
      <c r="T1758" s="540"/>
      <c r="U1758" s="83"/>
      <c r="V1758" s="100" t="b">
        <f>IF(G1758&gt;0,IF(AC1804="me","",G1758))</f>
        <v>0</v>
      </c>
      <c r="W1758" s="100"/>
      <c r="X1758" s="100"/>
      <c r="Y1758" s="201"/>
      <c r="Z1758" s="829"/>
      <c r="AA1758" s="829"/>
      <c r="AB1758" s="830"/>
      <c r="AC1758" s="830"/>
      <c r="AD1758" s="375" t="str">
        <f t="shared" si="4117"/>
        <v/>
      </c>
      <c r="AE1758" s="833"/>
      <c r="AF1758" s="833"/>
      <c r="AG1758" s="833"/>
      <c r="AH1758" s="91">
        <f>IF(AC1804="free",0,IF(AC1804="me",0,IF(G1758&gt;0,(VLOOKUP(A1758,'Discount Lookup'!J:K,2)*G1758),0)))</f>
        <v>0</v>
      </c>
      <c r="AI1758" s="92" t="str">
        <f>IF(G1758=0,"",IF(AC1804="free",(K1758*(1-$H$1784)),IF($AD$8="me",(K1758*(1-$H$1784)),IF(AC1804="me",(K1758*(1-$H$1784)),(K1758*(1-$H$1784))+AA1804))))</f>
        <v/>
      </c>
      <c r="AJ1758" s="828" t="str">
        <f>IF(G1758=0,"",IF(AC1804="me","  delivery-only",IF($AD$8="me","  delivery-only",CONCATENATE(" $",ROUND(AI1758/G1758,2)," each"))))</f>
        <v/>
      </c>
      <c r="AK1758" s="828"/>
      <c r="AL1758" s="313" t="str">
        <f>IF(AC1804="free","      ~ discounts included, no tax or planting fee applies ~",IF(G1758=0,"",IF($AD$8="me",CONCATENATE(" $",ROUND(AI1758/G1758,2)," per plant, with tax &amp; discount"),IF(AC1804="me",CONCATENATE(" $",ROUND(AI1758/G1758,2)," per plant, with tax &amp; discount"),CONCATENATE("= $",ROUND((K1758*(1-$H$1784))/G1758,2)," per plant + $",AA1804/G1758,(" per planting      ~ includes tax &amp; discounts ~"))))))</f>
        <v/>
      </c>
      <c r="AM1758" s="312"/>
      <c r="AN1758" s="101"/>
      <c r="AO1758" s="101"/>
      <c r="AP1758" s="101"/>
      <c r="AQ1758" s="101"/>
      <c r="AR1758" s="101"/>
      <c r="AS1758" s="101"/>
      <c r="AT1758" s="101"/>
    </row>
    <row r="1759" spans="1:46" ht="12.95" customHeight="1">
      <c r="A1759" s="515"/>
      <c r="B1759" s="511"/>
      <c r="C1759" s="512"/>
      <c r="D1759" s="512"/>
      <c r="E1759" s="513"/>
      <c r="F1759" s="727"/>
      <c r="G1759" s="514"/>
      <c r="H1759" s="780"/>
      <c r="I1759" s="323"/>
      <c r="J1759" s="323"/>
      <c r="K1759" s="624"/>
      <c r="L1759" s="624"/>
      <c r="M1759" s="832" t="str">
        <f t="shared" ref="M1759" si="4253">IF($H$1784=0,"",IF(G1759=0,"",IF(F1759="Qty=",CONCATENATE("$",ROUND(K1759*(1-$H$1784),2)," with ",($H$1784*100),"% discount"),CONCATENATE("$",ROUND(K1759*(1-$H$1784),2)," with ",(($H$1784*100+F1759*100)-($H$1784*100*F1759)),IF(F1759&gt;0,"% discounts",IF($H$1781&gt;0,"% discounts","% discount"))))))</f>
        <v/>
      </c>
      <c r="N1759" s="832"/>
      <c r="O1759" s="832"/>
      <c r="P1759" s="832"/>
      <c r="Q1759" s="832"/>
      <c r="R1759" s="832"/>
      <c r="S1759" s="303">
        <f t="shared" si="4252"/>
        <v>0</v>
      </c>
      <c r="T1759" s="541">
        <f>VLOOKUP(A1759,'Discount Lookup'!D:E,2,FALSE)*G1759</f>
        <v>0</v>
      </c>
      <c r="U1759" s="83">
        <f>VLOOKUP(A1759,'Discount Lookup'!G:H,2,FALSE)*G1759</f>
        <v>0</v>
      </c>
      <c r="V1759" s="100">
        <f>E1759*($J$1782)*G1759</f>
        <v>0</v>
      </c>
      <c r="W1759" s="100">
        <f t="shared" ref="W1759" si="4254">I1759</f>
        <v>0</v>
      </c>
      <c r="X1759" s="100" t="b">
        <f>IF(G1759&gt;0,IF(AD1759="me","",G1759))</f>
        <v>0</v>
      </c>
      <c r="Y1759" s="790"/>
      <c r="Z1759" s="838" t="str">
        <f t="shared" ref="Z1759" si="4255">IF(G1759=0,"",IF(AD1759="me","",IF($AD$8="me","",IF(AD1759="free","warranty",IF($AD$8="yes","NVP planting:","to NVP install:")))))</f>
        <v/>
      </c>
      <c r="AA1759" s="838"/>
      <c r="AB1759" s="830" t="str">
        <f>IF(G1759=0,"",IF(AD1759="free","re-planting",IF(AD1759="me","not NVP, by",IF($AD$8="yes",(VLOOKUP(A1759,'Discount Lookup'!J:K,2)*G1759*(1-$AC$1786)*(1+$AC$1788)),IF(AD1759="NVP",(VLOOKUP(A1759,'Discount Lookup'!J:K,2)*G1759*(1-$AC$1786)*(1+$AC$1788)),IF(AD1759="free","re-planting",IF(G1759=0,"",IF($AD$8="",IF(AD1759="me","not NVP, by",IF(AD1759="",IF(G1759&gt;0,(VLOOKUP(A1759,'Discount Lookup'!J:K,2)*G1759*(1-$AC$1786)*(1+$AC$1788)),""),"")),"not NVP, by"))))))))</f>
        <v/>
      </c>
      <c r="AC1759" s="830"/>
      <c r="AD1759" s="375" t="str">
        <f t="shared" si="4117"/>
        <v/>
      </c>
      <c r="AE1759" s="833" t="str">
        <f t="shared" ref="AE1759" si="4256">IF(G1759&gt;0,(CONCATENATE((G1759)," quantity, ",(A1759)," ",B1759)),"")</f>
        <v/>
      </c>
      <c r="AF1759" s="833"/>
      <c r="AG1759" s="833"/>
      <c r="AH1759" s="91">
        <f>IF(AD1759="free",0,IF(AD1759="me",0,IF(G1759&gt;0,(VLOOKUP(A1759,'Discount Lookup'!J:K,2)*G1759),0)))</f>
        <v>0</v>
      </c>
      <c r="AI1759" s="92" t="str">
        <f>IF(G1759=0,"",IF(AD1759="free",(K1759*(1-$H$1784)),IF($AD$8="me",(K1759*(1-$H$1784)),IF(AD1759="me",(K1759*(1-$H$1784)),(K1759*(1-$H$1784))+AB1759))))</f>
        <v/>
      </c>
      <c r="AJ1759" s="828" t="str">
        <f t="shared" ref="AJ1759" si="4257">IF(G1759=0,"",IF(AD1759="me","  delivery-only",IF($AD$8="me","  delivery-only",CONCATENATE(" $",ROUND(AI1759/G1759,2)," each"))))</f>
        <v/>
      </c>
      <c r="AK1759" s="828"/>
      <c r="AL1759" s="313" t="str">
        <f>IF(AD1759="free","      ~ discounts included, no tax or planting fee applies ~",IF(G1759=0,"",IF($AD$8="me",CONCATENATE(" $",ROUND(AI1759/G1759,2)," per plant, with tax &amp; discount"),IF(AD1759="me",CONCATENATE(" $",ROUND(AI1759/G1759,2)," per plant, with tax &amp; discount"),CONCATENATE("= $",ROUND((K1759*(1-$H$1784))/G1759,2)," per plant + $",AB1759/G1759,(" per planting      ~ includes tax &amp; discounts ~"))))))</f>
        <v/>
      </c>
      <c r="AM1759" s="312"/>
      <c r="AN1759" s="101"/>
      <c r="AO1759" s="101"/>
      <c r="AP1759" s="101"/>
      <c r="AQ1759" s="101"/>
      <c r="AR1759" s="101"/>
      <c r="AS1759" s="101"/>
      <c r="AT1759" s="101"/>
    </row>
    <row r="1760" spans="1:46" ht="12.95" customHeight="1">
      <c r="A1760" s="304">
        <v>0</v>
      </c>
      <c r="B1760" s="222" t="s">
        <v>50</v>
      </c>
      <c r="C1760" s="593"/>
      <c r="D1760" s="305" t="s">
        <v>909</v>
      </c>
      <c r="E1760" s="322">
        <v>0</v>
      </c>
      <c r="F1760" s="728" t="s">
        <v>1306</v>
      </c>
      <c r="G1760" s="357">
        <v>0</v>
      </c>
      <c r="H1760" s="759" t="str">
        <f t="shared" ref="H1760" si="4258">IF(G1760=0,"",IF(F1760="Qty=",IF(G1760=1,"plant","plants"),IF(F1760&gt;0.0001,"warranty","Error")))</f>
        <v/>
      </c>
      <c r="I1760" s="323">
        <f t="shared" ref="I1760" si="4259">IF(F1760="Qty=",(E1760*G1760),((E1760*(1-F1760))*G1760))</f>
        <v>0</v>
      </c>
      <c r="J1760" s="323">
        <f>IF(H1760="warranty",0,E1760*($J$1782)*G1760)</f>
        <v>0</v>
      </c>
      <c r="K1760" s="911">
        <f t="shared" ref="K1760" si="4260">IF(F1760&gt;0,I1760,I1760+J1760)</f>
        <v>0</v>
      </c>
      <c r="L1760" s="911"/>
      <c r="M1760" s="832" t="str">
        <f t="shared" ref="M1760" si="4261">IF($H$1784=0,"",IF(G1760=0,"",IF(F1760="Qty=",CONCATENATE("$",ROUND(K1760*(1-$H$1784),2)," with ",($H$1784*100),"% discount"),CONCATENATE("$",ROUND(K1760*(1-$H$1784),2)," with ",(($H$1784*100+F1760*100)-($H$1784*100*F1760)),IF(F1760&gt;0,"% discounts",IF($H$1781&gt;0,"% discounts","% discount"))))))</f>
        <v/>
      </c>
      <c r="N1760" s="832"/>
      <c r="O1760" s="832"/>
      <c r="P1760" s="832"/>
      <c r="Q1760" s="832"/>
      <c r="R1760" s="832"/>
      <c r="S1760" s="303">
        <f t="shared" si="4252"/>
        <v>0</v>
      </c>
      <c r="T1760" s="541">
        <f>VLOOKUP(A1760,'Discount Lookup'!D:E,2,FALSE)*G1760</f>
        <v>0</v>
      </c>
      <c r="U1760" s="83">
        <f>VLOOKUP(A1760,'Discount Lookup'!G:H,2,FALSE)*G1760</f>
        <v>0</v>
      </c>
      <c r="V1760" s="100">
        <f>E1760*($J$1782)*G1760</f>
        <v>0</v>
      </c>
      <c r="W1760" s="100">
        <f t="shared" ref="W1760" si="4262">I1760</f>
        <v>0</v>
      </c>
      <c r="X1760" s="100" t="b">
        <f>IF(G1760&gt;0,IF(AD1760="me","",G1760))</f>
        <v>0</v>
      </c>
      <c r="Y1760" s="790"/>
      <c r="Z1760" s="838" t="str">
        <f t="shared" ref="Z1760" si="4263">IF(G1760=0,"",IF(AD1760="me","",IF($AD$8="me","",IF(AD1760="free","warranty",IF($AD$8="yes","NVP planting:","to NVP install:")))))</f>
        <v/>
      </c>
      <c r="AA1760" s="838"/>
      <c r="AB1760" s="830" t="str">
        <f>IF(G1760=0,"",IF(AD1760="free","re-planting",IF(AD1760="me","not NVP, by",IF($AD$8="yes",(VLOOKUP(A1760,'Discount Lookup'!J:K,2)*G1760*(1-$AC$1786)*(1+$AC$1788)),IF(AD1760="NVP",(VLOOKUP(A1760,'Discount Lookup'!J:K,2)*G1760*(1-$AC$1786)*(1+$AC$1788)),IF(AD1760="free","re-planting",IF(G1760=0,"",IF($AD$8="",IF(AD1760="me","not NVP, by",IF(AD1760="",IF(G1760&gt;0,(VLOOKUP(A1760,'Discount Lookup'!J:K,2)*G1760*(1-$AC$1786)*(1+$AC$1788)),""),"")),"not NVP, by"))))))))</f>
        <v/>
      </c>
      <c r="AC1760" s="830"/>
      <c r="AD1760" s="375" t="str">
        <f t="shared" ref="AD1760" si="4264">IF(G1760=0,"",IF($AD$8="me","me",IF(H1760="warranty","free",IF($AD$8="yes","NVP",""))))</f>
        <v/>
      </c>
      <c r="AE1760" s="833" t="str">
        <f t="shared" ref="AE1760" si="4265">IF(G1760&gt;0,(CONCATENATE((G1760)," quantity, ",(A1760)," ",B1760)),"")</f>
        <v/>
      </c>
      <c r="AF1760" s="833"/>
      <c r="AG1760" s="833"/>
      <c r="AH1760" s="91">
        <f>IF(AD1760="free",0,IF(AD1760="me",0,IF(G1760&gt;0,(VLOOKUP(A1760,'Discount Lookup'!J:K,2)*G1760),0)))</f>
        <v>0</v>
      </c>
      <c r="AI1760" s="92" t="str">
        <f>IF(G1760=0,"",IF(AD1760="free",(K1760*(1-$H$1784)),IF($AD$8="me",(K1760*(1-$H$1784)),IF(AD1760="me",(K1760*(1-$H$1784)),(K1760*(1-$H$1784))+AB1760))))</f>
        <v/>
      </c>
      <c r="AJ1760" s="828" t="str">
        <f>IF(G1760=0,"",IF(AD1807="me","  delivery-only",IF($AD$8="me","  delivery-only",CONCATENATE(" $",ROUND(AI1760/G1760,2)," each"))))</f>
        <v/>
      </c>
      <c r="AK1760" s="828"/>
      <c r="AL1760" s="313" t="str">
        <f>IF(AD1807="free","      ~ discounts included, no tax or planting fee applies ~",IF(G1760=0,"",IF($AD$8="me",CONCATENATE(" $",ROUND(AI1760/G1760,2)," per plant, with tax &amp; discount"),IF(AD1807="me",CONCATENATE(" $",ROUND(AI1760/G1760,2)," per plant, with tax &amp; discount"),CONCATENATE("= $",ROUND((K1760*(1-$H$1784))/G1760,2)," per plant + $",AB1807/G1760,(" per planting      ~ includes tax &amp; discounts ~"))))))</f>
        <v/>
      </c>
      <c r="AM1760" s="312"/>
      <c r="AN1760" s="101"/>
      <c r="AO1760" s="101"/>
      <c r="AP1760" s="101"/>
      <c r="AQ1760" s="101"/>
      <c r="AR1760" s="101"/>
      <c r="AS1760" s="101"/>
      <c r="AT1760" s="101"/>
    </row>
    <row r="1761" spans="1:46" ht="12.95" customHeight="1">
      <c r="A1761" s="502"/>
      <c r="C1761" s="97"/>
      <c r="D1761" s="97"/>
      <c r="E1761" s="224"/>
      <c r="F1761" s="729"/>
      <c r="G1761" s="366"/>
      <c r="H1761" s="745"/>
      <c r="I1761" s="119"/>
      <c r="J1761" s="119"/>
      <c r="K1761" s="609"/>
      <c r="L1761" s="609"/>
      <c r="M1761" s="121"/>
      <c r="N1761" s="121"/>
      <c r="O1761" s="123"/>
      <c r="P1761" s="124"/>
      <c r="Q1761" s="124"/>
      <c r="R1761" s="83"/>
      <c r="S1761" s="82">
        <f t="shared" si="4252"/>
        <v>0</v>
      </c>
      <c r="T1761" s="540"/>
      <c r="U1761" s="83"/>
      <c r="V1761" s="100" t="b">
        <f>IF(G1761&gt;0,IF(AC1809="me","",G1761))</f>
        <v>0</v>
      </c>
      <c r="W1761" s="100"/>
      <c r="X1761" s="100"/>
      <c r="Y1761" s="201"/>
      <c r="Z1761" s="829" t="str">
        <f t="shared" ref="Z1761:Z1764" si="4266">IF(G1761=0,"",IF(AD1761="me","",IF($AD$8="me","",IF(AD1761="free","warranty",IF($AD$8="yes","NVP planting:","to NVP install:")))))</f>
        <v/>
      </c>
      <c r="AA1761" s="829"/>
      <c r="AB1761" s="830" t="str">
        <f>IF(G1761=0,"",IF(AD1761="free","re-planting",IF(AD1761="me","not NVP, by",IF($AD$8="yes",(VLOOKUP(A1761,'Discount Lookup'!J:K,2)*G1761*(1-$AC$1786)*(1+$AC$1788)),IF(AD1761="NVP",(VLOOKUP(A1761,'Discount Lookup'!J:K,2)*G1761*(1-$AC$1786)*(1+$AC$1788)),IF(AD1761="free","re-planting",IF(G1761=0,"",IF($AD$8="",IF(AD1761="me","not NVP, by",IF(AD1761="",IF(G1761&gt;0,(VLOOKUP(A1761,'Discount Lookup'!J:K,2)*G1761*(1-$AC$1786)*(1+$AC$1788)),""),"")),"not NVP, by"))))))))</f>
        <v/>
      </c>
      <c r="AC1761" s="830"/>
      <c r="AD1761" s="375" t="str">
        <f t="shared" si="4117"/>
        <v/>
      </c>
      <c r="AE1761" s="833" t="str">
        <f t="shared" ref="AE1761:AE1764" si="4267">IF(G1761&gt;0,(CONCATENATE((G1761)," quantity, ",(A1761)," ",B1761)),"")</f>
        <v/>
      </c>
      <c r="AF1761" s="833"/>
      <c r="AG1761" s="833"/>
      <c r="AH1761" s="91">
        <f>IF(AC1809="free",0,IF(AC1809="me",0,IF(G1761&gt;0,(VLOOKUP(A1761,'Discount Lookup'!J:K,2)*G1761),0)))</f>
        <v>0</v>
      </c>
      <c r="AI1761" s="92" t="str">
        <f>IF(G1761=0,"",IF(AC1809="free",(K1761*(1-$H$1784)),IF($AD$8="me",(K1761*(1-$H$1784)),IF(AC1809="me",(K1761*(1-$H$1784)),(K1761*(1-$H$1784))+Z1809))))</f>
        <v/>
      </c>
      <c r="AJ1761" s="828" t="str">
        <f>IF(G1761=0,"",IF(AC1809="me","  delivery-only",IF($AD$8="me","  delivery-only",CONCATENATE(" $",ROUND(AI1761/G1761,2)," each"))))</f>
        <v/>
      </c>
      <c r="AK1761" s="828"/>
      <c r="AL1761" s="313" t="str">
        <f>IF(AC1809="free","      ~ discounts included, no tax or planting fee applies ~",IF(G1761=0,"",IF($AD$8="me",CONCATENATE(" $",ROUND(AI1761/G1761,2)," per plant, with tax &amp; discount"),IF(AC1809="me",CONCATENATE(" $",ROUND(AI1761/G1761,2)," per plant, with tax &amp; discount"),CONCATENATE("= $",ROUND((K1761*(1-$H$1784))/G1761,2)," per plant + $",Z1809/G1761,(" per planting      ~ includes tax &amp; discounts ~"))))))</f>
        <v/>
      </c>
      <c r="AM1761" s="312"/>
      <c r="AN1761" s="101"/>
      <c r="AO1761" s="101"/>
      <c r="AP1761" s="101"/>
      <c r="AQ1761" s="101"/>
      <c r="AR1761" s="101"/>
      <c r="AS1761" s="101"/>
      <c r="AT1761" s="101"/>
    </row>
    <row r="1762" spans="1:46" ht="12.95" customHeight="1">
      <c r="A1762" s="515"/>
      <c r="B1762" s="511"/>
      <c r="C1762" s="512"/>
      <c r="D1762" s="512"/>
      <c r="E1762" s="513"/>
      <c r="F1762" s="727"/>
      <c r="G1762" s="514"/>
      <c r="H1762" s="780"/>
      <c r="I1762" s="323"/>
      <c r="J1762" s="323"/>
      <c r="K1762" s="624"/>
      <c r="L1762" s="624"/>
      <c r="M1762" s="121"/>
      <c r="N1762" s="121"/>
      <c r="O1762" s="123"/>
      <c r="P1762" s="124"/>
      <c r="Q1762" s="124"/>
      <c r="R1762" s="83"/>
      <c r="S1762" s="82">
        <f t="shared" si="4252"/>
        <v>0</v>
      </c>
      <c r="T1762" s="540"/>
      <c r="U1762" s="83"/>
      <c r="V1762" s="100" t="b">
        <f>IF(G1762&gt;0,IF(AC1810="me","",G1762))</f>
        <v>0</v>
      </c>
      <c r="W1762" s="100"/>
      <c r="X1762" s="100"/>
      <c r="Y1762" s="201"/>
      <c r="Z1762" s="829" t="str">
        <f t="shared" si="4266"/>
        <v/>
      </c>
      <c r="AA1762" s="829"/>
      <c r="AB1762" s="830" t="str">
        <f>IF(G1762=0,"",IF(AD1762="free","re-planting",IF(AD1762="me","not NVP, by",IF($AD$8="yes",(VLOOKUP(A1762,'Discount Lookup'!J:K,2)*G1762*(1-$AC$1786)*(1+$AC$1788)),IF(AD1762="NVP",(VLOOKUP(A1762,'Discount Lookup'!J:K,2)*G1762*(1-$AC$1786)*(1+$AC$1788)),IF(AD1762="free","re-planting",IF(G1762=0,"",IF($AD$8="",IF(AD1762="me","not NVP, by",IF(AD1762="",IF(G1762&gt;0,(VLOOKUP(A1762,'Discount Lookup'!J:K,2)*G1762*(1-$AC$1786)*(1+$AC$1788)),""),"")),"not NVP, by"))))))))</f>
        <v/>
      </c>
      <c r="AC1762" s="830"/>
      <c r="AD1762" s="375" t="str">
        <f t="shared" si="4117"/>
        <v/>
      </c>
      <c r="AE1762" s="833" t="str">
        <f t="shared" si="4267"/>
        <v/>
      </c>
      <c r="AF1762" s="833"/>
      <c r="AG1762" s="833"/>
      <c r="AH1762" s="91">
        <f>IF(AC1810="free",0,IF(AC1810="me",0,IF(G1762&gt;0,(VLOOKUP(A1762,'Discount Lookup'!J:K,2)*G1762),0)))</f>
        <v>0</v>
      </c>
      <c r="AI1762" s="92" t="str">
        <f>IF(G1762=0,"",IF(AC1810="free",(K1762*(1-$H$1784)),IF($AD$8="me",(K1762*(1-$H$1784)),IF(AC1810="me",(K1762*(1-$H$1784)),(K1762*(1-$H$1784))+AA1810))))</f>
        <v/>
      </c>
      <c r="AJ1762" s="828" t="str">
        <f>IF(G1762=0,"",IF(AC1810="me","  delivery-only",IF($AD$8="me","  delivery-only",CONCATENATE(" $",ROUND(AI1762/G1762,2)," each"))))</f>
        <v/>
      </c>
      <c r="AK1762" s="828"/>
      <c r="AL1762" s="313" t="str">
        <f>IF(AC1810="free","      ~ discounts included, no tax or planting fee applies ~",IF(G1762=0,"",IF($AD$8="me",CONCATENATE(" $",ROUND(AI1762/G1762,2)," per plant, with tax &amp; discount"),IF(AC1810="me",CONCATENATE(" $",ROUND(AI1762/G1762,2)," per plant, with tax &amp; discount"),CONCATENATE("= $",ROUND((K1762*(1-$H$1784))/G1762,2)," per plant + $",AA1810/G1762,(" per planting      ~ includes tax &amp; discounts ~"))))))</f>
        <v/>
      </c>
      <c r="AM1762" s="312"/>
      <c r="AN1762" s="101"/>
      <c r="AO1762" s="101"/>
      <c r="AP1762" s="101"/>
      <c r="AQ1762" s="101"/>
      <c r="AR1762" s="101"/>
      <c r="AS1762" s="101"/>
      <c r="AT1762" s="101"/>
    </row>
    <row r="1763" spans="1:46" ht="12.95" customHeight="1">
      <c r="A1763" s="304">
        <v>0</v>
      </c>
      <c r="B1763" s="222" t="s">
        <v>50</v>
      </c>
      <c r="C1763" s="305"/>
      <c r="D1763" s="305" t="s">
        <v>909</v>
      </c>
      <c r="E1763" s="306">
        <v>0</v>
      </c>
      <c r="F1763" s="728" t="s">
        <v>1306</v>
      </c>
      <c r="G1763" s="357">
        <v>0</v>
      </c>
      <c r="H1763" s="759" t="str">
        <f t="shared" ref="H1763" si="4268">IF(G1763=0,"",IF(F1763="Qty=",IF(G1763=1,"plant","plants"),IF(F1763&gt;0.0001,"warranty","Error")))</f>
        <v/>
      </c>
      <c r="I1763" s="323">
        <f t="shared" ref="I1763" si="4269">IF(F1763="Qty=",(E1763*G1763),((E1763*(1-F1763))*G1763))</f>
        <v>0</v>
      </c>
      <c r="J1763" s="323">
        <f>IF(H1763="warranty",0,E1763*($J$1782)*G1763)</f>
        <v>0</v>
      </c>
      <c r="K1763" s="911">
        <f t="shared" ref="K1763" si="4270">IF(F1763&gt;0,I1763,I1763+J1763)</f>
        <v>0</v>
      </c>
      <c r="L1763" s="911"/>
      <c r="M1763" s="904" t="str">
        <f>IF($H$1784=0,"",IF(G1763=0,"",IF(F1763="Qty=",CONCATENATE("$",ROUND(K1763*(1-$H$1784),2)," with ",($H$1784*100),"% discount"),CONCATENATE("$",ROUND(K1763*(1-$H$1784),2)," with ",(($H$1784*100+F1763*100)-($H$1784*100*F1763)),IF(F1763&gt;0,"% discounts",IF($H$1781&gt;0,"% discounts","% discount"))))))</f>
        <v/>
      </c>
      <c r="N1763" s="904"/>
      <c r="O1763" s="904"/>
      <c r="P1763" s="904"/>
      <c r="Q1763" s="904"/>
      <c r="R1763" s="904"/>
      <c r="S1763" s="303">
        <f t="shared" ref="S1763" si="4271">E1763*G1763</f>
        <v>0</v>
      </c>
      <c r="T1763" s="541">
        <f>VLOOKUP(A1763,'Discount Lookup'!D:E,2,FALSE)*G1763</f>
        <v>0</v>
      </c>
      <c r="U1763" s="83">
        <f>VLOOKUP(A1763,'Discount Lookup'!G:H,2,FALSE)*G1763</f>
        <v>0</v>
      </c>
      <c r="V1763" s="100">
        <f>E1763*($J$1782)*G1763</f>
        <v>0</v>
      </c>
      <c r="W1763" s="100">
        <f t="shared" ref="W1763" si="4272">I1763</f>
        <v>0</v>
      </c>
      <c r="X1763" s="100" t="b">
        <f>IF(G1763&gt;0,IF(AD1812="me","",G1763))</f>
        <v>0</v>
      </c>
      <c r="Y1763" s="201"/>
      <c r="Z1763" s="829" t="str">
        <f t="shared" si="4266"/>
        <v/>
      </c>
      <c r="AA1763" s="829"/>
      <c r="AB1763" s="830" t="str">
        <f>IF(G1763=0,"",IF(AD1763="free","re-planting",IF(AD1763="me","not NVP, by",IF($AD$8="yes",(VLOOKUP(A1763,'Discount Lookup'!J:K,2)*G1763*(1-$AC$1786)*(1+$AC$1788)),IF(AD1763="NVP",(VLOOKUP(A1763,'Discount Lookup'!J:K,2)*G1763*(1-$AC$1786)*(1+$AC$1788)),IF(AD1763="free","re-planting",IF(G1763=0,"",IF($AD$8="",IF(AD1763="me","not NVP, by",IF(AD1763="",IF(G1763&gt;0,(VLOOKUP(A1763,'Discount Lookup'!J:K,2)*G1763*(1-$AC$1786)*(1+$AC$1788)),""),"")),"not NVP, by"))))))))</f>
        <v/>
      </c>
      <c r="AC1763" s="830"/>
      <c r="AD1763" s="375" t="str">
        <f t="shared" si="4117"/>
        <v/>
      </c>
      <c r="AE1763" s="833" t="str">
        <f t="shared" si="4267"/>
        <v/>
      </c>
      <c r="AF1763" s="833"/>
      <c r="AG1763" s="833"/>
      <c r="AH1763" s="91">
        <f>IF(AD1812="free",0,IF(AD1812="me",0,IF(G1763&gt;0,(VLOOKUP(A1763,'Discount Lookup'!J:K,2)*G1763),0)))</f>
        <v>0</v>
      </c>
      <c r="AI1763" s="92" t="str">
        <f>IF(G1763=0,"",IF(AD1812="free",(K1763*(1-$H$1784)),IF($AD$8="me",(K1763*(1-$H$1784)),IF(AD1812="me",(K1763*(1-$H$1784)),(K1763*(1-$H$1784))+AB1812))))</f>
        <v/>
      </c>
      <c r="AJ1763" s="828" t="str">
        <f>IF(G1763=0,"",IF(AD1812="me","  delivery-only",IF($AD$8="me","  delivery-only",CONCATENATE(" $",ROUND(AI1763/G1763,2)," each"))))</f>
        <v/>
      </c>
      <c r="AK1763" s="828"/>
      <c r="AL1763" s="313" t="str">
        <f>IF(AD1812="free","      ~ discounts included, no tax or planting fee applies ~",IF(G1763=0,"",IF($AD$8="me",CONCATENATE(" $",ROUND(AI1763/G1763,2)," per plant, with tax &amp; discount"),IF(AD1812="me",CONCATENATE(" $",ROUND(AI1763/G1763,2)," per plant, with tax &amp; discount"),CONCATENATE("= $",ROUND((K1763*(1-$H$1784))/G1763,2)," per plant + $",AB1812/G1763,(" per planting      ~ includes tax &amp; discounts ~"))))))</f>
        <v/>
      </c>
      <c r="AM1763" s="312"/>
      <c r="AN1763" s="101"/>
      <c r="AO1763" s="101"/>
      <c r="AP1763" s="101"/>
      <c r="AQ1763" s="101"/>
      <c r="AR1763" s="101"/>
      <c r="AS1763" s="101"/>
      <c r="AT1763" s="101"/>
    </row>
    <row r="1764" spans="1:46" ht="12.75" customHeight="1">
      <c r="A1764" s="502"/>
      <c r="B1764" s="223"/>
      <c r="C1764" s="97"/>
      <c r="D1764" s="97"/>
      <c r="E1764" s="224"/>
      <c r="F1764" s="729"/>
      <c r="G1764" s="366"/>
      <c r="H1764" s="745"/>
      <c r="I1764" s="119"/>
      <c r="J1764" s="119"/>
      <c r="K1764" s="609"/>
      <c r="L1764" s="609"/>
      <c r="M1764" s="121"/>
      <c r="N1764" s="121"/>
      <c r="O1764" s="123"/>
      <c r="P1764" s="124"/>
      <c r="Q1764" s="124"/>
      <c r="R1764" s="83"/>
      <c r="S1764" s="82">
        <f t="shared" si="4252"/>
        <v>0</v>
      </c>
      <c r="T1764" s="540"/>
      <c r="U1764" s="83"/>
      <c r="V1764" s="100" t="b">
        <f>IF(G1764&gt;0,IF(AC1813="me","",G1764))</f>
        <v>0</v>
      </c>
      <c r="W1764" s="100"/>
      <c r="X1764" s="100"/>
      <c r="Y1764" s="201"/>
      <c r="Z1764" s="829" t="str">
        <f t="shared" si="4266"/>
        <v/>
      </c>
      <c r="AA1764" s="829"/>
      <c r="AB1764" s="830" t="str">
        <f>IF(G1764=0,"",IF(AD1764="free","re-planting",IF(AD1764="me","not NVP, by",IF($AD$8="yes",(VLOOKUP(A1764,'Discount Lookup'!J:K,2)*G1764*(1-$AC$1786)*(1+$AC$1788)),IF(AD1764="NVP",(VLOOKUP(A1764,'Discount Lookup'!J:K,2)*G1764*(1-$AC$1786)*(1+$AC$1788)),IF(AD1764="free","re-planting",IF(G1764=0,"",IF($AD$8="",IF(AD1764="me","not NVP, by",IF(AD1764="",IF(G1764&gt;0,(VLOOKUP(A1764,'Discount Lookup'!J:K,2)*G1764*(1-$AC$1786)*(1+$AC$1788)),""),"")),"not NVP, by"))))))))</f>
        <v/>
      </c>
      <c r="AC1764" s="830"/>
      <c r="AD1764" s="375" t="str">
        <f t="shared" si="4117"/>
        <v/>
      </c>
      <c r="AE1764" s="833" t="str">
        <f t="shared" si="4267"/>
        <v/>
      </c>
      <c r="AF1764" s="833"/>
      <c r="AG1764" s="833"/>
      <c r="AH1764" s="91">
        <f>IF(AC1813="free",0,IF(AC1813="me",0,IF(G1764&gt;0,(VLOOKUP(A1764,'Discount Lookup'!J:K,2)*G1764),0)))</f>
        <v>0</v>
      </c>
      <c r="AI1764" s="92" t="str">
        <f>IF(G1764=0,"",IF(AC1813="free",(K1764*(1-$H$1784)),IF($AD$8="me",(K1764*(1-$H$1784)),IF(AC1813="me",(K1764*(1-$H$1784)),(K1764*(1-$H$1784))+AA1813))))</f>
        <v/>
      </c>
      <c r="AJ1764" s="828" t="str">
        <f>IF(G1764=0,"",IF(AC1813="me","  delivery-only",IF($AD$8="me","  delivery-only",CONCATENATE(" $",ROUND(AI1764/G1764,2)," each"))))</f>
        <v/>
      </c>
      <c r="AK1764" s="828"/>
      <c r="AL1764" s="313" t="str">
        <f>IF(AC1813="free","      ~ discounts included, no tax or planting fee applies ~",IF(G1764=0,"",IF($AD$8="me",CONCATENATE(" $",ROUND(AI1764/G1764,2)," per plant, with tax &amp; discount"),IF(AC1813="me",CONCATENATE(" $",ROUND(AI1764/G1764,2)," per plant, with tax &amp; discount"),CONCATENATE("= $",ROUND((K1764*(1-$H$1784))/G1764,2)," per plant + $",AA1813/G1764,(" per planting      ~ includes tax &amp; discounts ~"))))))</f>
        <v/>
      </c>
      <c r="AM1764" s="312"/>
      <c r="AN1764" s="101"/>
      <c r="AO1764" s="101"/>
      <c r="AP1764" s="101"/>
      <c r="AQ1764" s="101"/>
      <c r="AR1764" s="101"/>
      <c r="AS1764" s="101"/>
      <c r="AT1764" s="101"/>
    </row>
    <row r="1765" spans="1:46" ht="12.95" customHeight="1">
      <c r="A1765" s="515"/>
      <c r="B1765" s="511"/>
      <c r="C1765" s="512"/>
      <c r="D1765" s="512"/>
      <c r="E1765" s="513"/>
      <c r="F1765" s="727"/>
      <c r="G1765" s="514"/>
      <c r="H1765" s="780"/>
      <c r="I1765" s="323"/>
      <c r="J1765" s="323"/>
      <c r="K1765" s="624"/>
      <c r="L1765" s="624"/>
      <c r="M1765" s="121"/>
      <c r="N1765" s="121"/>
      <c r="O1765" s="123"/>
      <c r="P1765" s="124"/>
      <c r="Q1765" s="124"/>
      <c r="R1765" s="83"/>
      <c r="S1765" s="82">
        <f t="shared" si="4252"/>
        <v>0</v>
      </c>
      <c r="T1765" s="540"/>
      <c r="U1765" s="83"/>
      <c r="V1765" s="100" t="b">
        <f>IF(G1765&gt;0,IF(AD1765="me","",G1765))</f>
        <v>0</v>
      </c>
      <c r="W1765" s="100"/>
      <c r="X1765" s="100"/>
      <c r="Y1765" s="201"/>
      <c r="Z1765" s="838" t="str">
        <f t="shared" si="4147"/>
        <v/>
      </c>
      <c r="AA1765" s="838"/>
      <c r="AB1765" s="830" t="str">
        <f>IF(G1765=0,"",IF(AD1765="free","re-planting",IF(AD1765="me","not NVP, by",IF($AD$8="yes",(VLOOKUP(A1765,'Discount Lookup'!J:K,2)*G1765*(1-#REF!)*(1+$AC$1788)),IF(AD1765="NVP",(VLOOKUP(A1765,'Discount Lookup'!J:K,2)*G1765*(1-#REF!)*(1+$AC$1788)),IF(AD1765="free","re-planting",IF(G1765=0,"",IF($AD$8="",IF(AD1765="me","not NVP, by",IF(AD1765="",IF(G1765&gt;0,(VLOOKUP(A1765,'Discount Lookup'!J:K,2)*G1765*(1-#REF!)*(1+$AC$1788)),""),"")),"not NVP, by"))))))))</f>
        <v/>
      </c>
      <c r="AC1765" s="830"/>
      <c r="AD1765" s="375" t="str">
        <f t="shared" si="4117"/>
        <v/>
      </c>
      <c r="AE1765" s="833" t="str">
        <f t="shared" si="4116"/>
        <v/>
      </c>
      <c r="AF1765" s="833"/>
      <c r="AG1765" s="833"/>
      <c r="AH1765" s="91">
        <f>IF(AD1765="free",0,IF(AD1765="me",0,IF(G1765&gt;0,(VLOOKUP(A1765,'Discount Lookup'!J:K,2)*G1765),0)))</f>
        <v>0</v>
      </c>
      <c r="AI1765" s="92" t="str">
        <f t="shared" ref="AI1765:AI1773" si="4273">IF(G1765=0,"",IF(AD1765="free",(K1765*(1-$H$1784)),IF($AD$8="me",(K1765*(1-$H$1784)),IF(AD1765="me",(K1765*(1-$H$1784)),(K1765*(1-$H$1784))+AB1765))))</f>
        <v/>
      </c>
      <c r="AJ1765" s="828" t="str">
        <f t="shared" si="4148"/>
        <v/>
      </c>
      <c r="AK1765" s="828"/>
      <c r="AL1765" s="313" t="str">
        <f t="shared" ref="AL1765:AL1777" si="4274">IF(AD1765="free","      ~ discounts included, no tax or planting fee applies ~",IF(G1765=0,"",IF($AD$8="me",CONCATENATE(" $",ROUND(AI1765/G1765,2)," per plant, with tax &amp; discount"),IF(AD1765="me",CONCATENATE(" $",ROUND(AI1765/G1765,2)," per plant, with tax &amp; discount"),CONCATENATE("= $",ROUND((K1765*(1-$H$1784))/G1765,2)," per plant + $",AB1765/G1765,(" per planting      ~ includes tax &amp; discounts ~"))))))</f>
        <v/>
      </c>
      <c r="AM1765" s="312"/>
      <c r="AN1765" s="101"/>
      <c r="AO1765" s="101"/>
      <c r="AP1765" s="101"/>
      <c r="AQ1765" s="101"/>
      <c r="AR1765" s="101"/>
      <c r="AS1765" s="101"/>
      <c r="AT1765" s="101"/>
    </row>
    <row r="1766" spans="1:46" ht="12.95" customHeight="1">
      <c r="A1766" s="304">
        <v>0</v>
      </c>
      <c r="B1766" s="222" t="s">
        <v>50</v>
      </c>
      <c r="C1766" s="305"/>
      <c r="D1766" s="305" t="s">
        <v>909</v>
      </c>
      <c r="E1766" s="306">
        <v>0</v>
      </c>
      <c r="F1766" s="728" t="s">
        <v>1306</v>
      </c>
      <c r="G1766" s="357">
        <v>0</v>
      </c>
      <c r="H1766" s="759" t="str">
        <f t="shared" ref="H1766" si="4275">IF(G1766=0,"",IF(F1766="Qty=",IF(G1766=1,"plant","plants"),IF(F1766&gt;0.0001,"warranty","Error")))</f>
        <v/>
      </c>
      <c r="I1766" s="323">
        <f t="shared" ref="I1766" si="4276">IF(F1766="Qty=",(E1766*G1766),((E1766*(1-F1766))*G1766))</f>
        <v>0</v>
      </c>
      <c r="J1766" s="323">
        <f>IF(H1766="warranty",0,E1766*($J$1782)*G1766)</f>
        <v>0</v>
      </c>
      <c r="K1766" s="911">
        <f t="shared" ref="K1766" si="4277">IF(F1766&gt;0,I1766,I1766+J1766)</f>
        <v>0</v>
      </c>
      <c r="L1766" s="911"/>
      <c r="M1766" s="904" t="str">
        <f>IF($H$1784=0,"",IF(G1766=0,"",IF(F1766="Qty=",CONCATENATE("$",ROUND(K1766*(1-$H$1784),2)," with ",($H$1784*100),"% discount"),CONCATENATE("$",ROUND(K1766*(1-$H$1784),2)," with ",(($H$1784*100+F1766*100)-($H$1784*100*F1766)),IF(F1766&gt;0,"% discounts",IF($H$1781&gt;0,"% discounts","% discount"))))))</f>
        <v/>
      </c>
      <c r="N1766" s="904"/>
      <c r="O1766" s="904"/>
      <c r="P1766" s="904"/>
      <c r="Q1766" s="904"/>
      <c r="R1766" s="904"/>
      <c r="S1766" s="303">
        <f t="shared" ref="S1766:S1771" si="4278">E1766*G1766</f>
        <v>0</v>
      </c>
      <c r="T1766" s="541">
        <f>VLOOKUP(A1766,'Discount Lookup'!D:E,2,FALSE)*G1766</f>
        <v>0</v>
      </c>
      <c r="U1766" s="83">
        <f>VLOOKUP(A1766,'Discount Lookup'!G:H,2,FALSE)*G1766</f>
        <v>0</v>
      </c>
      <c r="V1766" s="100">
        <f>E1766*($J$1782)*G1766</f>
        <v>0</v>
      </c>
      <c r="W1766" s="100">
        <f t="shared" ref="W1766" si="4279">I1766</f>
        <v>0</v>
      </c>
      <c r="X1766" s="100" t="b">
        <f>IF(G1766&gt;0,IF(AD1766="me","",G1766))</f>
        <v>0</v>
      </c>
      <c r="Y1766" s="201"/>
      <c r="Z1766" s="838" t="str">
        <f t="shared" ref="Z1766" si="4280">IF(G1766=0,"",IF(AD1766="me","",IF($AD$8="me","",IF(AD1766="free","warranty",IF($AD$8="yes","NVP planting:","to NVP install:")))))</f>
        <v/>
      </c>
      <c r="AA1766" s="838"/>
      <c r="AB1766" s="830" t="str">
        <f>IF(G1766=0,"",IF(AD1766="free","re-planting",IF(AD1766="me","not NVP, by",IF($AD$8="yes",(VLOOKUP(A1766,'Discount Lookup'!J:K,2)*G1766*(1-$AC$1786)*(1+$AC$1788)),IF(AD1766="NVP",(VLOOKUP(A1766,'Discount Lookup'!J:K,2)*G1766*(1-$AC$1786)*(1+$AC$1788)),IF(AD1766="free","re-planting",IF(G1766=0,"",IF($AD$8="",IF(AD1766="me","not NVP, by",IF(AD1766="",IF(G1766&gt;0,(VLOOKUP(A1766,'Discount Lookup'!J:K,2)*G1766*(1-$AC$1786)*(1+$AC$1788)),""),"")),"not NVP, by"))))))))</f>
        <v/>
      </c>
      <c r="AC1766" s="830"/>
      <c r="AD1766" s="375" t="str">
        <f t="shared" si="4117"/>
        <v/>
      </c>
      <c r="AE1766" s="833" t="str">
        <f t="shared" ref="AE1766" si="4281">IF(G1766&gt;0,(CONCATENATE((G1766)," quantity, ",(A1766)," ",B1766)),"")</f>
        <v/>
      </c>
      <c r="AF1766" s="833"/>
      <c r="AG1766" s="833"/>
      <c r="AH1766" s="91">
        <f>IF(AD1766="free",0,IF(AD1766="me",0,IF(G1766&gt;0,(VLOOKUP(A1766,'Discount Lookup'!J:K,2)*G1766),0)))</f>
        <v>0</v>
      </c>
      <c r="AI1766" s="92" t="str">
        <f t="shared" si="4273"/>
        <v/>
      </c>
      <c r="AJ1766" s="828" t="str">
        <f t="shared" ref="AJ1766" si="4282">IF(G1766=0,"",IF(AD1766="me","  delivery-only",IF($AD$8="me","  delivery-only",CONCATENATE(" $",ROUND(AI1766/G1766,2)," each"))))</f>
        <v/>
      </c>
      <c r="AK1766" s="828"/>
      <c r="AL1766" s="313" t="str">
        <f t="shared" si="4274"/>
        <v/>
      </c>
      <c r="AM1766" s="312"/>
      <c r="AN1766" s="101"/>
      <c r="AO1766" s="101"/>
      <c r="AP1766" s="101"/>
      <c r="AQ1766" s="101"/>
      <c r="AR1766" s="101"/>
      <c r="AS1766" s="101"/>
      <c r="AT1766" s="101"/>
    </row>
    <row r="1767" spans="1:46" ht="12.95" customHeight="1">
      <c r="A1767" s="502"/>
      <c r="C1767" s="97"/>
      <c r="D1767" s="97"/>
      <c r="E1767" s="224"/>
      <c r="F1767" s="729"/>
      <c r="G1767" s="366"/>
      <c r="H1767" s="745"/>
      <c r="I1767" s="119"/>
      <c r="J1767" s="119"/>
      <c r="K1767" s="609"/>
      <c r="L1767" s="609"/>
      <c r="M1767" s="121"/>
      <c r="N1767" s="121"/>
      <c r="O1767" s="123"/>
      <c r="P1767" s="124"/>
      <c r="Q1767" s="124"/>
      <c r="R1767" s="83"/>
      <c r="S1767" s="82">
        <f t="shared" si="4278"/>
        <v>0</v>
      </c>
      <c r="T1767" s="540"/>
      <c r="U1767" s="83"/>
      <c r="V1767" s="100" t="b">
        <f>IF(G1767&gt;0,IF(AD1767="me","",G1767))</f>
        <v>0</v>
      </c>
      <c r="W1767" s="100"/>
      <c r="X1767" s="100"/>
      <c r="Y1767" s="201"/>
      <c r="Z1767" s="838" t="str">
        <f t="shared" si="4147"/>
        <v/>
      </c>
      <c r="AA1767" s="838"/>
      <c r="AB1767" s="830" t="str">
        <f>IF(G1767=0,"",IF(AD1767="free","re-planting",IF(AD1767="me","not NVP, by",IF($AD$8="yes",(VLOOKUP(A1767,'Discount Lookup'!J:K,2)*G1767*(1-#REF!)*(1+$AC$1788)),IF(AD1767="NVP",(VLOOKUP(A1767,'Discount Lookup'!J:K,2)*G1767*(1-#REF!)*(1+$AC$1788)),IF(AD1767="free","re-planting",IF(G1767=0,"",IF($AD$8="",IF(AD1767="me","not NVP, by",IF(AD1767="",IF(G1767&gt;0,(VLOOKUP(A1767,'Discount Lookup'!J:K,2)*G1767*(1-#REF!)*(1+$AC$1788)),""),"")),"not NVP, by"))))))))</f>
        <v/>
      </c>
      <c r="AC1767" s="830"/>
      <c r="AD1767" s="375" t="str">
        <f t="shared" si="4117"/>
        <v/>
      </c>
      <c r="AE1767" s="833" t="str">
        <f t="shared" ref="AE1767:AE1772" si="4283">IF(G1767&gt;0,(CONCATENATE((G1767)," quantity, ",(A1767)," ",B1767)),"")</f>
        <v/>
      </c>
      <c r="AF1767" s="833"/>
      <c r="AG1767" s="833"/>
      <c r="AH1767" s="91">
        <f>IF(AD1767="free",0,IF(AD1767="me",0,IF(G1767&gt;0,(VLOOKUP(A1767,'Discount Lookup'!J:K,2)*G1767),0)))</f>
        <v>0</v>
      </c>
      <c r="AI1767" s="92" t="str">
        <f t="shared" si="4273"/>
        <v/>
      </c>
      <c r="AJ1767" s="828" t="str">
        <f t="shared" si="4148"/>
        <v/>
      </c>
      <c r="AK1767" s="828"/>
      <c r="AL1767" s="313" t="str">
        <f t="shared" si="4274"/>
        <v/>
      </c>
      <c r="AM1767" s="312"/>
      <c r="AN1767" s="101"/>
      <c r="AO1767" s="101"/>
      <c r="AP1767" s="101"/>
      <c r="AQ1767" s="101"/>
      <c r="AR1767" s="101"/>
      <c r="AS1767" s="101"/>
      <c r="AT1767" s="101"/>
    </row>
    <row r="1768" spans="1:46" ht="12.95" customHeight="1">
      <c r="A1768" s="515"/>
      <c r="B1768" s="511"/>
      <c r="C1768" s="512"/>
      <c r="D1768" s="512"/>
      <c r="E1768" s="513"/>
      <c r="F1768" s="727"/>
      <c r="G1768" s="514"/>
      <c r="H1768" s="780"/>
      <c r="I1768" s="323"/>
      <c r="J1768" s="323"/>
      <c r="K1768" s="624"/>
      <c r="L1768" s="624"/>
      <c r="M1768" s="121"/>
      <c r="N1768" s="121"/>
      <c r="O1768" s="123"/>
      <c r="P1768" s="124"/>
      <c r="Q1768" s="124"/>
      <c r="R1768" s="83"/>
      <c r="S1768" s="82">
        <f t="shared" si="4278"/>
        <v>0</v>
      </c>
      <c r="T1768" s="540"/>
      <c r="U1768" s="83"/>
      <c r="V1768" s="100" t="b">
        <f>IF(G1768&gt;0,IF(AD1768="me","",G1768))</f>
        <v>0</v>
      </c>
      <c r="W1768" s="100"/>
      <c r="X1768" s="100"/>
      <c r="Y1768" s="201"/>
      <c r="Z1768" s="838" t="str">
        <f t="shared" si="4147"/>
        <v/>
      </c>
      <c r="AA1768" s="838"/>
      <c r="AB1768" s="830" t="str">
        <f>IF(G1768=0,"",IF(AD1768="free","re-planting",IF(AD1768="me","not NVP, by",IF($AD$8="yes",(VLOOKUP(A1768,'Discount Lookup'!J:K,2)*G1768*(1-#REF!)*(1+$AC$1788)),IF(AD1768="NVP",(VLOOKUP(A1768,'Discount Lookup'!J:K,2)*G1768*(1-#REF!)*(1+$AC$1788)),IF(AD1768="free","re-planting",IF(G1768=0,"",IF($AD$8="",IF(AD1768="me","not NVP, by",IF(AD1768="",IF(G1768&gt;0,(VLOOKUP(A1768,'Discount Lookup'!J:K,2)*G1768*(1-#REF!)*(1+$AC$1788)),""),"")),"not NVP, by"))))))))</f>
        <v/>
      </c>
      <c r="AC1768" s="830"/>
      <c r="AD1768" s="375" t="str">
        <f t="shared" si="4117"/>
        <v/>
      </c>
      <c r="AE1768" s="833" t="str">
        <f t="shared" si="4283"/>
        <v/>
      </c>
      <c r="AF1768" s="833"/>
      <c r="AG1768" s="833"/>
      <c r="AH1768" s="91">
        <f>IF(AD1768="free",0,IF(AD1768="me",0,IF(G1768&gt;0,(VLOOKUP(A1768,'Discount Lookup'!J:K,2)*G1768),0)))</f>
        <v>0</v>
      </c>
      <c r="AI1768" s="92" t="str">
        <f t="shared" si="4273"/>
        <v/>
      </c>
      <c r="AJ1768" s="828" t="str">
        <f t="shared" si="4148"/>
        <v/>
      </c>
      <c r="AK1768" s="828"/>
      <c r="AL1768" s="313" t="str">
        <f t="shared" si="4274"/>
        <v/>
      </c>
      <c r="AM1768" s="312"/>
      <c r="AN1768" s="101"/>
      <c r="AO1768" s="101"/>
      <c r="AP1768" s="101"/>
      <c r="AQ1768" s="101"/>
      <c r="AR1768" s="101"/>
      <c r="AS1768" s="101"/>
      <c r="AT1768" s="101"/>
    </row>
    <row r="1769" spans="1:46" ht="12.95" customHeight="1">
      <c r="A1769" s="304">
        <v>0</v>
      </c>
      <c r="B1769" s="222" t="s">
        <v>50</v>
      </c>
      <c r="C1769" s="305"/>
      <c r="D1769" s="305" t="s">
        <v>909</v>
      </c>
      <c r="E1769" s="306">
        <v>0</v>
      </c>
      <c r="F1769" s="728" t="s">
        <v>1306</v>
      </c>
      <c r="G1769" s="357">
        <v>0</v>
      </c>
      <c r="H1769" s="759" t="str">
        <f t="shared" ref="H1769" si="4284">IF(G1769=0,"",IF(F1769="Qty=",IF(G1769=1,"plant","plants"),IF(F1769&gt;0.0001,"warranty","Error")))</f>
        <v/>
      </c>
      <c r="I1769" s="323">
        <f t="shared" ref="I1769" si="4285">IF(F1769="Qty=",(E1769*G1769),((E1769*(1-F1769))*G1769))</f>
        <v>0</v>
      </c>
      <c r="J1769" s="323">
        <f>IF(H1769="warranty",0,E1769*($J$1782)*G1769)</f>
        <v>0</v>
      </c>
      <c r="K1769" s="911">
        <f t="shared" ref="K1769" si="4286">IF(F1769&gt;0,I1769,I1769+J1769)</f>
        <v>0</v>
      </c>
      <c r="L1769" s="911"/>
      <c r="M1769" s="904" t="str">
        <f>IF($H$1784=0,"",IF(G1769=0,"",IF(F1769="Qty=",CONCATENATE("$",ROUND(K1769*(1-$H$1784),2)," with ",($H$1784*100),"% discount"),CONCATENATE("$",ROUND(K1769*(1-$H$1784),2)," with ",(($H$1784*100+F1769*100)-($H$1784*100*F1769)),IF(F1769&gt;0,"% discounts",IF($H$1781&gt;0,"% discounts","% discount"))))))</f>
        <v/>
      </c>
      <c r="N1769" s="904"/>
      <c r="O1769" s="904"/>
      <c r="P1769" s="904"/>
      <c r="Q1769" s="904"/>
      <c r="R1769" s="904"/>
      <c r="S1769" s="303">
        <f t="shared" si="4278"/>
        <v>0</v>
      </c>
      <c r="T1769" s="541">
        <f>VLOOKUP(A1769,'Discount Lookup'!D:E,2,FALSE)*G1769</f>
        <v>0</v>
      </c>
      <c r="U1769" s="83">
        <f>VLOOKUP(A1769,'Discount Lookup'!G:H,2,FALSE)*G1769</f>
        <v>0</v>
      </c>
      <c r="V1769" s="100">
        <f>E1769*($J$1782)*G1769</f>
        <v>0</v>
      </c>
      <c r="W1769" s="100">
        <f t="shared" ref="W1769" si="4287">I1769</f>
        <v>0</v>
      </c>
      <c r="X1769" s="100" t="b">
        <f>IF(G1769&gt;0,IF(AD1769="me","",G1769))</f>
        <v>0</v>
      </c>
      <c r="Y1769" s="201"/>
      <c r="Z1769" s="838" t="str">
        <f t="shared" ref="Z1769" si="4288">IF(G1769=0,"",IF(AD1769="me","",IF($AD$8="me","",IF(AD1769="free","warranty",IF($AD$8="yes","NVP planting:","to NVP install:")))))</f>
        <v/>
      </c>
      <c r="AA1769" s="838"/>
      <c r="AB1769" s="830" t="str">
        <f>IF(G1769=0,"",IF(AD1769="free","re-planting",IF(AD1769="me","not NVP, by",IF($AD$8="yes",(VLOOKUP(A1769,'Discount Lookup'!J:K,2)*G1769*(1-$AC$1786)*(1+$AC$1788)),IF(AD1769="NVP",(VLOOKUP(A1769,'Discount Lookup'!J:K,2)*G1769*(1-$AC$1786)*(1+$AC$1788)),IF(AD1769="free","re-planting",IF(G1769=0,"",IF($AD$8="",IF(AD1769="me","not NVP, by",IF(AD1769="",IF(G1769&gt;0,(VLOOKUP(A1769,'Discount Lookup'!J:K,2)*G1769*(1-$AC$1786)*(1+$AC$1788)),""),"")),"not NVP, by"))))))))</f>
        <v/>
      </c>
      <c r="AC1769" s="830"/>
      <c r="AD1769" s="375" t="str">
        <f t="shared" si="4117"/>
        <v/>
      </c>
      <c r="AE1769" s="833" t="str">
        <f t="shared" si="4283"/>
        <v/>
      </c>
      <c r="AF1769" s="833"/>
      <c r="AG1769" s="833"/>
      <c r="AH1769" s="91">
        <f>IF(AD1769="free",0,IF(AD1769="me",0,IF(G1769&gt;0,(VLOOKUP(A1769,'Discount Lookup'!J:K,2)*G1769),0)))</f>
        <v>0</v>
      </c>
      <c r="AI1769" s="92" t="str">
        <f t="shared" si="4273"/>
        <v/>
      </c>
      <c r="AJ1769" s="828" t="str">
        <f t="shared" ref="AJ1769" si="4289">IF(G1769=0,"",IF(AD1769="me","  delivery-only",IF($AD$8="me","  delivery-only",CONCATENATE(" $",ROUND(AI1769/G1769,2)," each"))))</f>
        <v/>
      </c>
      <c r="AK1769" s="828"/>
      <c r="AL1769" s="313" t="str">
        <f t="shared" si="4274"/>
        <v/>
      </c>
      <c r="AM1769" s="312"/>
      <c r="AN1769" s="101"/>
      <c r="AO1769" s="101"/>
      <c r="AP1769" s="101"/>
      <c r="AQ1769" s="101"/>
      <c r="AR1769" s="101"/>
      <c r="AS1769" s="101"/>
      <c r="AT1769" s="101"/>
    </row>
    <row r="1770" spans="1:46" ht="12.95" customHeight="1">
      <c r="A1770" s="502"/>
      <c r="B1770" s="223"/>
      <c r="C1770" s="97"/>
      <c r="D1770" s="97"/>
      <c r="E1770" s="224"/>
      <c r="F1770" s="729"/>
      <c r="G1770" s="366"/>
      <c r="H1770" s="745"/>
      <c r="I1770" s="119"/>
      <c r="J1770" s="119"/>
      <c r="K1770" s="609"/>
      <c r="L1770" s="609"/>
      <c r="M1770" s="121"/>
      <c r="N1770" s="121"/>
      <c r="O1770" s="123"/>
      <c r="P1770" s="124"/>
      <c r="Q1770" s="124"/>
      <c r="R1770" s="83"/>
      <c r="S1770" s="82">
        <f t="shared" si="4278"/>
        <v>0</v>
      </c>
      <c r="T1770" s="540"/>
      <c r="U1770" s="83"/>
      <c r="V1770" s="100" t="b">
        <f>IF(G1770&gt;0,IF(AD1770="me","",G1770))</f>
        <v>0</v>
      </c>
      <c r="W1770" s="100"/>
      <c r="X1770" s="100"/>
      <c r="Y1770" s="201"/>
      <c r="Z1770" s="246" t="str">
        <f t="shared" si="4147"/>
        <v/>
      </c>
      <c r="AA1770" s="246"/>
      <c r="AB1770" s="538" t="str">
        <f>IF(G1770=0,"",IF(AD1770="free","re-planting",IF(AD1770="me","not NVP, by",IF($AD$8="yes",(VLOOKUP(A1770,'Discount Lookup'!J:K,2)*G1770*(1-#REF!)*(1+$AC$1788)),IF(AD1770="NVP",(VLOOKUP(A1770,'Discount Lookup'!J:K,2)*G1770*(1-#REF!)*(1+$AC$1788)),IF(AD1770="free","re-planting",IF(G1770=0,"",IF($AD$8="",IF(AD1770="me","not NVP, by",IF(AD1770="",IF(G1770&gt;0,(VLOOKUP(A1770,'Discount Lookup'!J:K,2)*G1770*(1-#REF!)*(1+$AC$1788)),""),"")),"not NVP, by"))))))))</f>
        <v/>
      </c>
      <c r="AC1770" s="538"/>
      <c r="AD1770" s="375" t="str">
        <f t="shared" si="4117"/>
        <v/>
      </c>
      <c r="AE1770" s="156" t="str">
        <f t="shared" si="4283"/>
        <v/>
      </c>
      <c r="AF1770" s="156"/>
      <c r="AG1770" s="156"/>
      <c r="AH1770" s="91">
        <f>IF(AD1770="free",0,IF(AD1770="me",0,IF(G1770&gt;0,(VLOOKUP(A1770,'Discount Lookup'!J:K,2)*G1770),0)))</f>
        <v>0</v>
      </c>
      <c r="AI1770" s="92" t="str">
        <f t="shared" si="4273"/>
        <v/>
      </c>
      <c r="AJ1770" s="690" t="str">
        <f t="shared" si="4148"/>
        <v/>
      </c>
      <c r="AK1770" s="690"/>
      <c r="AL1770" s="313" t="str">
        <f t="shared" si="4274"/>
        <v/>
      </c>
      <c r="AM1770" s="312"/>
      <c r="AN1770" s="101"/>
      <c r="AO1770" s="101"/>
      <c r="AP1770" s="101"/>
      <c r="AQ1770" s="101"/>
      <c r="AR1770" s="101"/>
      <c r="AS1770" s="101"/>
      <c r="AT1770" s="101"/>
    </row>
    <row r="1771" spans="1:46" ht="12.95" customHeight="1">
      <c r="A1771" s="515"/>
      <c r="B1771" s="511"/>
      <c r="C1771" s="512"/>
      <c r="D1771" s="512"/>
      <c r="E1771" s="513"/>
      <c r="F1771" s="727"/>
      <c r="G1771" s="514"/>
      <c r="H1771" s="780"/>
      <c r="I1771" s="323"/>
      <c r="J1771" s="323"/>
      <c r="K1771" s="624"/>
      <c r="L1771" s="624"/>
      <c r="M1771" s="121"/>
      <c r="N1771" s="121"/>
      <c r="O1771" s="123"/>
      <c r="P1771" s="124"/>
      <c r="Q1771" s="124"/>
      <c r="R1771" s="83"/>
      <c r="S1771" s="82">
        <f t="shared" si="4278"/>
        <v>0</v>
      </c>
      <c r="T1771" s="540"/>
      <c r="U1771" s="83"/>
      <c r="V1771" s="100" t="b">
        <f>IF(G1771&gt;0,IF(AD1771="me","",G1771))</f>
        <v>0</v>
      </c>
      <c r="W1771" s="100"/>
      <c r="X1771" s="100"/>
      <c r="Y1771" s="201"/>
      <c r="Z1771" s="246" t="str">
        <f t="shared" si="4147"/>
        <v/>
      </c>
      <c r="AA1771" s="246"/>
      <c r="AB1771" s="538" t="str">
        <f>IF(G1771=0,"",IF(AD1771="free","re-planting",IF(AD1771="me","not NVP, by",IF($AD$8="yes",(VLOOKUP(A1771,'Discount Lookup'!J:K,2)*G1771*(1-#REF!)*(1+$AC$1788)),IF(AD1771="NVP",(VLOOKUP(A1771,'Discount Lookup'!J:K,2)*G1771*(1-#REF!)*(1+$AC$1788)),IF(AD1771="free","re-planting",IF(G1771=0,"",IF($AD$8="",IF(AD1771="me","not NVP, by",IF(AD1771="",IF(G1771&gt;0,(VLOOKUP(A1771,'Discount Lookup'!J:K,2)*G1771*(1-#REF!)*(1+$AC$1788)),""),"")),"not NVP, by"))))))))</f>
        <v/>
      </c>
      <c r="AC1771" s="538"/>
      <c r="AD1771" s="375" t="str">
        <f t="shared" ref="AD1771:AD1773" si="4290">IF(G1771=0,"",IF($AD$8="me","me",IF(H1771="warranty","free",IF($AD$8="yes","NVP",""))))</f>
        <v/>
      </c>
      <c r="AE1771" s="156" t="str">
        <f t="shared" si="4283"/>
        <v/>
      </c>
      <c r="AF1771" s="156"/>
      <c r="AG1771" s="156"/>
      <c r="AH1771" s="91">
        <f>IF(AD1771="free",0,IF(AD1771="me",0,IF(G1771&gt;0,(VLOOKUP(A1771,'Discount Lookup'!J:K,2)*G1771),0)))</f>
        <v>0</v>
      </c>
      <c r="AI1771" s="92" t="str">
        <f t="shared" si="4273"/>
        <v/>
      </c>
      <c r="AJ1771" s="690" t="str">
        <f t="shared" si="4148"/>
        <v/>
      </c>
      <c r="AK1771" s="690"/>
      <c r="AL1771" s="313" t="str">
        <f t="shared" si="4274"/>
        <v/>
      </c>
      <c r="AM1771" s="312"/>
      <c r="AN1771" s="101"/>
      <c r="AO1771" s="101"/>
      <c r="AP1771" s="101"/>
      <c r="AQ1771" s="101"/>
      <c r="AR1771" s="101"/>
      <c r="AS1771" s="101"/>
      <c r="AT1771" s="101"/>
    </row>
    <row r="1772" spans="1:46" ht="12.95" customHeight="1">
      <c r="A1772" s="304">
        <v>0</v>
      </c>
      <c r="B1772" s="222" t="s">
        <v>50</v>
      </c>
      <c r="C1772" s="305"/>
      <c r="D1772" s="305" t="s">
        <v>909</v>
      </c>
      <c r="E1772" s="306">
        <v>0</v>
      </c>
      <c r="F1772" s="728" t="s">
        <v>1306</v>
      </c>
      <c r="G1772" s="357">
        <v>0</v>
      </c>
      <c r="H1772" s="759" t="str">
        <f t="shared" ref="H1772" si="4291">IF(G1772=0,"",IF(F1772="Qty=",IF(G1772=1,"plant","plants"),IF(F1772&gt;0.0001,"warranty","Error")))</f>
        <v/>
      </c>
      <c r="I1772" s="323">
        <f t="shared" ref="I1772" si="4292">IF(F1772="Qty=",(E1772*G1772),((E1772*(1-F1772))*G1772))</f>
        <v>0</v>
      </c>
      <c r="J1772" s="323">
        <f>IF(H1772="warranty",0,E1772*($J$1782)*G1772)</f>
        <v>0</v>
      </c>
      <c r="K1772" s="911">
        <f t="shared" ref="K1772" si="4293">IF(F1772&gt;0,I1772,I1772+J1772)</f>
        <v>0</v>
      </c>
      <c r="L1772" s="911"/>
      <c r="M1772" s="904" t="str">
        <f>IF($H$1784=0,"",IF(G1772=0,"",IF(F1772="Qty=",CONCATENATE("$",ROUND(K1772*(1-$H$1784),2)," with ",($H$1784*100),"% discount"),CONCATENATE("$",ROUND(K1772*(1-$H$1784),2)," with ",(($H$1784*100+F1772*100)-($H$1784*100*F1772)),IF(F1772&gt;0,"% discounts",IF($H$1781&gt;0,"% discounts","% discount"))))))</f>
        <v/>
      </c>
      <c r="N1772" s="904"/>
      <c r="O1772" s="904"/>
      <c r="P1772" s="904"/>
      <c r="Q1772" s="904"/>
      <c r="R1772" s="904"/>
      <c r="S1772" s="303">
        <f t="shared" ref="S1772" si="4294">E1772*G1772</f>
        <v>0</v>
      </c>
      <c r="T1772" s="541">
        <f>VLOOKUP(A1772,'Discount Lookup'!D:E,2,FALSE)*G1772</f>
        <v>0</v>
      </c>
      <c r="U1772" s="83">
        <f>VLOOKUP(A1772,'Discount Lookup'!G:H,2,FALSE)*G1772</f>
        <v>0</v>
      </c>
      <c r="V1772" s="100">
        <f>E1772*($J$1782)*G1772</f>
        <v>0</v>
      </c>
      <c r="W1772" s="100">
        <f t="shared" ref="W1772" si="4295">I1772</f>
        <v>0</v>
      </c>
      <c r="X1772" s="100" t="b">
        <f>IF(G1772&gt;0,IF(AD1772="me","",G1772))</f>
        <v>0</v>
      </c>
      <c r="Y1772" s="201"/>
      <c r="Z1772" s="838" t="str">
        <f t="shared" ref="Z1772" si="4296">IF(G1772=0,"",IF(AD1772="me","",IF($AD$8="me","",IF(AD1772="free","warranty",IF($AD$8="yes","NVP planting:","to NVP install:")))))</f>
        <v/>
      </c>
      <c r="AA1772" s="838"/>
      <c r="AB1772" s="830" t="str">
        <f>IF(G1772=0,"",IF(AD1772="free","re-planting",IF(AD1772="me","not NVP, by",IF($AD$8="yes",(VLOOKUP(A1772,'Discount Lookup'!J:K,2)*G1772*(1-$AC$1786)*(1+$AC$1788)),IF(AD1772="NVP",(VLOOKUP(A1772,'Discount Lookup'!J:K,2)*G1772*(1-$AC$1786)*(1+$AC$1788)),IF(AD1772="free","re-planting",IF(G1772=0,"",IF($AD$8="",IF(AD1772="me","not NVP, by",IF(AD1772="",IF(G1772&gt;0,(VLOOKUP(A1772,'Discount Lookup'!J:K,2)*G1772*(1-$AC$1786)*(1+$AC$1788)),""),"")),"not NVP, by"))))))))</f>
        <v/>
      </c>
      <c r="AC1772" s="830"/>
      <c r="AD1772" s="375" t="str">
        <f t="shared" si="4290"/>
        <v/>
      </c>
      <c r="AE1772" s="833" t="str">
        <f t="shared" si="4283"/>
        <v/>
      </c>
      <c r="AF1772" s="833"/>
      <c r="AG1772" s="833"/>
      <c r="AH1772" s="91">
        <f>IF(AD1772="free",0,IF(AD1772="me",0,IF(G1772&gt;0,(VLOOKUP(A1772,'Discount Lookup'!J:K,2)*G1772),0)))</f>
        <v>0</v>
      </c>
      <c r="AI1772" s="92" t="str">
        <f t="shared" si="4273"/>
        <v/>
      </c>
      <c r="AJ1772" s="828" t="str">
        <f t="shared" ref="AJ1772" si="4297">IF(G1772=0,"",IF(AD1772="me","  delivery-only",IF($AD$8="me","  delivery-only",CONCATENATE(" $",ROUND(AI1772/G1772,2)," each"))))</f>
        <v/>
      </c>
      <c r="AK1772" s="828"/>
      <c r="AL1772" s="313" t="str">
        <f t="shared" si="4274"/>
        <v/>
      </c>
      <c r="AM1772" s="312"/>
      <c r="AN1772" s="101"/>
      <c r="AO1772" s="101"/>
      <c r="AP1772" s="101"/>
      <c r="AQ1772" s="101"/>
      <c r="AR1772" s="101"/>
      <c r="AS1772" s="101"/>
      <c r="AT1772" s="101"/>
    </row>
    <row r="1773" spans="1:46" ht="12.95" customHeight="1" thickBot="1">
      <c r="A1773" s="502"/>
      <c r="B1773" s="223"/>
      <c r="C1773" s="97"/>
      <c r="D1773" s="97"/>
      <c r="E1773" s="224"/>
      <c r="F1773" s="729"/>
      <c r="G1773" s="366"/>
      <c r="H1773" s="745"/>
      <c r="I1773" s="119"/>
      <c r="J1773" s="119"/>
      <c r="K1773" s="609"/>
      <c r="L1773" s="609"/>
      <c r="M1773" s="121"/>
      <c r="N1773" s="599"/>
      <c r="O1773" s="123"/>
      <c r="P1773" s="124"/>
      <c r="Q1773" s="124"/>
      <c r="R1773" s="83"/>
      <c r="S1773" s="82">
        <f t="shared" si="4252"/>
        <v>0</v>
      </c>
      <c r="T1773" s="540"/>
      <c r="U1773" s="83"/>
      <c r="V1773" s="100" t="b">
        <f>IF(G1773&gt;0,IF(AD1773="me","",G1773))</f>
        <v>0</v>
      </c>
      <c r="W1773" s="100"/>
      <c r="X1773" s="100"/>
      <c r="Y1773" s="201"/>
      <c r="Z1773" s="838" t="str">
        <f t="shared" ref="Z1773" si="4298">IF(G1773=0,"",IF(AD1773="me","",IF(AD1773="free","warranty",IF($AD$8="yes","planting:","if NVP plants:"))))</f>
        <v/>
      </c>
      <c r="AA1773" s="838"/>
      <c r="AB1773" s="830" t="str">
        <f>IF(G1773=0,"",IF(AD1773="free","re-planting",IF(AD1773="me","not NVP, by",IF($AD$8="yes",(VLOOKUP(A1773,'Discount Lookup'!J:K,2)*G1773*(1-#REF!)*(1+$AC$1788)),IF(AD1773="NVP",(VLOOKUP(A1773,'Discount Lookup'!J:K,2)*G1773*(1-#REF!)*(1+$AC$1788)),IF(AD1773="free","re-planting",IF(G1773=0,"",IF($AD$8="",IF(AD1773="me","not NVP, by",IF(AD1773="",IF(G1773&gt;0,(VLOOKUP(A1773,'Discount Lookup'!J:K,2)*G1773*(1-#REF!)*(1+$AC$1788)),""),"")),"not NVP, by"))))))))</f>
        <v/>
      </c>
      <c r="AC1773" s="830"/>
      <c r="AD1773" s="375" t="str">
        <f t="shared" si="4290"/>
        <v/>
      </c>
      <c r="AE1773" s="833" t="str">
        <f t="shared" si="4116"/>
        <v/>
      </c>
      <c r="AF1773" s="833"/>
      <c r="AG1773" s="833"/>
      <c r="AH1773" s="91">
        <f>IF(AD1773="free",0,IF(AD1773="me",0,IF(G1773&gt;0,(VLOOKUP(A1773,'Discount Lookup'!J:K,2)*G1773),0)))</f>
        <v>0</v>
      </c>
      <c r="AI1773" s="92" t="str">
        <f t="shared" si="4273"/>
        <v/>
      </c>
      <c r="AJ1773" s="828" t="str">
        <f t="shared" si="4148"/>
        <v/>
      </c>
      <c r="AK1773" s="828"/>
      <c r="AL1773" s="313" t="str">
        <f t="shared" si="4274"/>
        <v/>
      </c>
      <c r="AM1773" s="312"/>
      <c r="AN1773" s="101"/>
      <c r="AO1773" s="101"/>
      <c r="AP1773" s="101"/>
      <c r="AQ1773" s="101"/>
      <c r="AR1773" s="101"/>
      <c r="AS1773" s="101"/>
      <c r="AT1773" s="101"/>
    </row>
    <row r="1774" spans="1:46" ht="12.95" customHeight="1">
      <c r="A1774" s="642" t="s">
        <v>1563</v>
      </c>
      <c r="B1774" s="643"/>
      <c r="C1774" s="644"/>
      <c r="D1774" s="644"/>
      <c r="E1774" s="645"/>
      <c r="F1774" s="730"/>
      <c r="G1774" s="646"/>
      <c r="H1774" s="760"/>
      <c r="I1774" s="647"/>
      <c r="J1774" s="647"/>
      <c r="K1774" s="648"/>
      <c r="L1774" s="648"/>
      <c r="M1774" s="649"/>
      <c r="N1774" s="659"/>
      <c r="O1774" s="659"/>
      <c r="P1774" s="659"/>
      <c r="Q1774" s="660"/>
      <c r="R1774" s="83"/>
      <c r="S1774" s="82"/>
      <c r="T1774" s="540"/>
      <c r="U1774" s="83"/>
      <c r="V1774" s="100"/>
      <c r="W1774" s="100"/>
      <c r="X1774" s="100"/>
      <c r="Y1774" s="201"/>
      <c r="Z1774" s="246"/>
      <c r="AA1774" s="246"/>
      <c r="AB1774" s="538"/>
      <c r="AC1774" s="538"/>
      <c r="AD1774" s="375"/>
      <c r="AE1774" s="156"/>
      <c r="AF1774" s="156"/>
      <c r="AG1774" s="156"/>
      <c r="AH1774" s="91"/>
      <c r="AI1774" s="92"/>
      <c r="AJ1774" s="828" t="str">
        <f t="shared" si="4148"/>
        <v/>
      </c>
      <c r="AK1774" s="828"/>
      <c r="AL1774" s="313" t="str">
        <f t="shared" si="4274"/>
        <v/>
      </c>
      <c r="AM1774" s="312"/>
      <c r="AN1774" s="101"/>
      <c r="AO1774" s="101"/>
      <c r="AP1774" s="101"/>
      <c r="AQ1774" s="101"/>
      <c r="AR1774" s="101"/>
      <c r="AS1774" s="101"/>
      <c r="AT1774" s="101"/>
    </row>
    <row r="1775" spans="1:46" ht="12.95" customHeight="1">
      <c r="A1775" s="650"/>
      <c r="B1775" s="641" t="s">
        <v>1251</v>
      </c>
      <c r="C1775" s="1038"/>
      <c r="D1775" s="1038"/>
      <c r="E1775" s="641" t="s">
        <v>1252</v>
      </c>
      <c r="F1775" s="940"/>
      <c r="G1775" s="940"/>
      <c r="H1775" s="940"/>
      <c r="I1775" s="641" t="s">
        <v>1253</v>
      </c>
      <c r="J1775" s="653"/>
      <c r="K1775" s="651"/>
      <c r="L1775" s="651"/>
      <c r="M1775" s="652"/>
      <c r="N1775" s="653"/>
      <c r="O1775" s="653"/>
      <c r="P1775" s="653"/>
      <c r="Q1775" s="660"/>
      <c r="R1775" s="83"/>
      <c r="S1775" s="82" t="e">
        <f t="shared" ref="S1775" si="4299">E1775*G1775</f>
        <v>#VALUE!</v>
      </c>
      <c r="T1775" s="540"/>
      <c r="U1775" s="83"/>
      <c r="V1775" s="100" t="b">
        <f>IF(G1775&gt;0,IF(AD1775="me","",G1775))</f>
        <v>0</v>
      </c>
      <c r="W1775" s="100"/>
      <c r="X1775" s="100"/>
      <c r="Y1775" s="201"/>
      <c r="Z1775" s="838" t="str">
        <f t="shared" ref="Z1775" si="4300">IF(G1775=0,"",IF(AD1775="me","",IF(AD1775="free","warranty",IF($AD$8="yes","planting:","if NVP plants:"))))</f>
        <v/>
      </c>
      <c r="AA1775" s="838"/>
      <c r="AB1775" s="538"/>
      <c r="AC1775" s="538"/>
      <c r="AD1775" s="375"/>
      <c r="AE1775" s="156"/>
      <c r="AF1775" s="156"/>
      <c r="AG1775" s="156"/>
      <c r="AH1775" s="91"/>
      <c r="AI1775" s="92"/>
      <c r="AJ1775" s="828" t="str">
        <f t="shared" si="4148"/>
        <v/>
      </c>
      <c r="AK1775" s="828"/>
      <c r="AL1775" s="313" t="str">
        <f t="shared" si="4274"/>
        <v/>
      </c>
      <c r="AM1775" s="312"/>
      <c r="AN1775" s="101"/>
      <c r="AO1775" s="101"/>
      <c r="AP1775" s="101"/>
      <c r="AQ1775" s="101"/>
      <c r="AR1775" s="101"/>
      <c r="AS1775" s="101"/>
      <c r="AT1775" s="101"/>
    </row>
    <row r="1776" spans="1:46" ht="12.95" customHeight="1">
      <c r="A1776" s="955" t="s">
        <v>1254</v>
      </c>
      <c r="B1776" s="956"/>
      <c r="C1776" s="956"/>
      <c r="D1776" s="653"/>
      <c r="E1776" s="653"/>
      <c r="F1776" s="731"/>
      <c r="G1776" s="653"/>
      <c r="H1776" s="731"/>
      <c r="I1776" s="653"/>
      <c r="J1776" s="653"/>
      <c r="K1776" s="653"/>
      <c r="L1776" s="653"/>
      <c r="M1776" s="652"/>
      <c r="N1776" s="653"/>
      <c r="O1776" s="653"/>
      <c r="P1776" s="653"/>
      <c r="Q1776" s="660"/>
      <c r="R1776" s="83"/>
      <c r="S1776" s="82"/>
      <c r="T1776" s="540"/>
      <c r="U1776" s="83"/>
      <c r="V1776" s="100"/>
      <c r="W1776" s="100"/>
      <c r="X1776" s="100"/>
      <c r="Y1776" s="201"/>
      <c r="Z1776" s="246"/>
      <c r="AA1776" s="246"/>
      <c r="AB1776" s="538"/>
      <c r="AC1776" s="538"/>
      <c r="AD1776" s="375"/>
      <c r="AE1776" s="156"/>
      <c r="AF1776" s="156"/>
      <c r="AG1776" s="156"/>
      <c r="AH1776" s="91"/>
      <c r="AI1776" s="92"/>
      <c r="AJ1776" s="828" t="str">
        <f t="shared" ref="AJ1776" si="4301">IF(G1776=0,"",IF(AD1776="me","  delivery-only",IF($AD$8="me","  delivery-only",CONCATENATE(" $",ROUND(AI1776/G1776,2)," each"))))</f>
        <v/>
      </c>
      <c r="AK1776" s="828"/>
      <c r="AL1776" s="313" t="str">
        <f t="shared" si="4274"/>
        <v/>
      </c>
      <c r="AM1776" s="312"/>
      <c r="AN1776" s="101"/>
      <c r="AO1776" s="101"/>
      <c r="AP1776" s="101"/>
      <c r="AQ1776" s="101"/>
      <c r="AR1776" s="101"/>
      <c r="AS1776" s="101"/>
      <c r="AT1776" s="101"/>
    </row>
    <row r="1777" spans="1:46" ht="12.95" customHeight="1" thickBot="1">
      <c r="A1777" s="654"/>
      <c r="B1777" s="655" t="s">
        <v>1304</v>
      </c>
      <c r="C1777" s="656"/>
      <c r="D1777" s="656"/>
      <c r="E1777" s="657"/>
      <c r="F1777" s="732"/>
      <c r="G1777" s="657"/>
      <c r="H1777" s="732"/>
      <c r="I1777" s="657"/>
      <c r="J1777" s="657"/>
      <c r="K1777" s="657"/>
      <c r="L1777" s="657"/>
      <c r="M1777" s="658"/>
      <c r="N1777" s="657"/>
      <c r="O1777" s="657"/>
      <c r="P1777" s="657"/>
      <c r="Q1777" s="660"/>
      <c r="R1777" s="83"/>
      <c r="S1777" s="82">
        <f t="shared" ref="S1777" si="4302">E1777*G1777</f>
        <v>0</v>
      </c>
      <c r="T1777" s="540"/>
      <c r="U1777" s="83"/>
      <c r="V1777" s="100" t="b">
        <f>IF(G1777&gt;0,IF(AD1777="me","",G1777))</f>
        <v>0</v>
      </c>
      <c r="W1777" s="100"/>
      <c r="X1777" s="100"/>
      <c r="Y1777" s="201"/>
      <c r="Z1777" s="838" t="str">
        <f t="shared" ref="Z1777" si="4303">IF(G1777=0,"",IF(AD1777="me","",IF(AD1777="free","warranty",IF($AD$8="yes","planting:","if NVP plants:"))))</f>
        <v/>
      </c>
      <c r="AA1777" s="838"/>
      <c r="AB1777" s="538"/>
      <c r="AC1777" s="538"/>
      <c r="AD1777" s="375"/>
      <c r="AE1777" s="156"/>
      <c r="AF1777" s="156"/>
      <c r="AG1777" s="156"/>
      <c r="AH1777" s="91"/>
      <c r="AI1777" s="92"/>
      <c r="AJ1777" s="828" t="str">
        <f t="shared" si="4148"/>
        <v/>
      </c>
      <c r="AK1777" s="828"/>
      <c r="AL1777" s="313" t="str">
        <f t="shared" si="4274"/>
        <v/>
      </c>
      <c r="AM1777" s="312"/>
      <c r="AN1777" s="101"/>
      <c r="AO1777" s="101"/>
      <c r="AP1777" s="101"/>
      <c r="AQ1777" s="101"/>
      <c r="AR1777" s="101"/>
      <c r="AS1777" s="101"/>
      <c r="AT1777" s="101"/>
    </row>
    <row r="1778" spans="1:46" ht="12.95" customHeight="1">
      <c r="A1778" s="822">
        <f>COUNTIF($A$11:$A$1756,"")-7</f>
        <v>412</v>
      </c>
      <c r="B1778" s="823" t="s">
        <v>1214</v>
      </c>
      <c r="C1778" s="824"/>
      <c r="D1778" s="825" t="s">
        <v>34</v>
      </c>
      <c r="E1778" s="1037" t="s">
        <v>1629</v>
      </c>
      <c r="F1778" s="1037"/>
      <c r="G1778" s="819" t="s">
        <v>35</v>
      </c>
      <c r="H1778" s="820" t="s">
        <v>1302</v>
      </c>
      <c r="I1778" s="821" t="s">
        <v>36</v>
      </c>
      <c r="J1778" s="821" t="s">
        <v>37</v>
      </c>
      <c r="K1778" s="927" t="s">
        <v>38</v>
      </c>
      <c r="L1778" s="927"/>
      <c r="M1778" s="942" t="s">
        <v>39</v>
      </c>
      <c r="N1778" s="942"/>
      <c r="O1778" s="942" t="s">
        <v>40</v>
      </c>
      <c r="P1778" s="942"/>
      <c r="Q1778" s="81"/>
      <c r="R1778" s="83"/>
      <c r="S1778" s="82"/>
      <c r="T1778" s="540"/>
      <c r="U1778" s="83"/>
      <c r="V1778" s="83"/>
      <c r="W1778" s="83"/>
      <c r="X1778" s="83"/>
      <c r="Y1778" s="199"/>
      <c r="Z1778" s="226"/>
      <c r="AA1778" s="156"/>
      <c r="AB1778" s="156"/>
      <c r="AC1778" s="227"/>
      <c r="AD1778" s="437"/>
      <c r="AE1778" s="228"/>
      <c r="AF1778" s="229"/>
      <c r="AG1778" s="156"/>
      <c r="AH1778" s="91"/>
      <c r="AI1778" s="230"/>
      <c r="AJ1778" s="1040"/>
      <c r="AK1778" s="1040"/>
      <c r="AL1778" s="314" t="str">
        <f>IF(G1778=0,"",IF(AD1778="me",CONCATENATE(" $",ROUND(AI1778/G1778,2)," per plant")," "))</f>
        <v xml:space="preserve"> </v>
      </c>
      <c r="AM1778" s="315"/>
      <c r="AO1778" s="132"/>
      <c r="AP1778" s="132"/>
      <c r="AQ1778" s="132"/>
      <c r="AR1778" s="132"/>
      <c r="AS1778" s="132"/>
      <c r="AT1778" s="132"/>
    </row>
    <row r="1779" spans="1:46" ht="12.95" customHeight="1">
      <c r="A1779" s="453"/>
      <c r="B1779" s="194"/>
      <c r="C1779" s="187"/>
      <c r="D1779" s="225"/>
      <c r="E1779" s="80"/>
      <c r="F1779" s="733"/>
      <c r="G1779" s="376"/>
      <c r="H1779" s="761"/>
      <c r="J1779" s="529" t="s">
        <v>1596</v>
      </c>
      <c r="K1779" s="930" t="s">
        <v>29</v>
      </c>
      <c r="L1779" s="930"/>
      <c r="M1779" s="80"/>
      <c r="N1779" s="80"/>
      <c r="O1779" s="80"/>
      <c r="P1779" s="80"/>
      <c r="Q1779" s="81"/>
      <c r="R1779" s="83"/>
      <c r="S1779" s="82"/>
      <c r="T1779" s="540"/>
      <c r="U1779" s="83"/>
      <c r="V1779" s="83"/>
      <c r="W1779" s="83"/>
      <c r="X1779" s="83"/>
      <c r="Y1779" s="199"/>
      <c r="Z1779" s="226"/>
      <c r="AA1779" s="156"/>
      <c r="AB1779" s="156"/>
      <c r="AC1779" s="227"/>
      <c r="AD1779" s="438" t="str">
        <f>IF($AD$8="yes","",IF($AD$8="","↟↟",""))</f>
        <v>↟↟</v>
      </c>
      <c r="AE1779" s="228"/>
      <c r="AF1779" s="229"/>
      <c r="AG1779" s="156"/>
      <c r="AH1779" s="91"/>
      <c r="AI1779" s="230"/>
      <c r="AJ1779" s="321"/>
      <c r="AK1779" s="321"/>
      <c r="AL1779" s="314"/>
      <c r="AM1779" s="315"/>
      <c r="AO1779" s="132"/>
      <c r="AP1779" s="132"/>
      <c r="AQ1779" s="132"/>
      <c r="AR1779" s="132"/>
      <c r="AS1779" s="132"/>
      <c r="AT1779" s="132"/>
    </row>
    <row r="1780" spans="1:46" ht="12.95" customHeight="1">
      <c r="A1780" s="936"/>
      <c r="B1780" s="936"/>
      <c r="C1780" s="80"/>
      <c r="D1780" s="336"/>
      <c r="F1780" s="734"/>
      <c r="G1780" s="367"/>
      <c r="H1780" s="762"/>
      <c r="I1780" s="231"/>
      <c r="J1780" s="232"/>
      <c r="K1780" s="625"/>
      <c r="L1780" s="531" t="str">
        <f>IF(H1781&gt;0,"Take 7 days to inspect plants for health, then NO WARRANTY APPLIES","After 7 days to inspect plants for health, 2-YEAR 50% WARRANTY APPLIES")</f>
        <v>After 7 days to inspect plants for health, 2-YEAR 50% WARRANTY APPLIES</v>
      </c>
      <c r="M1780" s="233"/>
      <c r="N1780" s="80"/>
      <c r="O1780" s="80"/>
      <c r="P1780" s="80"/>
      <c r="Q1780" s="81"/>
      <c r="R1780" s="83"/>
      <c r="S1780" s="82"/>
      <c r="T1780" s="540"/>
      <c r="U1780" s="83"/>
      <c r="Y1780" s="132"/>
      <c r="Z1780" s="966" t="str">
        <f>IF($AD$8="me","No planting requested, per 'me' at top of purple column.",IF($AD$8="","       No planting at all? Type 'me' at top of purple column.",IF($E$1="Order"," T2G sent a copy of Order to NVP.",IF($E$1="Delivered","",IF($E$1="Completed",""," T2G will send a copy of Order to NVP when finalized.")))))</f>
        <v xml:space="preserve">       No planting at all? Type 'me' at top of purple column.</v>
      </c>
      <c r="AA1780" s="966"/>
      <c r="AB1780" s="966"/>
      <c r="AC1780" s="966"/>
      <c r="AD1780" s="966"/>
      <c r="AE1780" s="966"/>
      <c r="AF1780" s="966"/>
      <c r="AG1780" s="966"/>
      <c r="AH1780" s="64">
        <f>SUM(AH11:AH1777)+AE1789</f>
        <v>0</v>
      </c>
      <c r="AI1780" s="235"/>
      <c r="AJ1780" s="1019"/>
      <c r="AK1780" s="1019"/>
      <c r="AL1780" s="316" t="str">
        <f>IF(G1780=0,"",IF(AD1780="me",CONCATENATE(" $",ROUND(AI1780/G1780,2)," per plant")," "))</f>
        <v/>
      </c>
      <c r="AM1780" s="315"/>
      <c r="AO1780" s="132"/>
      <c r="AP1780" s="132"/>
      <c r="AQ1780" s="132"/>
      <c r="AR1780" s="132"/>
      <c r="AS1780" s="132"/>
      <c r="AT1780" s="132"/>
    </row>
    <row r="1781" spans="1:46" ht="12.95" customHeight="1">
      <c r="A1781" s="951" t="s">
        <v>1320</v>
      </c>
      <c r="B1781" s="951"/>
      <c r="C1781" s="951"/>
      <c r="D1781" s="951"/>
      <c r="E1781" s="238"/>
      <c r="F1781" s="735" t="s">
        <v>1307</v>
      </c>
      <c r="G1781" s="573">
        <f>SUM(G11:G1773)</f>
        <v>0</v>
      </c>
      <c r="H1781" s="788"/>
      <c r="I1781" s="924" t="str">
        <f>IF(H1781&gt;0,"Extra Discount for Warranty Delete",IF(M1787&gt;0,"Mileage Fee applies each trip",IF(G1781&gt;0,"includes Free Local Delivery","includes Free Local Delivery")))</f>
        <v>includes Free Local Delivery</v>
      </c>
      <c r="J1781" s="924"/>
      <c r="K1781" s="924"/>
      <c r="L1781" s="925"/>
      <c r="M1781" s="241"/>
      <c r="N1781" s="941" t="s">
        <v>1425</v>
      </c>
      <c r="O1781" s="941"/>
      <c r="P1781" s="941"/>
      <c r="Q1781" s="941"/>
      <c r="R1781" s="941"/>
      <c r="S1781" s="941"/>
      <c r="T1781" s="941"/>
      <c r="U1781" s="941"/>
      <c r="V1781" s="234"/>
      <c r="W1781" s="234"/>
      <c r="Y1781" s="132"/>
      <c r="Z1781" s="588" t="s">
        <v>910</v>
      </c>
      <c r="AA1781" s="661" t="str">
        <f>IF(AD8="me","",IF(AF1789&gt;0,"","Planting"))</f>
        <v>Planting</v>
      </c>
      <c r="AB1781" s="912" t="str">
        <f>IF($AD$8="me","",IF(ISNUMBER($AA$1781),"Extra Discount for Warranty Delete",IF($AF$1789&gt;0,"Mileage Fee applies each trip.","includes 2-year 100% SERVICE WARRANTY")))</f>
        <v>includes 2-year 100% SERVICE WARRANTY</v>
      </c>
      <c r="AC1781" s="912"/>
      <c r="AD1781" s="912"/>
      <c r="AE1781" s="912"/>
      <c r="AF1781" s="912"/>
      <c r="AG1781" s="912"/>
      <c r="AH1781" s="912"/>
      <c r="AI1781" s="912"/>
      <c r="AJ1781" s="1019"/>
      <c r="AK1781" s="1019"/>
      <c r="AT1781" s="132"/>
    </row>
    <row r="1782" spans="1:46" ht="12.95" customHeight="1">
      <c r="A1782" s="677" t="str">
        <f>IF(E1="Order"," if CHANGES NEEDED, please contact right away","")</f>
        <v/>
      </c>
      <c r="B1782" s="236"/>
      <c r="C1782" s="237"/>
      <c r="D1782" s="582"/>
      <c r="E1782" s="243"/>
      <c r="F1782" s="368"/>
      <c r="G1782" s="689" t="str">
        <f>IF(H1782="","","Extra Discount:")</f>
        <v/>
      </c>
      <c r="H1782" s="800"/>
      <c r="I1782" s="239" t="s">
        <v>19</v>
      </c>
      <c r="J1782" s="240">
        <v>7.2499999999999995E-2</v>
      </c>
      <c r="K1782" s="239" t="s">
        <v>21</v>
      </c>
      <c r="L1782" s="320"/>
      <c r="M1782" s="121"/>
      <c r="N1782" s="941" t="s">
        <v>1426</v>
      </c>
      <c r="O1782" s="941"/>
      <c r="P1782" s="941"/>
      <c r="Q1782" s="941"/>
      <c r="R1782" s="941"/>
      <c r="S1782" s="941"/>
      <c r="T1782" s="941"/>
      <c r="U1782" s="941"/>
      <c r="Y1782" s="49"/>
      <c r="Z1782" s="827" t="s">
        <v>1658</v>
      </c>
      <c r="AA1782" s="49"/>
      <c r="AB1782" s="50"/>
      <c r="AC1782" s="49"/>
      <c r="AD1782" s="50"/>
      <c r="AE1782" s="50"/>
      <c r="AF1782" s="50"/>
      <c r="AG1782" s="49"/>
      <c r="AH1782" s="244" t="s">
        <v>911</v>
      </c>
      <c r="AI1782" s="245" t="s">
        <v>912</v>
      </c>
      <c r="AJ1782" s="1019" t="s">
        <v>910</v>
      </c>
      <c r="AK1782" s="1019"/>
      <c r="AT1782" s="132"/>
    </row>
    <row r="1783" spans="1:46" ht="12.95" customHeight="1">
      <c r="A1783" s="59"/>
      <c r="B1783" s="1033" t="str">
        <f>IF($H$1781&gt;0,"Warranty Delete selected",IF($E$1="Price It","PRICE IT can be ORDER FORM",IF($E$1="Quote","Please choose plants as you like.",IF($E$1="Order","PLEASE RE-CHECK ALL DATA",IF($AD$8="yes","Please notify if plants fail:","planting is not a perfect science")))))</f>
        <v>PRICE IT can be ORDER FORM</v>
      </c>
      <c r="C1783" s="1034"/>
      <c r="D1783" s="1034"/>
      <c r="E1783" s="243"/>
      <c r="F1783" s="368"/>
      <c r="G1783" s="368"/>
      <c r="H1783" s="781" t="s">
        <v>1590</v>
      </c>
      <c r="I1783" s="574">
        <f>SUM(W11:W1777)</f>
        <v>0</v>
      </c>
      <c r="J1783" s="574">
        <f>SUM(J11:J1777)</f>
        <v>0</v>
      </c>
      <c r="K1783" s="938">
        <f>SUM(W11:W1777)+J1783</f>
        <v>0</v>
      </c>
      <c r="L1783" s="939"/>
      <c r="M1783" s="121"/>
      <c r="N1783" s="48"/>
      <c r="O1783" s="85"/>
      <c r="P1783" s="132"/>
      <c r="Q1783" s="132"/>
      <c r="R1783" s="132"/>
      <c r="S1783" s="132"/>
      <c r="T1783" s="552"/>
      <c r="U1783" s="132"/>
      <c r="Y1783" s="49"/>
      <c r="Z1783" s="1023" t="str">
        <f>IF($AD$8="me","NO NVP PLANTING this project",IF(E1791&gt;0,"** any accrued NVP Discount not applied **",IF($AD$8="yes"," PLANTING REQUESTED","OPTIONAL NVP PLANTING: please request")))</f>
        <v>OPTIONAL NVP PLANTING: please request</v>
      </c>
      <c r="AA1783" s="1023"/>
      <c r="AB1783" s="1023"/>
      <c r="AC1783" s="1023"/>
      <c r="AD1783" s="1023"/>
      <c r="AE1783" s="1023"/>
      <c r="AF1783" s="1023"/>
      <c r="AG1783" s="73"/>
      <c r="AH1783" s="246" t="s">
        <v>913</v>
      </c>
      <c r="AI1783" s="247">
        <v>8</v>
      </c>
      <c r="AJ1783" s="1019"/>
      <c r="AK1783" s="1019"/>
      <c r="AT1783" s="132"/>
    </row>
    <row r="1784" spans="1:46" ht="12.95" customHeight="1">
      <c r="A1784" s="59"/>
      <c r="B1784" s="944" t="str">
        <f>IF($H$1781&gt;0,"no Warranty applies",IF($E$1="Price it","get a copy, make choices, send back: ",IF($E$1="Quote","Advise of edits, maybe copy doc back.",IF($E$1="Order","Errors can happen anywhere",IF($E$1="Delivered","contact Trees2Go if health issues ",IF($E$1="Completed","contact T2G if health issues ",IF($G$1781&gt;0,"Page is a Cart","Pick plants, then share or attach: ")))))))</f>
        <v xml:space="preserve">get a copy, make choices, send back: </v>
      </c>
      <c r="C1784" s="945"/>
      <c r="D1784" s="945"/>
      <c r="E1784" s="957" t="str">
        <f>IF(H1781&gt;0,"T2G Discounts:","T2G Discount:")</f>
        <v>T2G Discount:</v>
      </c>
      <c r="F1784" s="957"/>
      <c r="G1784" s="957"/>
      <c r="H1784" s="782">
        <f>(+'Discount Lookup'!B3)+H1781+H1782</f>
        <v>0</v>
      </c>
      <c r="I1784" s="574">
        <f>-(I1783)*(H1784)</f>
        <v>0</v>
      </c>
      <c r="J1784" s="574">
        <f>-(J1783)*(H1784)</f>
        <v>0</v>
      </c>
      <c r="K1784" s="958">
        <f>-(K1783)*(H1784)</f>
        <v>0</v>
      </c>
      <c r="L1784" s="959"/>
      <c r="M1784" s="121"/>
      <c r="N1784" s="947" t="s">
        <v>914</v>
      </c>
      <c r="O1784" s="947"/>
      <c r="P1784" s="947"/>
      <c r="Q1784" s="947"/>
      <c r="R1784" s="947"/>
      <c r="S1784" s="947"/>
      <c r="T1784" s="947"/>
      <c r="U1784" s="947"/>
      <c r="Y1784" s="49"/>
      <c r="Z1784" s="516"/>
      <c r="AA1784" s="910" t="str">
        <f>IF($AD$8="me","if NVP installs:",IF($AD$8="yes","NVP will install:","if NVP installs: "))</f>
        <v xml:space="preserve">if NVP installs: </v>
      </c>
      <c r="AB1784" s="910"/>
      <c r="AC1784" s="910"/>
      <c r="AD1784" s="910"/>
      <c r="AE1784" s="570" t="str">
        <f>IF($AD$8="",CONCATENATE(X1796,IF(X1796=1," plant"," plants")),IF($AD$8="yes",CONCATENATE(X1796,IF(X1796=1," plant"," plants")),"0 plants"))</f>
        <v>0 plants</v>
      </c>
      <c r="AF1784" s="249"/>
      <c r="AG1784" s="49"/>
      <c r="AH1784" s="246" t="s">
        <v>915</v>
      </c>
      <c r="AI1784" s="247">
        <v>13</v>
      </c>
      <c r="AJ1784" s="1019"/>
      <c r="AK1784" s="1019"/>
      <c r="AT1784" s="132"/>
    </row>
    <row r="1785" spans="1:46" ht="12.95" customHeight="1">
      <c r="A1785" s="59"/>
      <c r="B1785" s="944" t="str">
        <f>IF($H$1781&gt;0,"Guarantee still applies",IF($E$1="Price It","Mike@Trees2Go.com",IF($E$1="Quote","Not final until you approve.",IF($E$1="Order","Mike@Trees2Go.com",IF(AD8="yes","contact NVP if structural issues","Warranty applies for any reason")))))</f>
        <v>Mike@Trees2Go.com</v>
      </c>
      <c r="C1785" s="945"/>
      <c r="D1785" s="945"/>
      <c r="E1785" s="243"/>
      <c r="F1785" s="368"/>
      <c r="G1785" s="368"/>
      <c r="H1785" s="781" t="s">
        <v>1591</v>
      </c>
      <c r="I1785" s="574">
        <f>(I1783+I1784)</f>
        <v>0</v>
      </c>
      <c r="J1785" s="574">
        <f>(J1783+J1784)</f>
        <v>0</v>
      </c>
      <c r="K1785" s="908">
        <f>(K1783+K1784)</f>
        <v>0</v>
      </c>
      <c r="L1785" s="909"/>
      <c r="M1785" s="121"/>
      <c r="N1785" s="947"/>
      <c r="O1785" s="947"/>
      <c r="P1785" s="947"/>
      <c r="Q1785" s="947"/>
      <c r="R1785" s="947"/>
      <c r="S1785" s="947"/>
      <c r="T1785" s="947"/>
      <c r="U1785" s="947"/>
      <c r="Y1785" s="49"/>
      <c r="Z1785" s="71"/>
      <c r="AA1785" s="1021" t="s">
        <v>916</v>
      </c>
      <c r="AB1785" s="1021"/>
      <c r="AC1785" s="1021"/>
      <c r="AD1785" s="1021"/>
      <c r="AE1785" s="572">
        <f>IF($AD$8="",SUM(AH10:AH1777),IF($AD$8="yes",SUM(AH10:AH1777),"$0.00"))</f>
        <v>0</v>
      </c>
      <c r="AF1785" s="249"/>
      <c r="AG1785" s="49"/>
      <c r="AH1785" s="246" t="s">
        <v>917</v>
      </c>
      <c r="AI1785" s="247">
        <v>15</v>
      </c>
      <c r="AJ1785" s="1019"/>
      <c r="AK1785" s="1019"/>
      <c r="AT1785" s="132"/>
    </row>
    <row r="1786" spans="1:46" ht="12.95" customHeight="1">
      <c r="A1786" s="918" t="str">
        <f>IF($E$1="Price it","",IF($E$1="Quote","",IF($E$1="Order","",IF($E$1="Completed","",IF(J1783=0,"",IF($J$1785/0.0725=$I$1785,"",CONCATENATE("$",ROUNDUP($J$1785/0.0725,2)," or 1%: $",ROUNDUP($J$1786/0.0725,2))))))))</f>
        <v/>
      </c>
      <c r="B1786" s="918"/>
      <c r="C1786" s="918"/>
      <c r="D1786" s="703" t="str">
        <f>IF($E$1="Price it","",IF($E$1="Quote","",IF($E$1="Order","",IF($E$1="Completed","",IF(J1783=0,"",IF($J$1785/0.0725=$I$1785,"","= True 'Resale'"))))))</f>
        <v/>
      </c>
      <c r="E1786" s="583"/>
      <c r="F1786" s="368"/>
      <c r="G1786" s="326"/>
      <c r="H1786" s="799" t="str">
        <f>IF($K$1788=0,"",IF($E$1="Delivered","if Cash/Check/Venmo*:",IF($E$1="Completed","if Cash/Check/Venmo*:","")))</f>
        <v/>
      </c>
      <c r="I1786" s="346" t="str">
        <f>IF($K$1788=0,"",IF($E$1="Delivered",I1785*0.99,IF($E$1="Completed",I1785*0.99,"")))</f>
        <v/>
      </c>
      <c r="J1786" s="346" t="str">
        <f>IF($K$1788=0,"",IF($E$1="Delivered",J1785*0.99,IF($E$1="Completed",J1785*0.99,"")))</f>
        <v/>
      </c>
      <c r="K1786" s="237"/>
      <c r="L1786" s="237"/>
      <c r="M1786" s="121"/>
      <c r="N1786" s="947"/>
      <c r="O1786" s="947"/>
      <c r="P1786" s="947"/>
      <c r="Q1786" s="947"/>
      <c r="R1786" s="947"/>
      <c r="S1786" s="947"/>
      <c r="T1786" s="947"/>
      <c r="U1786" s="947"/>
      <c r="Y1786" s="49"/>
      <c r="Z1786" s="71"/>
      <c r="AA1786" s="182"/>
      <c r="AB1786" s="337" t="str">
        <f>IF(AD8="me","NVP Discount:",IF(AA1781="Planting","NVP Discount:",IF(AA1781="","NVP Discount:","Two Discounts:")))</f>
        <v>NVP Discount:</v>
      </c>
      <c r="AC1786" s="571">
        <f>IF(AD8="me","0%",IF(AB1781="Mileage Fee applies each trip.",(+'Discount Lookup'!N3),IF($AA$1781="Planting",(+'Discount Lookup'!N3),(+'Discount Lookup'!N3)+$AA$1781)))</f>
        <v>0</v>
      </c>
      <c r="AD1786" s="182"/>
      <c r="AE1786" s="572">
        <f>-(AE1785-AE1787)</f>
        <v>0</v>
      </c>
      <c r="AF1786" s="49"/>
      <c r="AG1786" s="49"/>
      <c r="AH1786" s="246" t="s">
        <v>918</v>
      </c>
      <c r="AI1786" s="247">
        <v>16</v>
      </c>
      <c r="AJ1786" s="1019"/>
      <c r="AK1786" s="1019"/>
      <c r="AT1786" s="132"/>
    </row>
    <row r="1787" spans="1:46" ht="12.95" customHeight="1">
      <c r="A1787" s="584" t="s">
        <v>1691</v>
      </c>
      <c r="B1787" s="59"/>
      <c r="C1787" s="59"/>
      <c r="D1787" s="59"/>
      <c r="E1787" s="566"/>
      <c r="F1787" s="368"/>
      <c r="G1787" s="326"/>
      <c r="H1787" s="763"/>
      <c r="I1787" s="346"/>
      <c r="J1787" s="351" t="str">
        <f>IF(E1787&gt;0,"miles past edge @ $3.25/mile, one way only:",IF(M1787&gt;0,"Mileage Fee (outside Eastern Triangle Area):","~ no mileage fee ~ "))</f>
        <v xml:space="preserve">~ no mileage fee ~ </v>
      </c>
      <c r="K1787" s="914">
        <f>IF($E$1787&gt;0,CONCATENATE("+$",($E$1787*3.25)),0)</f>
        <v>0</v>
      </c>
      <c r="L1787" s="915"/>
      <c r="M1787" s="154">
        <f>IF($E$1787&gt;0,$E$1787*3.25,$K$1787)</f>
        <v>0</v>
      </c>
      <c r="N1787" s="947"/>
      <c r="O1787" s="947"/>
      <c r="P1787" s="947"/>
      <c r="Q1787" s="947"/>
      <c r="R1787" s="947"/>
      <c r="S1787" s="947"/>
      <c r="T1787" s="947"/>
      <c r="U1787" s="947"/>
      <c r="Y1787" s="49"/>
      <c r="Z1787" s="71"/>
      <c r="AA1787" s="182"/>
      <c r="AB1787" s="307"/>
      <c r="AC1787" s="182"/>
      <c r="AD1787" s="248" t="s">
        <v>919</v>
      </c>
      <c r="AE1787" s="572">
        <f>AE1785-(AE1785*AC1786)</f>
        <v>0</v>
      </c>
      <c r="AF1787" s="49"/>
      <c r="AG1787" s="49"/>
      <c r="AH1787" s="246" t="s">
        <v>920</v>
      </c>
      <c r="AI1787" s="247">
        <v>25</v>
      </c>
      <c r="AJ1787" s="1019"/>
      <c r="AK1787" s="1019"/>
      <c r="AT1787" s="132"/>
    </row>
    <row r="1788" spans="1:46" ht="12.95" customHeight="1">
      <c r="A1788" s="59"/>
      <c r="B1788" s="339">
        <f>ROUNDUP(T1796,2)</f>
        <v>0</v>
      </c>
      <c r="C1788" s="252" t="s">
        <v>921</v>
      </c>
      <c r="D1788" s="534" t="str">
        <f>IF(H1789&gt;0,CONCATENATE("         if Cash/Check/Venmo*: $",(E1789)),IF(K1790&lt;0,CONCATENATE("         Cash/Check/Venmo*: $",E1789),""))</f>
        <v/>
      </c>
      <c r="E1788" s="566"/>
      <c r="F1788" s="368"/>
      <c r="G1788" s="368"/>
      <c r="H1788" s="764"/>
      <c r="I1788" s="346"/>
      <c r="J1788" s="60" t="s">
        <v>1268</v>
      </c>
      <c r="K1788" s="908">
        <f>K1785+M1787</f>
        <v>0</v>
      </c>
      <c r="L1788" s="909"/>
      <c r="M1788" s="121"/>
      <c r="N1788" s="947"/>
      <c r="O1788" s="947"/>
      <c r="P1788" s="947"/>
      <c r="Q1788" s="947"/>
      <c r="R1788" s="947"/>
      <c r="S1788" s="947"/>
      <c r="T1788" s="947"/>
      <c r="U1788" s="947"/>
      <c r="Y1788" s="49"/>
      <c r="Z1788" s="49"/>
      <c r="AA1788" s="250"/>
      <c r="AB1788" s="251" t="str">
        <f>IF(AC1788&gt;0,"+ Estimated Difficulty:","difficulty fee:")</f>
        <v>difficulty fee:</v>
      </c>
      <c r="AC1788" s="675">
        <v>0</v>
      </c>
      <c r="AD1788" s="666" t="str">
        <f>IF(AC1788=0,"(rare)","Fee:")</f>
        <v>(rare)</v>
      </c>
      <c r="AE1788" s="572" t="str">
        <f>IF(AC1788=0,"$0.00",CONCATENATE("+$",AE1787*AC1788))</f>
        <v>$0.00</v>
      </c>
      <c r="AF1788" s="674">
        <f>AE1787*AC1788</f>
        <v>0</v>
      </c>
      <c r="AG1788" s="49"/>
      <c r="AH1788" s="246" t="s">
        <v>922</v>
      </c>
      <c r="AI1788" s="247">
        <v>38</v>
      </c>
      <c r="AJ1788" s="1019"/>
      <c r="AK1788" s="1019"/>
      <c r="AT1788" s="132"/>
    </row>
    <row r="1789" spans="1:46" ht="12.95" customHeight="1">
      <c r="A1789" s="59"/>
      <c r="B1789" s="339">
        <f>ROUNDUP(U1796,2)</f>
        <v>0</v>
      </c>
      <c r="C1789" s="252" t="s">
        <v>923</v>
      </c>
      <c r="D1789" s="253"/>
      <c r="E1789" s="533">
        <f>ROUND((K1792-K1790-K1789),2)</f>
        <v>0</v>
      </c>
      <c r="F1789" s="736"/>
      <c r="G1789" s="441"/>
      <c r="H1789" s="785"/>
      <c r="I1789" s="252"/>
      <c r="J1789" s="255" t="str">
        <f>IF(H1789="","~ no consultation fee ~ ",IF(K1788&lt;500,"of $150 fee is pro-rated:","applies of $150 fee paid:"))</f>
        <v xml:space="preserve">~ no consultation fee ~ </v>
      </c>
      <c r="K1789" s="908">
        <f>IF(H1789=75,(IF(K1788&gt;500,-75,K1788*0.15*-1)),0)</f>
        <v>0</v>
      </c>
      <c r="L1789" s="909"/>
      <c r="M1789" s="121"/>
      <c r="N1789" s="947"/>
      <c r="O1789" s="947"/>
      <c r="P1789" s="947"/>
      <c r="Q1789" s="947"/>
      <c r="R1789" s="947"/>
      <c r="S1789" s="947"/>
      <c r="T1789" s="947"/>
      <c r="U1789" s="947"/>
      <c r="Y1789" s="49"/>
      <c r="Z1789" s="1024" t="str">
        <f>IF(AF1789&gt;0,"+ Mileage Fee:","no mileage fee:")</f>
        <v>no mileage fee:</v>
      </c>
      <c r="AA1789" s="1024"/>
      <c r="AB1789" s="1024"/>
      <c r="AC1789" s="1024"/>
      <c r="AD1789" s="1024"/>
      <c r="AE1789" s="572">
        <f>IF(X1796=0,0,IF($AD$8="",K1787,IF($AD$8="yes",K1787,"$0.00")))</f>
        <v>0</v>
      </c>
      <c r="AF1789" s="254">
        <f>IF(X1796=0,0,IF($AD$8="",M1787,IF($AD$8="yes",M1787,"$0.00")))</f>
        <v>0</v>
      </c>
      <c r="AG1789" s="49"/>
      <c r="AH1789" s="246" t="s">
        <v>924</v>
      </c>
      <c r="AI1789" s="247">
        <v>55</v>
      </c>
      <c r="AJ1789" s="1019"/>
      <c r="AK1789" s="1019"/>
      <c r="AT1789" s="132"/>
    </row>
    <row r="1790" spans="1:46" ht="12.95" customHeight="1">
      <c r="A1790" s="340"/>
      <c r="B1790" s="340"/>
      <c r="C1790" s="340"/>
      <c r="D1790" s="253"/>
      <c r="E1790" s="59"/>
      <c r="F1790" s="736"/>
      <c r="G1790" s="442" t="s">
        <v>925</v>
      </c>
      <c r="H1790" s="783" t="str">
        <f>IF(T2G_Total&lt;2000,"",IF(T2G_Total&gt;4999.99,0.25,IF(T2G_Total&gt;3999.99,0.2,IF(T2G_Total&gt;2999.99,0.15,IF(T2G_Total&gt;1999.99,0.1,0)))))</f>
        <v/>
      </c>
      <c r="I1790" s="954" t="str">
        <f>IF(K1788&gt;1999.99,"deposit needed to order:"," ~ no deposit needed ~ ")</f>
        <v xml:space="preserve"> ~ no deposit needed ~ </v>
      </c>
      <c r="J1790" s="954"/>
      <c r="K1790" s="967">
        <f>IF(H1790="",0,(H1790*T2G_Total*-1))</f>
        <v>0</v>
      </c>
      <c r="L1790" s="968"/>
      <c r="M1790" s="121"/>
      <c r="N1790" s="947"/>
      <c r="O1790" s="947"/>
      <c r="P1790" s="947"/>
      <c r="Q1790" s="947"/>
      <c r="R1790" s="947"/>
      <c r="S1790" s="947"/>
      <c r="T1790" s="947"/>
      <c r="U1790" s="947"/>
      <c r="Y1790" s="49"/>
      <c r="Z1790" s="910" t="s">
        <v>1299</v>
      </c>
      <c r="AA1790" s="910"/>
      <c r="AB1790" s="910"/>
      <c r="AC1790" s="910"/>
      <c r="AD1790" s="910"/>
      <c r="AE1790" s="572">
        <f>IF(AE1785=0,0,IF($AD$8="",SUM(AH11:AH1777)-SUM(AH11:AH1777)*AC1786+M1787+AF1788,IF($AD$8="yes",SUM(AH11:AH1777)-SUM(AH11:AH1777)*AC1786+M1787+AF1788,"$0.00")))</f>
        <v>0</v>
      </c>
      <c r="AF1790" s="49"/>
      <c r="AG1790" s="49"/>
      <c r="AH1790" s="246" t="s">
        <v>926</v>
      </c>
      <c r="AI1790" s="247">
        <v>75</v>
      </c>
      <c r="AJ1790" s="1019"/>
      <c r="AK1790" s="1019"/>
      <c r="AL1790" s="316"/>
      <c r="AM1790" s="315"/>
      <c r="AO1790" s="132"/>
      <c r="AP1790" s="132"/>
      <c r="AQ1790" s="132"/>
      <c r="AR1790" s="132"/>
      <c r="AS1790" s="132"/>
      <c r="AT1790" s="132"/>
    </row>
    <row r="1791" spans="1:46" ht="12.95" customHeight="1">
      <c r="A1791" s="256"/>
      <c r="B1791" s="257"/>
      <c r="C1791" s="257"/>
      <c r="D1791" s="258" t="s">
        <v>927</v>
      </c>
      <c r="E1791" s="928">
        <v>0</v>
      </c>
      <c r="F1791" s="928"/>
      <c r="G1791" s="952" t="s">
        <v>1196</v>
      </c>
      <c r="H1791" s="952"/>
      <c r="I1791" s="952"/>
      <c r="J1791" s="952"/>
      <c r="K1791" s="908">
        <f>K1788+K1789+K1790</f>
        <v>0</v>
      </c>
      <c r="L1791" s="909"/>
      <c r="M1791" s="121"/>
      <c r="N1791" s="947"/>
      <c r="O1791" s="947"/>
      <c r="P1791" s="947"/>
      <c r="Q1791" s="947"/>
      <c r="R1791" s="947"/>
      <c r="S1791" s="947"/>
      <c r="T1791" s="947"/>
      <c r="U1791" s="947"/>
      <c r="Y1791" s="49"/>
      <c r="Z1791" s="1020" t="s">
        <v>1300</v>
      </c>
      <c r="AA1791" s="1020"/>
      <c r="AB1791" s="1020"/>
      <c r="AC1791" s="1020"/>
      <c r="AD1791" s="1020"/>
      <c r="AE1791" s="572">
        <f>AE1790*0.99</f>
        <v>0</v>
      </c>
      <c r="AF1791" s="49"/>
      <c r="AG1791" s="50"/>
      <c r="AH1791" s="246" t="s">
        <v>928</v>
      </c>
      <c r="AI1791" s="247">
        <v>100</v>
      </c>
      <c r="AJ1791" s="1019"/>
      <c r="AK1791" s="1019"/>
      <c r="AL1791" s="316"/>
      <c r="AM1791" s="315"/>
      <c r="AO1791" s="132"/>
      <c r="AP1791" s="132"/>
      <c r="AQ1791" s="132"/>
      <c r="AR1791" s="132"/>
      <c r="AS1791" s="132"/>
      <c r="AT1791" s="132"/>
    </row>
    <row r="1792" spans="1:46" ht="12.95" customHeight="1">
      <c r="A1792" s="948" t="s">
        <v>929</v>
      </c>
      <c r="B1792" s="948"/>
      <c r="C1792" s="948"/>
      <c r="D1792" s="948"/>
      <c r="E1792" s="948"/>
      <c r="F1792" s="736"/>
      <c r="G1792" s="368"/>
      <c r="H1792" s="763"/>
      <c r="I1792" s="59"/>
      <c r="J1792" s="532" t="s">
        <v>1197</v>
      </c>
      <c r="K1792" s="908">
        <f>IF(H1789=75,(K1791*0.99+(K1789*0.01)+(K1790*0.01)-0.25),(K1791*0.99+(K1789*0.01)+(K1790*0.01)))</f>
        <v>0</v>
      </c>
      <c r="L1792" s="909"/>
      <c r="M1792" s="121"/>
      <c r="N1792" s="947"/>
      <c r="O1792" s="947"/>
      <c r="P1792" s="947"/>
      <c r="Q1792" s="947"/>
      <c r="R1792" s="947"/>
      <c r="S1792" s="947"/>
      <c r="T1792" s="947"/>
      <c r="U1792" s="947"/>
      <c r="Y1792" s="49"/>
      <c r="Z1792" s="1026" t="s">
        <v>1330</v>
      </c>
      <c r="AA1792" s="1026"/>
      <c r="AB1792" s="1026"/>
      <c r="AC1792" s="1026"/>
      <c r="AD1792" s="50"/>
      <c r="AE1792" s="50"/>
      <c r="AF1792" s="50"/>
      <c r="AG1792" s="49"/>
      <c r="AH1792" s="246" t="s">
        <v>930</v>
      </c>
      <c r="AI1792" s="247">
        <v>120</v>
      </c>
      <c r="AJ1792" s="1019"/>
      <c r="AK1792" s="1019"/>
      <c r="AL1792" s="316"/>
      <c r="AM1792" s="315"/>
      <c r="AO1792" s="132"/>
      <c r="AP1792" s="132"/>
      <c r="AQ1792" s="132"/>
      <c r="AR1792" s="132"/>
      <c r="AS1792" s="132"/>
      <c r="AT1792" s="132"/>
    </row>
    <row r="1793" spans="1:46" ht="12.95" customHeight="1">
      <c r="A1793" s="935" t="s">
        <v>1448</v>
      </c>
      <c r="B1793" s="935"/>
      <c r="C1793" s="935"/>
      <c r="D1793" s="935"/>
      <c r="E1793" s="935"/>
      <c r="F1793" s="368"/>
      <c r="G1793" s="368"/>
      <c r="H1793" s="763"/>
      <c r="I1793" s="333"/>
      <c r="J1793" s="331"/>
      <c r="K1793" s="332"/>
      <c r="L1793" s="535" t="str">
        <f>IF(T2G_Total=0,"personal checks OK                                                                  ",IF(T2G_Total=0,"","(personal checks OK)             Venmo ID: Michael-Lamar-12  "))</f>
        <v xml:space="preserve">personal checks OK                                                                  </v>
      </c>
      <c r="M1793" s="259"/>
      <c r="Y1793" s="49"/>
      <c r="Z1793" s="49"/>
      <c r="AA1793" s="50"/>
      <c r="AB1793" s="50"/>
      <c r="AC1793" s="50"/>
      <c r="AD1793" s="50"/>
      <c r="AE1793" s="50"/>
      <c r="AF1793" s="50"/>
      <c r="AG1793" s="49"/>
      <c r="AH1793" s="246" t="s">
        <v>931</v>
      </c>
      <c r="AI1793" s="247">
        <v>150</v>
      </c>
      <c r="AJ1793" s="1019"/>
      <c r="AK1793" s="1019"/>
      <c r="AL1793" s="316"/>
      <c r="AM1793" s="315"/>
      <c r="AO1793" s="132"/>
      <c r="AP1793" s="132"/>
      <c r="AQ1793" s="132"/>
      <c r="AR1793" s="132"/>
      <c r="AS1793" s="132"/>
      <c r="AT1793" s="132"/>
    </row>
    <row r="1794" spans="1:46" ht="12.95" customHeight="1">
      <c r="A1794" s="937" t="s">
        <v>0</v>
      </c>
      <c r="B1794" s="937"/>
      <c r="C1794" s="937"/>
      <c r="D1794" s="937"/>
      <c r="E1794" s="937"/>
      <c r="F1794" s="737"/>
      <c r="G1794" s="368"/>
      <c r="H1794" s="764"/>
      <c r="I1794" s="329"/>
      <c r="J1794" s="328"/>
      <c r="K1794" s="327"/>
      <c r="L1794" s="330" t="str">
        <f>IF(T2G_Total=0,"","verification: 1051 &amp; photo of my son + a gecko ")</f>
        <v/>
      </c>
      <c r="M1794" s="48"/>
      <c r="N1794" s="941" t="s">
        <v>932</v>
      </c>
      <c r="O1794" s="941"/>
      <c r="P1794" s="941"/>
      <c r="Q1794" s="941"/>
      <c r="R1794" s="941"/>
      <c r="S1794" s="941"/>
      <c r="T1794" s="941"/>
      <c r="U1794" s="941"/>
      <c r="Y1794" s="49"/>
      <c r="Z1794" s="49"/>
      <c r="AA1794" s="50"/>
      <c r="AB1794" s="50"/>
      <c r="AC1794" s="50"/>
      <c r="AD1794" s="50"/>
      <c r="AE1794" s="50"/>
      <c r="AF1794" s="50"/>
      <c r="AG1794" s="49"/>
      <c r="AH1794" s="246" t="s">
        <v>933</v>
      </c>
      <c r="AI1794" s="247">
        <v>180</v>
      </c>
      <c r="AJ1794" s="1019"/>
      <c r="AK1794" s="1019"/>
      <c r="AL1794" s="316"/>
      <c r="AM1794" s="315"/>
      <c r="AO1794" s="132"/>
      <c r="AP1794" s="132"/>
      <c r="AQ1794" s="132"/>
      <c r="AR1794" s="132"/>
      <c r="AS1794" s="132"/>
      <c r="AT1794" s="132"/>
    </row>
    <row r="1795" spans="1:46" ht="12.95" customHeight="1">
      <c r="A1795" s="948" t="s">
        <v>934</v>
      </c>
      <c r="B1795" s="948"/>
      <c r="C1795" s="948"/>
      <c r="D1795" s="948"/>
      <c r="E1795" s="948"/>
      <c r="F1795" s="368"/>
      <c r="G1795" s="368"/>
      <c r="H1795" s="763"/>
      <c r="I1795" s="328"/>
      <c r="J1795" s="328"/>
      <c r="K1795" s="328"/>
      <c r="L1795" s="330" t="str">
        <f>IF(T2G_Total=0,"",IF(E1="Price it","*please DO NOT click 'Turn on for purchases' ",IF(E1="Quote","*please DO NOT click 'Turn on for purchases' ",IF(E1="Order","*please DO NOT click 'Turn on for purchases' ","*if you DO NOT click 'Turn on for purchases' "))))</f>
        <v/>
      </c>
      <c r="M1795" s="259"/>
      <c r="N1795" s="941" t="s">
        <v>935</v>
      </c>
      <c r="O1795" s="941"/>
      <c r="P1795" s="941"/>
      <c r="Q1795" s="941"/>
      <c r="R1795" s="941"/>
      <c r="S1795" s="941"/>
      <c r="T1795" s="941"/>
      <c r="U1795" s="941"/>
      <c r="Y1795" s="49"/>
      <c r="Z1795" s="49"/>
      <c r="AA1795" s="50"/>
      <c r="AB1795" s="50"/>
      <c r="AC1795" s="50"/>
      <c r="AD1795" s="50"/>
      <c r="AE1795" s="50"/>
      <c r="AF1795" s="50"/>
      <c r="AG1795" s="49"/>
      <c r="AH1795" s="246" t="s">
        <v>936</v>
      </c>
      <c r="AI1795" s="247">
        <v>200</v>
      </c>
      <c r="AJ1795" s="1019"/>
      <c r="AK1795" s="1019"/>
      <c r="AL1795" s="316"/>
      <c r="AM1795" s="315"/>
      <c r="AO1795" s="132"/>
      <c r="AP1795" s="132"/>
      <c r="AQ1795" s="132"/>
      <c r="AR1795" s="132"/>
      <c r="AS1795" s="132"/>
      <c r="AT1795" s="132"/>
    </row>
    <row r="1796" spans="1:46" ht="12.95" customHeight="1">
      <c r="B1796" s="48"/>
      <c r="C1796" s="48"/>
      <c r="G1796" s="359"/>
      <c r="H1796" s="746"/>
      <c r="T1796" s="544">
        <f>SUM(T12:T1774)</f>
        <v>0</v>
      </c>
      <c r="U1796" s="688">
        <f>SUM(U12:U1774)</f>
        <v>0</v>
      </c>
      <c r="X1796" s="234">
        <f>SUM(X11:X1777)</f>
        <v>0</v>
      </c>
      <c r="Y1796" s="792"/>
      <c r="Z1796" s="49"/>
      <c r="AA1796" s="50"/>
      <c r="AB1796" s="50"/>
      <c r="AC1796" s="50"/>
      <c r="AD1796" s="50"/>
      <c r="AE1796" s="50"/>
      <c r="AF1796" s="249" t="s">
        <v>937</v>
      </c>
      <c r="AG1796" s="49"/>
      <c r="AH1796" s="246" t="s">
        <v>938</v>
      </c>
      <c r="AI1796" s="247">
        <v>300</v>
      </c>
      <c r="AJ1796" s="1019"/>
      <c r="AK1796" s="1019"/>
      <c r="AL1796" s="316"/>
      <c r="AM1796" s="315"/>
      <c r="AO1796" s="132"/>
      <c r="AQ1796" s="132"/>
      <c r="AR1796" s="132"/>
      <c r="AS1796" s="132"/>
      <c r="AT1796" s="132"/>
    </row>
    <row r="1797" spans="1:46" ht="12.95" customHeight="1">
      <c r="A1797" s="428" t="str">
        <f>IF($E$1="Price it","",IF($E$1="Quote","",IF($E$1="Order","",IF($E$1="Delivered","Thank you!",IF($E$1="Completed","Thank you!","")))))</f>
        <v/>
      </c>
      <c r="B1797" s="190"/>
      <c r="C1797" s="104"/>
      <c r="D1797" s="953" t="str">
        <f>IF(E1="Price it","⇩ scroll down for Service Area, Cancel Fee, Guarantee and Warranty ⇩",IF(E1="Quote","⇩ scroll down for Service Area, Cancel Fee, Guarantee and Warranty ⇩",IF(E1="Order","⇩ scroll down for Service Area, Cancel Fee, Guarantee, and Warranty ⇩","")))</f>
        <v>⇩ scroll down for Service Area, Cancel Fee, Guarantee and Warranty ⇩</v>
      </c>
      <c r="E1797" s="953"/>
      <c r="F1797" s="953"/>
      <c r="G1797" s="953"/>
      <c r="H1797" s="953"/>
      <c r="I1797" s="953"/>
      <c r="J1797" s="953"/>
      <c r="K1797" s="953"/>
      <c r="L1797" s="953"/>
      <c r="M1797" s="48"/>
      <c r="Y1797" s="49"/>
      <c r="Z1797" s="49"/>
      <c r="AA1797" s="50"/>
      <c r="AB1797" s="50"/>
      <c r="AC1797" s="50"/>
      <c r="AD1797" s="50"/>
      <c r="AE1797" s="50"/>
      <c r="AF1797" s="249" t="s">
        <v>1187</v>
      </c>
      <c r="AG1797" s="49"/>
      <c r="AH1797" s="246" t="s">
        <v>939</v>
      </c>
      <c r="AI1797" s="247">
        <v>400</v>
      </c>
      <c r="AJ1797" s="1019"/>
      <c r="AK1797" s="1019"/>
      <c r="AL1797" s="316"/>
      <c r="AM1797" s="315"/>
      <c r="AO1797" s="132"/>
      <c r="AQ1797" s="132"/>
      <c r="AR1797" s="132"/>
      <c r="AS1797" s="132"/>
      <c r="AT1797" s="132"/>
    </row>
    <row r="1798" spans="1:46" ht="12.95" customHeight="1">
      <c r="D1798" s="262"/>
      <c r="G1798" s="359"/>
      <c r="H1798" s="746"/>
      <c r="K1798" s="607"/>
      <c r="L1798" s="607"/>
      <c r="M1798" s="48"/>
      <c r="Y1798" s="49"/>
      <c r="Z1798" s="49"/>
      <c r="AA1798" s="887" t="s">
        <v>32</v>
      </c>
      <c r="AB1798" s="887"/>
      <c r="AC1798" s="887"/>
      <c r="AD1798" s="887"/>
      <c r="AE1798" s="887"/>
      <c r="AF1798" s="887"/>
      <c r="AG1798" s="49"/>
      <c r="AH1798" s="246" t="s">
        <v>940</v>
      </c>
      <c r="AI1798" s="247">
        <v>700</v>
      </c>
      <c r="AJ1798" s="1019"/>
      <c r="AK1798" s="1019"/>
      <c r="AL1798" s="316"/>
      <c r="AM1798" s="315"/>
      <c r="AO1798" s="132"/>
      <c r="AQ1798" s="132"/>
      <c r="AR1798" s="132"/>
      <c r="AS1798" s="132"/>
      <c r="AT1798" s="132"/>
    </row>
    <row r="1799" spans="1:46" ht="12.95" customHeight="1">
      <c r="H1799" s="363"/>
      <c r="S1799" s="555"/>
      <c r="T1799" s="556"/>
      <c r="U1799" s="132"/>
      <c r="V1799" s="132"/>
      <c r="W1799" s="557"/>
      <c r="X1799" s="132"/>
      <c r="Y1799" s="49"/>
      <c r="Z1799" s="49"/>
      <c r="AA1799" s="907" t="s">
        <v>41</v>
      </c>
      <c r="AB1799" s="907"/>
      <c r="AC1799" s="907"/>
      <c r="AD1799" s="907"/>
      <c r="AE1799" s="907"/>
      <c r="AF1799" s="907"/>
      <c r="AG1799" s="49"/>
      <c r="AH1799" s="246" t="s">
        <v>941</v>
      </c>
      <c r="AI1799" s="247">
        <v>800</v>
      </c>
      <c r="AJ1799" s="1019"/>
      <c r="AK1799" s="1019"/>
      <c r="AL1799" s="316"/>
      <c r="AM1799" s="315"/>
      <c r="AO1799" s="132"/>
      <c r="AP1799" s="132"/>
      <c r="AQ1799" s="132"/>
      <c r="AR1799" s="132"/>
      <c r="AS1799" s="132"/>
      <c r="AT1799" s="132"/>
    </row>
    <row r="1800" spans="1:46" ht="12.75" customHeight="1">
      <c r="A1800" s="943" t="s">
        <v>1570</v>
      </c>
      <c r="B1800" s="943"/>
      <c r="E1800" s="208"/>
      <c r="F1800" s="721"/>
      <c r="G1800" s="459"/>
      <c r="H1800" s="765"/>
      <c r="I1800" s="77"/>
      <c r="J1800" s="78"/>
      <c r="K1800" s="626" t="s">
        <v>1339</v>
      </c>
      <c r="L1800" s="457" t="str">
        <f>IF($G$1781&gt;0,"OPTIONAL company is summed up here ↗↗","prices for OPTIONAL company will show ↗↗")</f>
        <v>prices for OPTIONAL company will show ↗↗</v>
      </c>
      <c r="M1800" s="79"/>
      <c r="N1800" s="79"/>
      <c r="O1800" s="78"/>
      <c r="P1800" s="49"/>
      <c r="Q1800" s="73"/>
      <c r="R1800" s="73"/>
      <c r="S1800" s="73"/>
      <c r="T1800" s="550"/>
      <c r="U1800" s="73"/>
      <c r="V1800" s="344"/>
      <c r="W1800" s="49"/>
      <c r="X1800" s="49"/>
      <c r="Y1800" s="49"/>
      <c r="Z1800" s="49"/>
      <c r="AA1800" s="49"/>
      <c r="AB1800" s="49"/>
      <c r="AC1800" s="1039"/>
      <c r="AD1800" s="1039"/>
      <c r="AE1800" s="1039"/>
      <c r="AF1800" s="1039"/>
      <c r="AG1800" s="49"/>
      <c r="AH1800" s="49"/>
      <c r="AI1800" s="49"/>
      <c r="AJ1800" s="1019"/>
      <c r="AK1800" s="1019"/>
      <c r="AL1800" s="316"/>
      <c r="AM1800" s="315"/>
      <c r="AO1800" s="132"/>
      <c r="AP1800" s="132"/>
      <c r="AQ1800" s="132"/>
      <c r="AR1800" s="132"/>
      <c r="AS1800" s="132"/>
      <c r="AT1800" s="132"/>
    </row>
    <row r="1801" spans="1:46" ht="12.75" customHeight="1">
      <c r="A1801" s="427" t="str">
        <f>IF($E$1="Price it"," 919-266-7939",IF($E$1="Quote","Quote is",IF($E$1="Order","",IF($E$1="Delivered","",""))))</f>
        <v xml:space="preserve"> 919-266-7939</v>
      </c>
      <c r="D1801" s="345" t="str">
        <f>IF($E$1="Price it","  Mike@Trees2Go.com",IF($E$1="Quote","",IF($E$1="Order","",IF($E$1="Delivered","",""))))</f>
        <v xml:space="preserve">  Mike@Trees2Go.com</v>
      </c>
      <c r="H1801" s="743"/>
      <c r="I1801" s="190"/>
      <c r="J1801" s="102"/>
      <c r="K1801" s="607"/>
      <c r="L1801" s="607"/>
      <c r="M1801" s="260"/>
      <c r="N1801" s="48"/>
      <c r="O1801" s="48"/>
      <c r="P1801" s="263"/>
      <c r="Q1801" s="263"/>
      <c r="R1801" s="264"/>
      <c r="S1801" s="265"/>
      <c r="T1801" s="551"/>
      <c r="U1801" s="85"/>
      <c r="Z1801" s="1041"/>
      <c r="AA1801" s="1041"/>
      <c r="AB1801" s="1041"/>
      <c r="AC1801" s="1041"/>
      <c r="AD1801" s="1041"/>
      <c r="AE1801" s="1041"/>
      <c r="AF1801" s="1041"/>
      <c r="AG1801" s="1041"/>
      <c r="AH1801" s="48"/>
      <c r="AJ1801" s="317"/>
      <c r="AK1801" s="318"/>
      <c r="AL1801" s="316"/>
      <c r="AM1801" s="315"/>
      <c r="AO1801" s="132"/>
      <c r="AP1801" s="132"/>
      <c r="AQ1801" s="132"/>
      <c r="AR1801" s="132"/>
      <c r="AS1801" s="132"/>
      <c r="AT1801" s="132"/>
    </row>
    <row r="1802" spans="1:46" ht="12.95" customHeight="1">
      <c r="A1802" s="428" t="str">
        <f>IF($E$1="Price it","Questions? call Mon-Saturday until 5pm OR EMAIL ANY DAY, ANY TIME",IF($E$1="Quote","good 30 days                         (as long as plants still available at sources)",IF($E$1="Order","Thank you!",IF($E$1="Delivered","Michael Lamar",IF($E$1="Completed","Michael Lamar","Please call or email if you have any questions.")))))</f>
        <v>Questions? call Mon-Saturday until 5pm OR EMAIL ANY DAY, ANY TIME</v>
      </c>
      <c r="D1802" s="266"/>
      <c r="E1802" s="267"/>
      <c r="G1802" s="369"/>
      <c r="H1802" s="766"/>
      <c r="J1802" s="132"/>
      <c r="K1802" s="609"/>
      <c r="L1802" s="609"/>
      <c r="M1802" s="132"/>
      <c r="N1802" s="48"/>
      <c r="O1802" s="48"/>
      <c r="P1802" s="263"/>
      <c r="Q1802" s="263"/>
      <c r="R1802" s="264"/>
      <c r="S1802" s="265"/>
      <c r="T1802" s="551"/>
      <c r="U1802" s="85"/>
      <c r="Z1802" s="132"/>
      <c r="AA1802" s="827"/>
      <c r="AB1802" s="132"/>
      <c r="AC1802" s="1027" t="s">
        <v>1329</v>
      </c>
      <c r="AD1802" s="1027"/>
      <c r="AE1802" s="1027"/>
      <c r="AF1802" s="1027"/>
      <c r="AG1802" s="132"/>
      <c r="AH1802" s="48"/>
      <c r="AJ1802" s="1019"/>
      <c r="AK1802" s="1019"/>
      <c r="AL1802" s="316"/>
      <c r="AM1802" s="315"/>
      <c r="AO1802" s="132"/>
      <c r="AP1802" s="132"/>
      <c r="AQ1802" s="132"/>
      <c r="AR1802" s="132"/>
      <c r="AS1802" s="132"/>
      <c r="AT1802" s="132"/>
    </row>
    <row r="1803" spans="1:46" ht="12.95" customHeight="1">
      <c r="A1803" s="702"/>
      <c r="B1803" s="80"/>
      <c r="D1803" s="266"/>
      <c r="E1803" s="267"/>
      <c r="G1803" s="369"/>
      <c r="H1803" s="766"/>
      <c r="I1803" s="132"/>
      <c r="J1803" s="132"/>
      <c r="K1803" s="840" t="s">
        <v>125</v>
      </c>
      <c r="L1803" s="840"/>
      <c r="M1803" s="132"/>
      <c r="N1803" s="48"/>
      <c r="O1803" s="48"/>
      <c r="P1803" s="48"/>
      <c r="Q1803" s="48"/>
      <c r="R1803" s="48"/>
      <c r="S1803" s="48"/>
      <c r="T1803" s="546"/>
      <c r="Y1803" s="49"/>
      <c r="Z1803" s="1022" t="s">
        <v>1326</v>
      </c>
      <c r="AA1803" s="1022"/>
      <c r="AB1803" s="1022"/>
      <c r="AC1803" s="1022"/>
      <c r="AD1803" s="1022"/>
      <c r="AE1803" s="1022"/>
      <c r="AF1803" s="74"/>
      <c r="AG1803" s="74"/>
      <c r="AH1803" s="48"/>
      <c r="AJ1803" s="317"/>
      <c r="AK1803" s="317"/>
      <c r="AL1803" s="316"/>
      <c r="AM1803" s="315"/>
      <c r="AO1803" s="132"/>
      <c r="AP1803" s="132"/>
      <c r="AQ1803" s="132"/>
      <c r="AR1803" s="132"/>
      <c r="AS1803" s="132"/>
      <c r="AT1803" s="132"/>
    </row>
    <row r="1804" spans="1:46" ht="12.95" customHeight="1">
      <c r="B1804" s="922" t="s">
        <v>1305</v>
      </c>
      <c r="C1804" s="922"/>
      <c r="D1804" s="922"/>
      <c r="E1804" s="922"/>
      <c r="F1804" s="922"/>
      <c r="G1804" s="922"/>
      <c r="H1804" s="922"/>
      <c r="I1804" s="922"/>
      <c r="J1804" s="268"/>
      <c r="K1804" s="268"/>
      <c r="L1804" s="268"/>
      <c r="M1804" s="308"/>
      <c r="Y1804" s="49"/>
      <c r="Z1804" s="1025" t="s">
        <v>1325</v>
      </c>
      <c r="AA1804" s="1025"/>
      <c r="AB1804" s="1025"/>
      <c r="AC1804" s="1025"/>
      <c r="AD1804" s="1025"/>
      <c r="AE1804" s="1025"/>
      <c r="AF1804" s="1025"/>
      <c r="AG1804" s="1025"/>
      <c r="AH1804" s="48"/>
      <c r="AJ1804" s="317"/>
      <c r="AK1804" s="319"/>
      <c r="AL1804" s="316"/>
      <c r="AM1804" s="315"/>
      <c r="AO1804" s="132"/>
      <c r="AP1804" s="132"/>
      <c r="AQ1804" s="132"/>
      <c r="AR1804" s="132"/>
      <c r="AS1804" s="132"/>
      <c r="AT1804" s="132"/>
    </row>
    <row r="1805" spans="1:46" ht="12.95" customHeight="1">
      <c r="A1805" s="261"/>
      <c r="B1805" s="269" t="s">
        <v>1454</v>
      </c>
      <c r="C1805" s="270"/>
      <c r="D1805" s="270"/>
      <c r="E1805" s="270"/>
      <c r="F1805" s="370"/>
      <c r="G1805" s="370"/>
      <c r="H1805" s="767"/>
      <c r="I1805" s="270"/>
      <c r="J1805" s="270"/>
      <c r="K1805" s="589"/>
      <c r="L1805" s="268"/>
      <c r="M1805" s="308"/>
      <c r="V1805" s="132"/>
      <c r="W1805" s="132"/>
      <c r="X1805" s="132"/>
      <c r="Y1805" s="49"/>
      <c r="Z1805" s="906" t="s">
        <v>1566</v>
      </c>
      <c r="AA1805" s="906"/>
      <c r="AB1805" s="906"/>
      <c r="AC1805" s="906"/>
      <c r="AD1805" s="906"/>
      <c r="AE1805" s="906"/>
      <c r="AF1805" s="906"/>
      <c r="AG1805" s="906"/>
      <c r="AH1805" s="48"/>
      <c r="AJ1805" s="317"/>
      <c r="AK1805" s="319"/>
      <c r="AL1805" s="316"/>
      <c r="AM1805" s="315"/>
      <c r="AO1805" s="132"/>
      <c r="AP1805" s="132"/>
      <c r="AQ1805" s="132"/>
      <c r="AR1805" s="132"/>
      <c r="AS1805" s="132"/>
      <c r="AT1805" s="132"/>
    </row>
    <row r="1806" spans="1:46" ht="12.95" customHeight="1">
      <c r="A1806" s="261"/>
      <c r="B1806" s="269" t="s">
        <v>1499</v>
      </c>
      <c r="C1806" s="270"/>
      <c r="D1806" s="270"/>
      <c r="E1806" s="270"/>
      <c r="F1806" s="370"/>
      <c r="G1806" s="370"/>
      <c r="H1806" s="767"/>
      <c r="I1806" s="270"/>
      <c r="J1806" s="270"/>
      <c r="K1806" s="589"/>
      <c r="L1806" s="268"/>
      <c r="M1806" s="308"/>
      <c r="V1806" s="132"/>
      <c r="W1806" s="132"/>
      <c r="X1806" s="132"/>
      <c r="Y1806" s="49"/>
      <c r="Z1806" s="906" t="s">
        <v>1565</v>
      </c>
      <c r="AA1806" s="906"/>
      <c r="AB1806" s="906"/>
      <c r="AC1806" s="906"/>
      <c r="AD1806" s="906"/>
      <c r="AE1806" s="906"/>
      <c r="AF1806" s="906"/>
      <c r="AG1806" s="906"/>
      <c r="AH1806" s="48"/>
      <c r="AJ1806" s="317"/>
      <c r="AK1806" s="319"/>
      <c r="AL1806" s="316"/>
      <c r="AM1806" s="315"/>
      <c r="AO1806" s="132"/>
      <c r="AP1806" s="132"/>
      <c r="AQ1806" s="132"/>
      <c r="AR1806" s="132"/>
      <c r="AS1806" s="132"/>
      <c r="AT1806" s="132"/>
    </row>
    <row r="1807" spans="1:46" ht="12.95" customHeight="1">
      <c r="A1807" s="261"/>
      <c r="B1807" s="271"/>
      <c r="C1807" s="272"/>
      <c r="D1807" s="272"/>
      <c r="E1807" s="272"/>
      <c r="F1807" s="371"/>
      <c r="G1807" s="371"/>
      <c r="H1807" s="784" t="s">
        <v>1593</v>
      </c>
      <c r="I1807" s="273" t="str">
        <f>CONCATENATE("$",ROUNDUP((K1783+E1791+K1787),2),"")</f>
        <v>$0</v>
      </c>
      <c r="J1807" s="237"/>
      <c r="K1807" s="591"/>
      <c r="L1807" s="268"/>
      <c r="M1807" s="308"/>
      <c r="V1807" s="132"/>
      <c r="W1807" s="132"/>
      <c r="X1807" s="132"/>
      <c r="Y1807" s="49"/>
      <c r="Z1807" s="906" t="s">
        <v>1567</v>
      </c>
      <c r="AA1807" s="906"/>
      <c r="AB1807" s="906"/>
      <c r="AC1807" s="906"/>
      <c r="AD1807" s="906"/>
      <c r="AE1807" s="906"/>
      <c r="AF1807" s="906"/>
      <c r="AG1807" s="906"/>
      <c r="AH1807" s="48"/>
      <c r="AJ1807" s="317"/>
      <c r="AK1807" s="319"/>
      <c r="AL1807" s="316"/>
      <c r="AM1807" s="315"/>
      <c r="AO1807" s="132"/>
      <c r="AP1807" s="132"/>
      <c r="AQ1807" s="132"/>
      <c r="AR1807" s="132"/>
      <c r="AS1807" s="132"/>
      <c r="AT1807" s="132"/>
    </row>
    <row r="1808" spans="1:46" ht="12.95" customHeight="1">
      <c r="A1808" s="261"/>
      <c r="B1808" s="274"/>
      <c r="C1808" s="275"/>
      <c r="D1808" s="276"/>
      <c r="E1808" s="277"/>
      <c r="F1808" s="373"/>
      <c r="G1808" s="372"/>
      <c r="H1808" s="768"/>
      <c r="I1808" s="324" t="s">
        <v>942</v>
      </c>
      <c r="J1808" s="280"/>
      <c r="K1808" s="591"/>
      <c r="L1808" s="268"/>
      <c r="M1808" s="308"/>
      <c r="V1808" s="132"/>
      <c r="W1808" s="132"/>
      <c r="X1808" s="132"/>
      <c r="Y1808" s="49"/>
      <c r="Z1808" s="906" t="s">
        <v>1568</v>
      </c>
      <c r="AA1808" s="906"/>
      <c r="AB1808" s="906"/>
      <c r="AC1808" s="906"/>
      <c r="AD1808" s="906"/>
      <c r="AE1808" s="906"/>
      <c r="AF1808" s="906"/>
      <c r="AG1808" s="906"/>
      <c r="AH1808" s="48"/>
      <c r="AJ1808" s="317"/>
      <c r="AK1808" s="319"/>
      <c r="AL1808" s="316"/>
      <c r="AM1808" s="315"/>
      <c r="AO1808" s="132"/>
      <c r="AP1808" s="132"/>
      <c r="AQ1808" s="132"/>
      <c r="AR1808" s="132"/>
      <c r="AS1808" s="132"/>
      <c r="AT1808" s="132"/>
    </row>
    <row r="1809" spans="1:46" ht="12.95" customHeight="1">
      <c r="A1809" s="261"/>
      <c r="B1809" s="274"/>
      <c r="C1809" s="275"/>
      <c r="D1809" s="276"/>
      <c r="E1809" s="277"/>
      <c r="F1809" s="373"/>
      <c r="G1809" s="372"/>
      <c r="H1809" s="768"/>
      <c r="I1809" s="325" t="s">
        <v>943</v>
      </c>
      <c r="J1809" s="280"/>
      <c r="K1809" s="591"/>
      <c r="L1809" s="268"/>
      <c r="M1809" s="308"/>
      <c r="V1809" s="132"/>
      <c r="W1809" s="132"/>
      <c r="X1809" s="132"/>
      <c r="Y1809" s="49"/>
      <c r="Z1809" s="906"/>
      <c r="AA1809" s="906"/>
      <c r="AB1809" s="906"/>
      <c r="AC1809" s="906"/>
      <c r="AD1809" s="906"/>
      <c r="AE1809" s="906"/>
      <c r="AF1809" s="906"/>
      <c r="AG1809" s="906"/>
      <c r="AH1809" s="48"/>
      <c r="AJ1809" s="317"/>
      <c r="AK1809" s="319"/>
      <c r="AL1809" s="316"/>
      <c r="AM1809" s="315"/>
      <c r="AO1809" s="132"/>
      <c r="AP1809" s="132"/>
      <c r="AQ1809" s="132"/>
      <c r="AR1809" s="132"/>
      <c r="AS1809" s="132"/>
      <c r="AT1809" s="132"/>
    </row>
    <row r="1810" spans="1:46" ht="12.95" customHeight="1">
      <c r="A1810" s="261"/>
      <c r="B1810" s="274"/>
      <c r="C1810" s="275"/>
      <c r="D1810" s="276"/>
      <c r="E1810" s="277"/>
      <c r="F1810" s="373"/>
      <c r="G1810" s="372"/>
      <c r="H1810" s="768"/>
      <c r="I1810" s="280" t="s">
        <v>944</v>
      </c>
      <c r="J1810" s="280"/>
      <c r="K1810" s="950" t="s">
        <v>945</v>
      </c>
      <c r="L1810" s="950"/>
      <c r="M1810" s="950"/>
      <c r="V1810" s="132"/>
      <c r="W1810" s="132"/>
      <c r="X1810" s="132"/>
      <c r="Y1810" s="49"/>
      <c r="Z1810" s="906" t="s">
        <v>1324</v>
      </c>
      <c r="AA1810" s="906"/>
      <c r="AB1810" s="906"/>
      <c r="AC1810" s="906"/>
      <c r="AD1810" s="906"/>
      <c r="AE1810" s="906"/>
      <c r="AF1810" s="906"/>
      <c r="AG1810" s="906"/>
      <c r="AH1810" s="48"/>
      <c r="AJ1810" s="317"/>
      <c r="AK1810" s="319"/>
      <c r="AL1810" s="316"/>
      <c r="AM1810" s="315"/>
      <c r="AO1810" s="132"/>
      <c r="AP1810" s="132"/>
      <c r="AQ1810" s="132"/>
      <c r="AR1810" s="132"/>
      <c r="AS1810" s="132"/>
      <c r="AT1810" s="132"/>
    </row>
    <row r="1811" spans="1:46" ht="12.95" customHeight="1">
      <c r="A1811" s="261"/>
      <c r="B1811" s="274"/>
      <c r="C1811" s="275"/>
      <c r="D1811" s="276"/>
      <c r="E1811" s="277"/>
      <c r="F1811" s="373"/>
      <c r="G1811" s="372"/>
      <c r="H1811" s="768"/>
      <c r="I1811" s="280" t="s">
        <v>946</v>
      </c>
      <c r="J1811" s="280"/>
      <c r="K1811" s="950"/>
      <c r="L1811" s="950"/>
      <c r="M1811" s="950"/>
      <c r="V1811" s="132"/>
      <c r="W1811" s="132"/>
      <c r="X1811" s="132"/>
      <c r="Y1811" s="49"/>
      <c r="Z1811" s="906" t="s">
        <v>1333</v>
      </c>
      <c r="AA1811" s="906"/>
      <c r="AB1811" s="906"/>
      <c r="AC1811" s="906"/>
      <c r="AD1811" s="906"/>
      <c r="AE1811" s="906"/>
      <c r="AF1811" s="906"/>
      <c r="AG1811" s="906"/>
      <c r="AH1811" s="48"/>
      <c r="AJ1811" s="317"/>
      <c r="AK1811" s="319"/>
      <c r="AL1811" s="316"/>
      <c r="AM1811" s="315"/>
      <c r="AO1811" s="132"/>
      <c r="AP1811" s="132"/>
      <c r="AQ1811" s="132"/>
      <c r="AR1811" s="132"/>
      <c r="AS1811" s="132"/>
      <c r="AT1811" s="132"/>
    </row>
    <row r="1812" spans="1:46" ht="12.95" customHeight="1">
      <c r="A1812" s="261"/>
      <c r="B1812" s="274"/>
      <c r="C1812" s="342" t="str">
        <f>IF(A1="MS",(IF(G1781&gt;0,"","click 'Enable Editing' at top")),IF(A1="GS","to save choices, pull down 'File', then 'Make a Copy'",IF(E1="Price it","no BUY or SAVE button ~ get a copy to fill (below)","Mike Lamar")))</f>
        <v>click 'Enable Editing' at top</v>
      </c>
      <c r="D1812" s="237"/>
      <c r="E1812" s="59"/>
      <c r="F1812" s="373"/>
      <c r="G1812" s="368"/>
      <c r="H1812" s="768"/>
      <c r="I1812" s="280" t="s">
        <v>947</v>
      </c>
      <c r="J1812" s="280"/>
      <c r="K1812" s="950"/>
      <c r="L1812" s="950"/>
      <c r="M1812" s="950"/>
      <c r="V1812" s="132"/>
      <c r="W1812" s="132"/>
      <c r="X1812" s="132"/>
      <c r="Y1812" s="49"/>
      <c r="Z1812" s="1025"/>
      <c r="AA1812" s="1025"/>
      <c r="AB1812" s="1025"/>
      <c r="AC1812" s="1025"/>
      <c r="AD1812" s="1025"/>
      <c r="AE1812" s="1025"/>
      <c r="AF1812" s="1025"/>
      <c r="AG1812" s="1025"/>
      <c r="AH1812" s="48"/>
      <c r="AJ1812" s="317"/>
      <c r="AK1812" s="319"/>
      <c r="AL1812" s="316"/>
      <c r="AM1812" s="315"/>
      <c r="AO1812" s="132"/>
      <c r="AP1812" s="132"/>
      <c r="AQ1812" s="132"/>
      <c r="AR1812" s="132"/>
      <c r="AS1812" s="132"/>
      <c r="AT1812" s="132"/>
    </row>
    <row r="1813" spans="1:46" ht="12.95" customHeight="1">
      <c r="A1813" s="261"/>
      <c r="B1813" s="280"/>
      <c r="C1813" s="342" t="str">
        <f>IF($E$1="Price it","Send/share your choices, with or without a file:","(919) 266-7939")</f>
        <v>Send/share your choices, with or without a file:</v>
      </c>
      <c r="D1813" s="75"/>
      <c r="E1813" s="281"/>
      <c r="F1813" s="738"/>
      <c r="G1813" s="368"/>
      <c r="H1813" s="768"/>
      <c r="I1813" s="280" t="s">
        <v>948</v>
      </c>
      <c r="J1813" s="280"/>
      <c r="K1813" s="950"/>
      <c r="L1813" s="950"/>
      <c r="M1813" s="950"/>
      <c r="V1813" s="132"/>
      <c r="W1813" s="132"/>
      <c r="X1813" s="132"/>
      <c r="Y1813" s="49"/>
      <c r="Z1813" s="1025" t="s">
        <v>1327</v>
      </c>
      <c r="AA1813" s="1025"/>
      <c r="AB1813" s="1025"/>
      <c r="AC1813" s="1025"/>
      <c r="AD1813" s="1025"/>
      <c r="AE1813" s="1025"/>
      <c r="AF1813" s="1025"/>
      <c r="AG1813" s="1025"/>
      <c r="AH1813" s="48"/>
      <c r="AJ1813" s="317"/>
      <c r="AK1813" s="319"/>
      <c r="AL1813" s="316"/>
      <c r="AM1813" s="315"/>
      <c r="AO1813" s="132"/>
      <c r="AP1813" s="132"/>
      <c r="AQ1813" s="132"/>
      <c r="AR1813" s="132"/>
      <c r="AS1813" s="132"/>
      <c r="AT1813" s="132"/>
    </row>
    <row r="1814" spans="1:46" ht="12.95" customHeight="1">
      <c r="A1814" s="261"/>
      <c r="B1814" s="274"/>
      <c r="C1814" s="458" t="str">
        <f>IF($E$1="Price it","Mike@Trees2Go.com","Mike@Trees2Go.com")</f>
        <v>Mike@Trees2Go.com</v>
      </c>
      <c r="D1814" s="282"/>
      <c r="E1814" s="283"/>
      <c r="F1814" s="738"/>
      <c r="G1814" s="368"/>
      <c r="H1814" s="768"/>
      <c r="I1814" s="280" t="s">
        <v>949</v>
      </c>
      <c r="J1814" s="280"/>
      <c r="K1814" s="950"/>
      <c r="L1814" s="950"/>
      <c r="M1814" s="950"/>
      <c r="N1814" s="48"/>
      <c r="O1814" s="85"/>
      <c r="P1814" s="132"/>
      <c r="Q1814" s="132"/>
      <c r="R1814" s="132"/>
      <c r="S1814" s="132"/>
      <c r="T1814" s="552"/>
      <c r="U1814" s="132"/>
      <c r="V1814" s="132"/>
      <c r="W1814" s="132"/>
      <c r="X1814" s="132"/>
      <c r="Y1814" s="49"/>
      <c r="Z1814" s="906" t="s">
        <v>1384</v>
      </c>
      <c r="AA1814" s="906"/>
      <c r="AB1814" s="906"/>
      <c r="AC1814" s="906"/>
      <c r="AD1814" s="906"/>
      <c r="AE1814" s="906"/>
      <c r="AF1814" s="906"/>
      <c r="AG1814" s="906"/>
      <c r="AH1814" s="48"/>
      <c r="AJ1814" s="317"/>
      <c r="AK1814" s="319"/>
      <c r="AL1814" s="316"/>
      <c r="AM1814" s="315"/>
      <c r="AO1814" s="132"/>
      <c r="AP1814" s="132"/>
      <c r="AQ1814" s="132"/>
      <c r="AR1814" s="132"/>
      <c r="AS1814" s="132"/>
      <c r="AT1814" s="132"/>
    </row>
    <row r="1815" spans="1:46" ht="12.95" customHeight="1">
      <c r="A1815" s="261"/>
      <c r="B1815" s="274"/>
      <c r="C1815" s="342" t="str">
        <f>IF($E$1="Price it","Please include your name, street address &amp; phone.","")</f>
        <v>Please include your name, street address &amp; phone.</v>
      </c>
      <c r="D1815" s="284"/>
      <c r="E1815" s="281"/>
      <c r="F1815" s="739"/>
      <c r="G1815" s="368"/>
      <c r="H1815" s="768"/>
      <c r="I1815" s="280" t="s">
        <v>950</v>
      </c>
      <c r="J1815" s="280"/>
      <c r="K1815" s="950"/>
      <c r="L1815" s="950"/>
      <c r="M1815" s="950"/>
      <c r="N1815" s="48"/>
      <c r="O1815" s="85"/>
      <c r="P1815" s="132"/>
      <c r="Q1815" s="132"/>
      <c r="R1815" s="132"/>
      <c r="S1815" s="132"/>
      <c r="T1815" s="552"/>
      <c r="U1815" s="132"/>
      <c r="V1815" s="132"/>
      <c r="W1815" s="132"/>
      <c r="X1815" s="132"/>
      <c r="Y1815" s="49"/>
      <c r="Z1815" s="886"/>
      <c r="AA1815" s="886"/>
      <c r="AB1815" s="886"/>
      <c r="AC1815" s="886"/>
      <c r="AD1815" s="886"/>
      <c r="AE1815" s="886"/>
      <c r="AF1815" s="886"/>
      <c r="AG1815" s="886"/>
      <c r="AH1815" s="48"/>
      <c r="AJ1815" s="317"/>
      <c r="AK1815" s="319"/>
      <c r="AL1815" s="316"/>
      <c r="AM1815" s="315"/>
      <c r="AO1815" s="132"/>
      <c r="AP1815" s="132"/>
      <c r="AQ1815" s="132"/>
      <c r="AR1815" s="132"/>
      <c r="AS1815" s="132"/>
      <c r="AT1815" s="132"/>
    </row>
    <row r="1816" spans="1:46" ht="12.95" customHeight="1">
      <c r="A1816" s="261"/>
      <c r="B1816" s="274"/>
      <c r="C1816" s="275"/>
      <c r="D1816" s="276"/>
      <c r="E1816" s="277"/>
      <c r="F1816" s="373"/>
      <c r="G1816" s="372"/>
      <c r="H1816" s="768"/>
      <c r="I1816" s="280" t="s">
        <v>951</v>
      </c>
      <c r="J1816" s="280"/>
      <c r="K1816" s="591"/>
      <c r="L1816" s="268"/>
      <c r="M1816" s="308"/>
      <c r="N1816" s="48"/>
      <c r="O1816" s="85"/>
      <c r="P1816" s="132"/>
      <c r="Q1816" s="132"/>
      <c r="R1816" s="132"/>
      <c r="S1816" s="132"/>
      <c r="T1816" s="552"/>
      <c r="U1816" s="132"/>
      <c r="V1816" s="132"/>
      <c r="W1816" s="132"/>
      <c r="X1816" s="132"/>
      <c r="Y1816" s="49"/>
      <c r="Z1816" s="886" t="s">
        <v>1416</v>
      </c>
      <c r="AA1816" s="886"/>
      <c r="AB1816" s="886"/>
      <c r="AC1816" s="886"/>
      <c r="AD1816" s="886"/>
      <c r="AE1816" s="886"/>
      <c r="AF1816" s="886"/>
      <c r="AG1816" s="886"/>
      <c r="AH1816" s="48"/>
      <c r="AJ1816" s="317"/>
      <c r="AK1816" s="319"/>
      <c r="AL1816" s="316"/>
      <c r="AM1816" s="315"/>
      <c r="AO1816" s="132"/>
      <c r="AP1816" s="132"/>
      <c r="AQ1816" s="132"/>
      <c r="AR1816" s="132"/>
      <c r="AS1816" s="132"/>
      <c r="AT1816" s="132"/>
    </row>
    <row r="1817" spans="1:46" ht="12.95" customHeight="1">
      <c r="A1817" s="261"/>
      <c r="B1817" s="274"/>
      <c r="C1817" s="275"/>
      <c r="D1817" s="276"/>
      <c r="E1817" s="277"/>
      <c r="F1817" s="373"/>
      <c r="G1817" s="372"/>
      <c r="H1817" s="768"/>
      <c r="I1817" s="280" t="s">
        <v>952</v>
      </c>
      <c r="J1817" s="280"/>
      <c r="K1817" s="285"/>
      <c r="L1817" s="268"/>
      <c r="M1817" s="308"/>
      <c r="N1817" s="48"/>
      <c r="O1817" s="85"/>
      <c r="P1817" s="132"/>
      <c r="Q1817" s="132"/>
      <c r="R1817" s="132"/>
      <c r="S1817" s="132"/>
      <c r="T1817" s="552"/>
      <c r="U1817" s="132"/>
      <c r="V1817" s="132"/>
      <c r="W1817" s="132"/>
      <c r="X1817" s="132"/>
      <c r="Y1817" s="49"/>
      <c r="Z1817" s="886" t="s">
        <v>1417</v>
      </c>
      <c r="AA1817" s="886"/>
      <c r="AB1817" s="886"/>
      <c r="AC1817" s="886"/>
      <c r="AD1817" s="886"/>
      <c r="AE1817" s="886"/>
      <c r="AF1817" s="886"/>
      <c r="AG1817" s="886"/>
      <c r="AH1817" s="48"/>
      <c r="AJ1817" s="317"/>
      <c r="AK1817" s="319"/>
      <c r="AL1817" s="316"/>
      <c r="AM1817" s="315"/>
      <c r="AO1817" s="132"/>
      <c r="AP1817" s="132"/>
      <c r="AQ1817" s="132"/>
      <c r="AR1817" s="132"/>
      <c r="AS1817" s="132"/>
      <c r="AT1817" s="132"/>
    </row>
    <row r="1818" spans="1:46" ht="12.95" customHeight="1">
      <c r="A1818" s="261"/>
      <c r="D1818" s="266"/>
      <c r="E1818" s="267"/>
      <c r="F1818" s="711"/>
      <c r="G1818" s="369"/>
      <c r="H1818" s="766"/>
      <c r="I1818" s="132"/>
      <c r="J1818" s="132"/>
      <c r="M1818" s="132"/>
      <c r="N1818" s="48"/>
      <c r="O1818" s="48"/>
      <c r="P1818" s="48"/>
      <c r="Q1818" s="48"/>
      <c r="R1818" s="48"/>
      <c r="S1818" s="48"/>
      <c r="T1818" s="546"/>
      <c r="Y1818" s="49"/>
      <c r="Z1818" s="886" t="s">
        <v>1418</v>
      </c>
      <c r="AA1818" s="886"/>
      <c r="AB1818" s="886"/>
      <c r="AC1818" s="886"/>
      <c r="AD1818" s="886"/>
      <c r="AE1818" s="886"/>
      <c r="AF1818" s="886"/>
      <c r="AG1818" s="886"/>
      <c r="AH1818" s="48"/>
      <c r="AJ1818" s="317"/>
      <c r="AK1818" s="317"/>
      <c r="AL1818" s="316"/>
      <c r="AM1818" s="315"/>
      <c r="AO1818" s="132"/>
      <c r="AP1818" s="132"/>
      <c r="AQ1818" s="132"/>
      <c r="AR1818" s="132"/>
      <c r="AS1818" s="132"/>
      <c r="AT1818" s="132"/>
    </row>
    <row r="1819" spans="1:46" ht="12.95" customHeight="1">
      <c r="A1819" s="261"/>
      <c r="B1819" s="922" t="s">
        <v>953</v>
      </c>
      <c r="C1819" s="922"/>
      <c r="D1819" s="922"/>
      <c r="E1819" s="922"/>
      <c r="F1819" s="922"/>
      <c r="G1819" s="922"/>
      <c r="H1819" s="922"/>
      <c r="I1819" s="922"/>
      <c r="J1819" s="268"/>
      <c r="K1819" s="268"/>
      <c r="L1819" s="268"/>
      <c r="M1819" s="308"/>
      <c r="N1819" s="85"/>
      <c r="O1819" s="48"/>
      <c r="P1819" s="48"/>
      <c r="Q1819" s="48"/>
      <c r="R1819" s="48"/>
      <c r="S1819" s="48"/>
      <c r="T1819" s="546"/>
      <c r="Y1819" s="49"/>
      <c r="Z1819" s="886"/>
      <c r="AA1819" s="886"/>
      <c r="AB1819" s="886"/>
      <c r="AC1819" s="886"/>
      <c r="AD1819" s="886"/>
      <c r="AE1819" s="886"/>
      <c r="AF1819" s="886"/>
      <c r="AG1819" s="886"/>
      <c r="AH1819" s="48"/>
      <c r="AJ1819" s="317"/>
      <c r="AK1819" s="319"/>
      <c r="AL1819" s="316"/>
      <c r="AM1819" s="315"/>
      <c r="AO1819" s="132"/>
      <c r="AP1819" s="132"/>
      <c r="AQ1819" s="132"/>
      <c r="AR1819" s="132"/>
      <c r="AS1819" s="132"/>
      <c r="AT1819" s="132"/>
    </row>
    <row r="1820" spans="1:46" ht="12.95" customHeight="1">
      <c r="A1820" s="261"/>
      <c r="B1820" s="289" t="s">
        <v>1387</v>
      </c>
      <c r="C1820" s="278"/>
      <c r="D1820" s="59"/>
      <c r="E1820" s="287"/>
      <c r="F1820" s="374"/>
      <c r="G1820" s="374"/>
      <c r="H1820" s="768"/>
      <c r="I1820" s="287"/>
      <c r="J1820" s="277"/>
      <c r="K1820" s="960" t="s">
        <v>954</v>
      </c>
      <c r="L1820" s="960"/>
      <c r="M1820" s="960"/>
      <c r="N1820" s="85"/>
      <c r="O1820" s="48"/>
      <c r="P1820" s="48"/>
      <c r="Q1820" s="48"/>
      <c r="R1820" s="48"/>
      <c r="S1820" s="48"/>
      <c r="T1820" s="546"/>
      <c r="Y1820" s="49"/>
      <c r="Z1820" s="886" t="s">
        <v>1420</v>
      </c>
      <c r="AA1820" s="886"/>
      <c r="AB1820" s="886"/>
      <c r="AC1820" s="886"/>
      <c r="AD1820" s="886"/>
      <c r="AE1820" s="886"/>
      <c r="AF1820" s="886"/>
      <c r="AG1820" s="886"/>
      <c r="AH1820" s="48"/>
      <c r="AJ1820" s="317"/>
      <c r="AK1820" s="319"/>
      <c r="AL1820" s="316"/>
      <c r="AM1820" s="315"/>
      <c r="AO1820" s="132"/>
      <c r="AP1820" s="132"/>
      <c r="AQ1820" s="132"/>
      <c r="AR1820" s="132"/>
      <c r="AS1820" s="132"/>
      <c r="AT1820" s="132"/>
    </row>
    <row r="1821" spans="1:46" ht="12.95" customHeight="1">
      <c r="A1821" s="261"/>
      <c r="B1821" s="288" t="s">
        <v>1191</v>
      </c>
      <c r="C1821" s="278"/>
      <c r="D1821" s="59"/>
      <c r="E1821" s="287"/>
      <c r="F1821" s="374"/>
      <c r="G1821" s="374"/>
      <c r="H1821" s="768"/>
      <c r="I1821" s="287"/>
      <c r="J1821" s="277"/>
      <c r="K1821" s="960"/>
      <c r="L1821" s="960"/>
      <c r="M1821" s="960"/>
      <c r="N1821" s="85"/>
      <c r="O1821" s="48"/>
      <c r="P1821" s="48"/>
      <c r="Q1821" s="48"/>
      <c r="R1821" s="48"/>
      <c r="S1821" s="48"/>
      <c r="T1821" s="546"/>
      <c r="Y1821" s="49"/>
      <c r="Z1821" s="886" t="s">
        <v>1419</v>
      </c>
      <c r="AA1821" s="886"/>
      <c r="AB1821" s="886"/>
      <c r="AC1821" s="886"/>
      <c r="AD1821" s="886"/>
      <c r="AE1821" s="886"/>
      <c r="AF1821" s="886"/>
      <c r="AG1821" s="886"/>
      <c r="AH1821" s="48"/>
      <c r="AJ1821" s="317"/>
      <c r="AK1821" s="319"/>
      <c r="AL1821" s="316"/>
      <c r="AM1821" s="315"/>
      <c r="AO1821" s="132"/>
      <c r="AP1821" s="132"/>
      <c r="AQ1821" s="132"/>
      <c r="AR1821" s="132"/>
      <c r="AS1821" s="132"/>
      <c r="AT1821" s="132"/>
    </row>
    <row r="1822" spans="1:46" ht="12.95" customHeight="1">
      <c r="A1822" s="261"/>
      <c r="B1822" s="59" t="s">
        <v>1192</v>
      </c>
      <c r="C1822" s="278"/>
      <c r="D1822" s="59"/>
      <c r="E1822" s="287"/>
      <c r="F1822" s="374"/>
      <c r="G1822" s="374"/>
      <c r="H1822" s="768"/>
      <c r="I1822" s="287"/>
      <c r="J1822" s="277"/>
      <c r="K1822" s="960"/>
      <c r="L1822" s="960"/>
      <c r="M1822" s="960"/>
      <c r="N1822" s="85"/>
      <c r="O1822" s="48"/>
      <c r="P1822" s="48"/>
      <c r="Q1822" s="48"/>
      <c r="R1822" s="48"/>
      <c r="S1822" s="48"/>
      <c r="T1822" s="546"/>
      <c r="Y1822" s="49"/>
      <c r="Z1822" s="886"/>
      <c r="AA1822" s="886"/>
      <c r="AB1822" s="886"/>
      <c r="AC1822" s="886"/>
      <c r="AD1822" s="886"/>
      <c r="AE1822" s="886"/>
      <c r="AF1822" s="886"/>
      <c r="AG1822" s="886"/>
      <c r="AH1822" s="48"/>
      <c r="AJ1822" s="317"/>
      <c r="AK1822" s="319"/>
      <c r="AL1822" s="316"/>
      <c r="AM1822" s="315"/>
      <c r="AO1822" s="132"/>
      <c r="AP1822" s="132"/>
      <c r="AQ1822" s="132"/>
      <c r="AR1822" s="132"/>
      <c r="AS1822" s="132"/>
      <c r="AT1822" s="132"/>
    </row>
    <row r="1823" spans="1:46" ht="12.95" customHeight="1">
      <c r="A1823" s="261"/>
      <c r="B1823" s="289" t="s">
        <v>1193</v>
      </c>
      <c r="C1823" s="278"/>
      <c r="D1823" s="59"/>
      <c r="E1823" s="287"/>
      <c r="F1823" s="374"/>
      <c r="G1823" s="374"/>
      <c r="H1823" s="768"/>
      <c r="I1823" s="287"/>
      <c r="J1823" s="277"/>
      <c r="K1823" s="590"/>
      <c r="L1823" s="268"/>
      <c r="M1823" s="308"/>
      <c r="N1823" s="85"/>
      <c r="O1823" s="48"/>
      <c r="P1823" s="48"/>
      <c r="Q1823" s="48"/>
      <c r="R1823" s="48"/>
      <c r="S1823" s="48"/>
      <c r="T1823" s="546"/>
      <c r="Y1823" s="49"/>
      <c r="Z1823" s="886" t="str">
        <f>IF($L$7="Y","NVP will contact 811 utilities locating on your behalf.",IF($L$7="Yes","NVP will contact 811 utilities locating on your behalf.",IF($L$7="N","NVP will NOT contact 811 for this project.",IF($L$7="No","NVP will NOT contact 811 for this project.","NVP will contact 811 on your behalf, if needed."))))</f>
        <v>NVP will contact 811 on your behalf, if needed.</v>
      </c>
      <c r="AA1823" s="886"/>
      <c r="AB1823" s="886"/>
      <c r="AC1823" s="886"/>
      <c r="AD1823" s="886"/>
      <c r="AE1823" s="886"/>
      <c r="AF1823" s="886"/>
      <c r="AG1823" s="886"/>
      <c r="AH1823" s="48"/>
      <c r="AJ1823" s="317"/>
      <c r="AK1823" s="319"/>
      <c r="AL1823" s="316"/>
      <c r="AM1823" s="315"/>
      <c r="AO1823" s="132"/>
      <c r="AP1823" s="132"/>
      <c r="AQ1823" s="132"/>
      <c r="AR1823" s="132"/>
      <c r="AS1823" s="132"/>
      <c r="AT1823" s="132"/>
    </row>
    <row r="1824" spans="1:46" ht="12.95" customHeight="1">
      <c r="A1824" s="261"/>
      <c r="B1824" s="536" t="s">
        <v>1188</v>
      </c>
      <c r="C1824" s="278"/>
      <c r="D1824" s="59"/>
      <c r="E1824" s="59"/>
      <c r="F1824" s="368"/>
      <c r="G1824" s="368"/>
      <c r="H1824" s="763"/>
      <c r="I1824" s="59"/>
      <c r="J1824" s="59"/>
      <c r="K1824" s="591"/>
      <c r="L1824" s="268"/>
      <c r="M1824" s="308"/>
      <c r="N1824" s="85"/>
      <c r="O1824" s="48"/>
      <c r="P1824" s="48"/>
      <c r="Q1824" s="48"/>
      <c r="R1824" s="48"/>
      <c r="S1824" s="48"/>
      <c r="T1824" s="546"/>
      <c r="Y1824" s="49"/>
      <c r="Z1824" s="886" t="str">
        <f>IF($L$7="Y","1 to 3 people will mark utilities. Leave gates open.",IF($L$7="Yes","1 to 3 people will mark utilities. Leave gates open.",IF($L$7="N","~ no fee at all if you decide 811 is actually needed ~",IF($L$7="No","~ no fee at all if you decide 811 is actually needed ~","~ let us now if needed - no 811 fee at all ~"))))</f>
        <v>~ let us now if needed - no 811 fee at all ~</v>
      </c>
      <c r="AA1824" s="886"/>
      <c r="AB1824" s="886"/>
      <c r="AC1824" s="886"/>
      <c r="AD1824" s="886"/>
      <c r="AE1824" s="886"/>
      <c r="AF1824" s="886"/>
      <c r="AG1824" s="886"/>
      <c r="AH1824" s="48"/>
      <c r="AJ1824" s="317"/>
      <c r="AK1824" s="319"/>
      <c r="AL1824" s="316"/>
      <c r="AM1824" s="315"/>
      <c r="AO1824" s="132"/>
      <c r="AP1824" s="132"/>
      <c r="AQ1824" s="132"/>
      <c r="AR1824" s="132"/>
      <c r="AS1824" s="132"/>
      <c r="AT1824" s="132"/>
    </row>
    <row r="1825" spans="1:37" ht="12.95" customHeight="1">
      <c r="A1825" s="261"/>
      <c r="B1825" s="536" t="s">
        <v>1189</v>
      </c>
      <c r="C1825" s="278"/>
      <c r="D1825" s="279"/>
      <c r="E1825" s="279"/>
      <c r="F1825" s="740"/>
      <c r="G1825" s="368"/>
      <c r="H1825" s="763"/>
      <c r="I1825" s="59"/>
      <c r="J1825" s="237"/>
      <c r="K1825" s="591"/>
      <c r="L1825" s="268"/>
      <c r="M1825" s="308"/>
      <c r="N1825" s="85"/>
      <c r="O1825" s="48"/>
      <c r="P1825" s="48"/>
      <c r="Q1825" s="48"/>
      <c r="R1825" s="48"/>
      <c r="S1825" s="48"/>
      <c r="T1825" s="546"/>
      <c r="Y1825" s="49"/>
      <c r="Z1825" s="886"/>
      <c r="AA1825" s="886"/>
      <c r="AB1825" s="886"/>
      <c r="AC1825" s="886"/>
      <c r="AD1825" s="886"/>
      <c r="AE1825" s="886"/>
      <c r="AF1825" s="886"/>
      <c r="AG1825" s="886"/>
      <c r="AH1825" s="48"/>
      <c r="AJ1825" s="317"/>
      <c r="AK1825" s="319"/>
    </row>
    <row r="1826" spans="1:37" ht="12.95" customHeight="1">
      <c r="A1826" s="261"/>
      <c r="B1826" s="536" t="s">
        <v>1190</v>
      </c>
      <c r="C1826" s="278"/>
      <c r="D1826" s="279"/>
      <c r="E1826" s="279"/>
      <c r="F1826" s="740"/>
      <c r="G1826" s="368"/>
      <c r="H1826" s="763"/>
      <c r="I1826" s="59"/>
      <c r="J1826" s="237"/>
      <c r="K1826" s="591"/>
      <c r="L1826" s="268"/>
      <c r="M1826" s="308"/>
      <c r="Y1826" s="49"/>
      <c r="Z1826" s="886" t="s">
        <v>1421</v>
      </c>
      <c r="AA1826" s="886"/>
      <c r="AB1826" s="886"/>
      <c r="AC1826" s="886"/>
      <c r="AD1826" s="886"/>
      <c r="AE1826" s="886"/>
      <c r="AF1826" s="886"/>
      <c r="AG1826" s="886"/>
      <c r="AH1826" s="48"/>
      <c r="AJ1826" s="317"/>
      <c r="AK1826" s="319"/>
    </row>
    <row r="1827" spans="1:37" ht="12.95" customHeight="1">
      <c r="A1827" s="261"/>
      <c r="B1827" s="290" t="s">
        <v>1528</v>
      </c>
      <c r="C1827" s="278"/>
      <c r="D1827" s="279"/>
      <c r="E1827" s="279"/>
      <c r="F1827" s="740"/>
      <c r="G1827" s="368"/>
      <c r="H1827" s="763"/>
      <c r="I1827" s="59"/>
      <c r="J1827" s="237"/>
      <c r="K1827" s="591"/>
      <c r="L1827" s="268"/>
      <c r="M1827" s="308"/>
      <c r="Y1827" s="49"/>
      <c r="Z1827" s="886" t="s">
        <v>1422</v>
      </c>
      <c r="AA1827" s="886"/>
      <c r="AB1827" s="886"/>
      <c r="AC1827" s="886"/>
      <c r="AD1827" s="886"/>
      <c r="AE1827" s="886"/>
      <c r="AF1827" s="886"/>
      <c r="AG1827" s="886"/>
      <c r="AH1827" s="48"/>
      <c r="AJ1827" s="317"/>
      <c r="AK1827" s="319"/>
    </row>
    <row r="1828" spans="1:37" ht="12.95" customHeight="1">
      <c r="A1828" s="261"/>
      <c r="B1828" s="291" t="s">
        <v>1194</v>
      </c>
      <c r="C1828" s="278"/>
      <c r="D1828" s="279"/>
      <c r="E1828" s="279"/>
      <c r="F1828" s="740"/>
      <c r="G1828" s="368"/>
      <c r="H1828" s="763"/>
      <c r="I1828" s="59"/>
      <c r="J1828" s="237"/>
      <c r="K1828" s="591"/>
      <c r="L1828" s="268"/>
      <c r="M1828" s="308"/>
      <c r="Z1828" s="132"/>
      <c r="AA1828" s="85"/>
      <c r="AB1828" s="85"/>
      <c r="AC1828" s="1027"/>
      <c r="AD1828" s="1027"/>
      <c r="AE1828" s="1027"/>
      <c r="AF1828" s="1027"/>
      <c r="AH1828" s="48"/>
      <c r="AJ1828" s="317"/>
      <c r="AK1828" s="319"/>
    </row>
    <row r="1829" spans="1:37" ht="12.95" customHeight="1">
      <c r="A1829" s="261"/>
      <c r="B1829" s="291" t="s">
        <v>1529</v>
      </c>
      <c r="C1829" s="278"/>
      <c r="D1829" s="279"/>
      <c r="E1829" s="279"/>
      <c r="F1829" s="740"/>
      <c r="G1829" s="368"/>
      <c r="H1829" s="763"/>
      <c r="I1829" s="59"/>
      <c r="J1829" s="237"/>
      <c r="K1829" s="591"/>
      <c r="L1829" s="268"/>
      <c r="M1829" s="308"/>
      <c r="AH1829" s="48"/>
      <c r="AJ1829" s="317"/>
      <c r="AK1829" s="319"/>
    </row>
    <row r="1830" spans="1:37" ht="12.95" customHeight="1">
      <c r="A1830" s="261"/>
      <c r="D1830" s="266"/>
      <c r="E1830" s="267"/>
      <c r="F1830" s="711"/>
      <c r="G1830" s="369"/>
      <c r="H1830" s="766"/>
      <c r="I1830" s="132"/>
      <c r="J1830" s="132"/>
      <c r="M1830" s="132"/>
      <c r="AH1830" s="48"/>
      <c r="AJ1830" s="317"/>
      <c r="AK1830" s="319"/>
    </row>
    <row r="1831" spans="1:37" ht="12.95" customHeight="1">
      <c r="A1831" s="261"/>
      <c r="B1831" s="922" t="s">
        <v>1512</v>
      </c>
      <c r="C1831" s="922"/>
      <c r="D1831" s="922"/>
      <c r="E1831" s="922"/>
      <c r="F1831" s="922"/>
      <c r="G1831" s="922"/>
      <c r="H1831" s="922"/>
      <c r="I1831" s="922"/>
      <c r="J1831" s="268"/>
      <c r="K1831" s="268"/>
      <c r="L1831" s="268"/>
      <c r="M1831" s="308"/>
      <c r="AH1831" s="48"/>
      <c r="AJ1831" s="317"/>
      <c r="AK1831" s="319"/>
    </row>
    <row r="1832" spans="1:37" ht="12.95" customHeight="1">
      <c r="A1832" s="261"/>
      <c r="B1832" s="289" t="s">
        <v>1388</v>
      </c>
      <c r="C1832" s="289"/>
      <c r="D1832" s="289"/>
      <c r="E1832" s="289"/>
      <c r="F1832" s="741"/>
      <c r="G1832" s="289"/>
      <c r="H1832" s="741"/>
      <c r="I1832" s="289"/>
      <c r="J1832" s="277"/>
      <c r="K1832" s="268"/>
      <c r="L1832" s="268"/>
      <c r="M1832" s="308"/>
      <c r="AH1832" s="48"/>
      <c r="AJ1832" s="317"/>
      <c r="AK1832" s="319"/>
    </row>
    <row r="1833" spans="1:37" ht="12.95" customHeight="1">
      <c r="A1833" s="261"/>
      <c r="B1833" s="701" t="s">
        <v>1530</v>
      </c>
      <c r="C1833" s="289"/>
      <c r="D1833" s="289"/>
      <c r="E1833" s="289"/>
      <c r="F1833" s="741"/>
      <c r="G1833" s="289"/>
      <c r="H1833" s="741"/>
      <c r="I1833" s="289"/>
      <c r="J1833" s="277"/>
      <c r="K1833" s="590"/>
      <c r="L1833" s="268"/>
      <c r="M1833" s="308"/>
      <c r="AH1833" s="48"/>
      <c r="AJ1833" s="317"/>
      <c r="AK1833" s="319"/>
    </row>
    <row r="1834" spans="1:37" ht="12.95" customHeight="1">
      <c r="A1834" s="261"/>
      <c r="B1834" s="289" t="s">
        <v>1514</v>
      </c>
      <c r="C1834" s="289"/>
      <c r="D1834" s="289"/>
      <c r="E1834" s="289"/>
      <c r="F1834" s="741"/>
      <c r="G1834" s="289"/>
      <c r="H1834" s="741"/>
      <c r="I1834" s="289"/>
      <c r="J1834" s="59"/>
      <c r="K1834" s="591"/>
      <c r="L1834" s="268"/>
      <c r="M1834" s="308"/>
      <c r="AH1834" s="48"/>
      <c r="AJ1834" s="317"/>
      <c r="AK1834" s="319"/>
    </row>
    <row r="1835" spans="1:37" ht="12.95" customHeight="1">
      <c r="A1835" s="261"/>
      <c r="B1835" s="289" t="s">
        <v>1513</v>
      </c>
      <c r="C1835" s="289"/>
      <c r="D1835" s="289"/>
      <c r="E1835" s="289"/>
      <c r="F1835" s="741"/>
      <c r="G1835" s="289"/>
      <c r="H1835" s="741"/>
      <c r="I1835" s="289"/>
      <c r="J1835" s="59"/>
      <c r="K1835" s="591"/>
      <c r="L1835" s="268"/>
      <c r="M1835" s="308"/>
      <c r="AH1835" s="48"/>
      <c r="AJ1835" s="317"/>
      <c r="AK1835" s="319"/>
    </row>
    <row r="1836" spans="1:37" ht="12.95" customHeight="1">
      <c r="A1836" s="261"/>
      <c r="D1836" s="266"/>
      <c r="E1836" s="267"/>
      <c r="F1836" s="711"/>
      <c r="G1836" s="369"/>
      <c r="H1836" s="766"/>
      <c r="I1836" s="132"/>
      <c r="J1836" s="132"/>
      <c r="K1836" s="48"/>
      <c r="L1836" s="48"/>
      <c r="M1836" s="132"/>
      <c r="N1836" s="48"/>
      <c r="P1836" s="48"/>
      <c r="Q1836" s="48"/>
      <c r="R1836" s="48"/>
      <c r="S1836" s="48"/>
      <c r="T1836" s="546"/>
      <c r="AH1836" s="48"/>
      <c r="AJ1836" s="317"/>
      <c r="AK1836" s="319"/>
    </row>
    <row r="1837" spans="1:37" ht="12.95" customHeight="1">
      <c r="A1837" s="261"/>
      <c r="B1837" s="922" t="s">
        <v>1386</v>
      </c>
      <c r="C1837" s="922"/>
      <c r="D1837" s="922"/>
      <c r="E1837" s="922"/>
      <c r="F1837" s="922"/>
      <c r="G1837" s="922"/>
      <c r="H1837" s="922"/>
      <c r="I1837" s="922"/>
      <c r="J1837" s="268"/>
      <c r="K1837" s="268"/>
      <c r="L1837" s="268"/>
      <c r="M1837" s="308"/>
      <c r="N1837" s="85"/>
      <c r="P1837" s="48"/>
      <c r="Q1837" s="48"/>
      <c r="R1837" s="48"/>
      <c r="S1837" s="48"/>
      <c r="T1837" s="546"/>
      <c r="AH1837" s="48"/>
      <c r="AJ1837" s="317"/>
      <c r="AK1837" s="319"/>
    </row>
    <row r="1838" spans="1:37" ht="12.95" customHeight="1">
      <c r="A1838" s="261"/>
      <c r="B1838" s="236" t="s">
        <v>1589</v>
      </c>
      <c r="C1838" s="289"/>
      <c r="D1838" s="289"/>
      <c r="E1838" s="289"/>
      <c r="F1838" s="741"/>
      <c r="G1838" s="289"/>
      <c r="H1838" s="741"/>
      <c r="I1838" s="289"/>
      <c r="J1838" s="277"/>
      <c r="K1838" s="268"/>
      <c r="L1838" s="268"/>
      <c r="M1838" s="308"/>
      <c r="N1838" s="85"/>
      <c r="P1838" s="48"/>
      <c r="Q1838" s="48"/>
      <c r="R1838" s="48"/>
      <c r="S1838" s="48"/>
      <c r="T1838" s="546"/>
      <c r="AH1838" s="48"/>
      <c r="AJ1838" s="317"/>
      <c r="AK1838" s="319"/>
    </row>
    <row r="1839" spans="1:37" ht="12.95" customHeight="1">
      <c r="A1839" s="261"/>
      <c r="B1839" s="236" t="s">
        <v>1385</v>
      </c>
      <c r="C1839" s="289"/>
      <c r="D1839" s="289"/>
      <c r="E1839" s="289"/>
      <c r="F1839" s="741"/>
      <c r="G1839" s="289"/>
      <c r="H1839" s="741"/>
      <c r="I1839" s="289"/>
      <c r="J1839" s="277"/>
      <c r="K1839" s="268"/>
      <c r="L1839" s="268"/>
      <c r="M1839" s="308"/>
      <c r="N1839" s="85"/>
      <c r="P1839" s="48"/>
      <c r="Q1839" s="48"/>
      <c r="R1839" s="48"/>
      <c r="S1839" s="48"/>
      <c r="T1839" s="546"/>
      <c r="AH1839" s="48"/>
      <c r="AJ1839" s="317"/>
      <c r="AK1839" s="319"/>
    </row>
    <row r="1840" spans="1:37" ht="12.95" customHeight="1">
      <c r="A1840" s="261"/>
      <c r="B1840" s="236" t="s">
        <v>1592</v>
      </c>
      <c r="C1840" s="289"/>
      <c r="D1840" s="289"/>
      <c r="E1840" s="289"/>
      <c r="F1840" s="741"/>
      <c r="G1840" s="289"/>
      <c r="H1840" s="741"/>
      <c r="I1840" s="289"/>
      <c r="J1840" s="277"/>
      <c r="K1840" s="268"/>
      <c r="L1840" s="268"/>
      <c r="M1840" s="308"/>
      <c r="N1840" s="85"/>
      <c r="P1840" s="48"/>
      <c r="Q1840" s="48"/>
      <c r="R1840" s="48"/>
      <c r="S1840" s="48"/>
      <c r="T1840" s="546"/>
      <c r="AH1840" s="48"/>
      <c r="AJ1840" s="317"/>
      <c r="AK1840" s="319"/>
    </row>
    <row r="1841" spans="1:37" ht="12.95" customHeight="1">
      <c r="A1841" s="261"/>
      <c r="B1841" s="236" t="s">
        <v>1389</v>
      </c>
      <c r="C1841" s="289"/>
      <c r="D1841" s="289"/>
      <c r="E1841" s="289"/>
      <c r="F1841" s="741"/>
      <c r="G1841" s="289"/>
      <c r="H1841" s="741"/>
      <c r="I1841" s="289"/>
      <c r="J1841" s="277"/>
      <c r="K1841" s="590"/>
      <c r="L1841" s="268"/>
      <c r="M1841" s="308"/>
      <c r="N1841" s="85"/>
      <c r="P1841" s="48"/>
      <c r="Q1841" s="48"/>
      <c r="R1841" s="48"/>
      <c r="S1841" s="48"/>
      <c r="T1841" s="546"/>
      <c r="AH1841" s="48"/>
      <c r="AJ1841" s="317"/>
      <c r="AK1841" s="319"/>
    </row>
    <row r="1842" spans="1:37" ht="12.95" customHeight="1">
      <c r="A1842" s="261"/>
      <c r="D1842" s="266"/>
      <c r="E1842" s="267"/>
      <c r="F1842" s="711"/>
      <c r="G1842" s="369"/>
      <c r="H1842" s="766"/>
      <c r="I1842" s="132"/>
      <c r="J1842" s="132"/>
      <c r="K1842" s="840" t="s">
        <v>125</v>
      </c>
      <c r="L1842" s="840"/>
      <c r="M1842" s="132"/>
      <c r="N1842" s="48"/>
      <c r="P1842" s="48"/>
      <c r="Q1842" s="48"/>
      <c r="R1842" s="48"/>
      <c r="S1842" s="48"/>
      <c r="T1842" s="546"/>
      <c r="AH1842" s="48"/>
      <c r="AJ1842" s="317"/>
      <c r="AK1842" s="319"/>
    </row>
    <row r="1843" spans="1:37" ht="12.95" customHeight="1">
      <c r="A1843" s="261"/>
      <c r="B1843" s="922" t="s">
        <v>1390</v>
      </c>
      <c r="C1843" s="922"/>
      <c r="D1843" s="922"/>
      <c r="E1843" s="922"/>
      <c r="F1843" s="922"/>
      <c r="G1843" s="922"/>
      <c r="H1843" s="922"/>
      <c r="I1843" s="922"/>
      <c r="J1843" s="268"/>
      <c r="K1843" s="268"/>
      <c r="L1843" s="268"/>
      <c r="M1843" s="308"/>
      <c r="N1843" s="85"/>
      <c r="P1843" s="48"/>
      <c r="Q1843" s="48"/>
      <c r="R1843" s="48"/>
      <c r="S1843" s="48"/>
      <c r="T1843" s="546"/>
      <c r="AH1843" s="48"/>
      <c r="AJ1843" s="317"/>
      <c r="AK1843" s="319"/>
    </row>
    <row r="1844" spans="1:37" ht="12.95" customHeight="1">
      <c r="A1844" s="261"/>
      <c r="B1844" s="236" t="s">
        <v>1391</v>
      </c>
      <c r="C1844" s="289"/>
      <c r="D1844" s="289"/>
      <c r="E1844" s="289"/>
      <c r="F1844" s="741"/>
      <c r="G1844" s="289"/>
      <c r="H1844" s="741"/>
      <c r="I1844" s="289"/>
      <c r="J1844" s="237"/>
      <c r="K1844" s="591"/>
      <c r="L1844" s="268"/>
      <c r="M1844" s="308"/>
      <c r="N1844" s="85"/>
      <c r="P1844" s="48"/>
      <c r="Q1844" s="48"/>
      <c r="R1844" s="48"/>
      <c r="S1844" s="48"/>
      <c r="T1844" s="546"/>
      <c r="AH1844" s="48"/>
      <c r="AJ1844" s="317"/>
      <c r="AK1844" s="319"/>
    </row>
    <row r="1845" spans="1:37" ht="12.95" customHeight="1">
      <c r="A1845" s="261"/>
      <c r="B1845" s="236" t="s">
        <v>1392</v>
      </c>
      <c r="C1845" s="289"/>
      <c r="D1845" s="289"/>
      <c r="E1845" s="289"/>
      <c r="F1845" s="741"/>
      <c r="G1845" s="289"/>
      <c r="H1845" s="741"/>
      <c r="I1845" s="289"/>
      <c r="J1845" s="277"/>
      <c r="K1845" s="268"/>
      <c r="L1845" s="268"/>
      <c r="M1845" s="308"/>
      <c r="N1845" s="85"/>
      <c r="P1845" s="48"/>
      <c r="Q1845" s="48"/>
      <c r="R1845" s="48"/>
      <c r="S1845" s="48"/>
      <c r="T1845" s="546"/>
      <c r="AH1845" s="48"/>
      <c r="AJ1845" s="317"/>
      <c r="AK1845" s="319"/>
    </row>
    <row r="1846" spans="1:37" ht="12.95" customHeight="1">
      <c r="A1846" s="261"/>
      <c r="B1846" s="236" t="s">
        <v>1393</v>
      </c>
      <c r="C1846" s="289"/>
      <c r="D1846" s="289"/>
      <c r="E1846" s="289"/>
      <c r="F1846" s="741"/>
      <c r="G1846" s="289"/>
      <c r="H1846" s="741"/>
      <c r="I1846" s="289"/>
      <c r="J1846" s="277"/>
      <c r="K1846" s="268"/>
      <c r="L1846" s="268"/>
      <c r="M1846" s="308"/>
      <c r="N1846" s="85"/>
      <c r="P1846" s="48"/>
      <c r="Q1846" s="48"/>
      <c r="R1846" s="48"/>
      <c r="S1846" s="48"/>
      <c r="T1846" s="546"/>
      <c r="AA1846" s="678"/>
      <c r="AB1846" s="678"/>
      <c r="AD1846" s="48"/>
      <c r="AE1846" s="48"/>
      <c r="AF1846" s="48"/>
      <c r="AG1846" s="48"/>
      <c r="AH1846" s="48"/>
      <c r="AJ1846" s="317"/>
      <c r="AK1846" s="319"/>
    </row>
    <row r="1847" spans="1:37" ht="12.95" customHeight="1">
      <c r="A1847" s="261"/>
      <c r="B1847" s="236" t="s">
        <v>1394</v>
      </c>
      <c r="C1847" s="289"/>
      <c r="D1847" s="289"/>
      <c r="E1847" s="289"/>
      <c r="F1847" s="741"/>
      <c r="G1847" s="289"/>
      <c r="H1847" s="741"/>
      <c r="I1847" s="289"/>
      <c r="J1847" s="277"/>
      <c r="K1847" s="268"/>
      <c r="L1847" s="268"/>
      <c r="M1847" s="308"/>
      <c r="N1847" s="85"/>
      <c r="P1847" s="48"/>
      <c r="Q1847" s="48"/>
      <c r="R1847" s="48"/>
      <c r="S1847" s="48"/>
      <c r="T1847" s="546"/>
      <c r="AA1847" s="678"/>
      <c r="AB1847" s="678"/>
      <c r="AD1847" s="48"/>
      <c r="AE1847" s="48"/>
      <c r="AF1847" s="48"/>
      <c r="AG1847" s="48"/>
      <c r="AH1847" s="48"/>
      <c r="AJ1847" s="317"/>
      <c r="AK1847" s="319"/>
    </row>
    <row r="1848" spans="1:37" ht="12.95" customHeight="1">
      <c r="A1848" s="261"/>
      <c r="B1848" s="236" t="s">
        <v>1395</v>
      </c>
      <c r="C1848" s="289"/>
      <c r="D1848" s="289"/>
      <c r="E1848" s="289"/>
      <c r="F1848" s="741"/>
      <c r="G1848" s="289"/>
      <c r="H1848" s="741"/>
      <c r="I1848" s="289"/>
      <c r="J1848" s="277"/>
      <c r="K1848" s="268"/>
      <c r="L1848" s="268"/>
      <c r="M1848" s="308"/>
      <c r="N1848" s="85"/>
      <c r="P1848" s="48"/>
      <c r="Q1848" s="48"/>
      <c r="R1848" s="48"/>
      <c r="S1848" s="48"/>
      <c r="T1848" s="546"/>
      <c r="AA1848" s="678"/>
      <c r="AB1848" s="678"/>
      <c r="AD1848" s="48"/>
      <c r="AE1848" s="48"/>
      <c r="AF1848" s="48"/>
      <c r="AG1848" s="48"/>
      <c r="AH1848" s="48"/>
      <c r="AJ1848" s="317"/>
      <c r="AK1848" s="319"/>
    </row>
    <row r="1849" spans="1:37" ht="12.95" customHeight="1">
      <c r="A1849" s="261"/>
      <c r="B1849" s="236" t="s">
        <v>1396</v>
      </c>
      <c r="C1849" s="289"/>
      <c r="D1849" s="289"/>
      <c r="E1849" s="289"/>
      <c r="F1849" s="741"/>
      <c r="G1849" s="289"/>
      <c r="H1849" s="741"/>
      <c r="I1849" s="289"/>
      <c r="J1849" s="277"/>
      <c r="K1849" s="590"/>
      <c r="L1849" s="268"/>
      <c r="M1849" s="308"/>
      <c r="N1849" s="85"/>
      <c r="P1849" s="48"/>
      <c r="Q1849" s="48"/>
      <c r="R1849" s="48"/>
      <c r="S1849" s="48"/>
      <c r="T1849" s="546"/>
      <c r="AA1849" s="678"/>
      <c r="AB1849" s="678"/>
      <c r="AD1849" s="48"/>
      <c r="AE1849" s="48"/>
      <c r="AF1849" s="48"/>
      <c r="AG1849" s="48"/>
      <c r="AH1849" s="48"/>
      <c r="AJ1849" s="317"/>
      <c r="AK1849" s="319"/>
    </row>
    <row r="1850" spans="1:37" ht="12.95" customHeight="1">
      <c r="A1850" s="261"/>
      <c r="B1850" s="236" t="s">
        <v>1397</v>
      </c>
      <c r="C1850" s="289"/>
      <c r="D1850" s="289"/>
      <c r="E1850" s="289"/>
      <c r="F1850" s="741"/>
      <c r="G1850" s="289"/>
      <c r="H1850" s="741"/>
      <c r="I1850" s="289"/>
      <c r="J1850" s="59"/>
      <c r="K1850" s="591"/>
      <c r="L1850" s="268"/>
      <c r="M1850" s="308"/>
      <c r="N1850" s="85"/>
      <c r="P1850" s="48"/>
      <c r="Q1850" s="48"/>
      <c r="R1850" s="48"/>
      <c r="S1850" s="48"/>
      <c r="T1850" s="546"/>
      <c r="AA1850" s="678"/>
      <c r="AB1850" s="678"/>
      <c r="AD1850" s="48"/>
      <c r="AE1850" s="48"/>
      <c r="AF1850" s="48"/>
      <c r="AG1850" s="48"/>
      <c r="AH1850" s="48"/>
      <c r="AJ1850" s="317"/>
      <c r="AK1850" s="319"/>
    </row>
    <row r="1851" spans="1:37" ht="12.95" customHeight="1">
      <c r="A1851" s="261"/>
      <c r="B1851" s="236" t="s">
        <v>1398</v>
      </c>
      <c r="C1851" s="289"/>
      <c r="D1851" s="289"/>
      <c r="E1851" s="289"/>
      <c r="F1851" s="741"/>
      <c r="G1851" s="289"/>
      <c r="H1851" s="741"/>
      <c r="I1851" s="289"/>
      <c r="J1851" s="237"/>
      <c r="K1851" s="591"/>
      <c r="L1851" s="268"/>
      <c r="M1851" s="308"/>
      <c r="N1851" s="85"/>
      <c r="P1851" s="48"/>
      <c r="Q1851" s="48"/>
      <c r="R1851" s="48"/>
      <c r="S1851" s="48"/>
      <c r="T1851" s="546"/>
      <c r="AA1851" s="678"/>
      <c r="AB1851" s="678"/>
      <c r="AD1851" s="48"/>
      <c r="AE1851" s="48"/>
      <c r="AF1851" s="48"/>
      <c r="AG1851" s="48"/>
      <c r="AH1851" s="48"/>
      <c r="AJ1851" s="317"/>
      <c r="AK1851" s="319"/>
    </row>
    <row r="1852" spans="1:37" ht="12.95" customHeight="1">
      <c r="A1852" s="261"/>
      <c r="B1852" s="236" t="s">
        <v>1399</v>
      </c>
      <c r="C1852" s="289"/>
      <c r="D1852" s="289"/>
      <c r="E1852" s="289"/>
      <c r="F1852" s="741"/>
      <c r="G1852" s="289"/>
      <c r="H1852" s="741"/>
      <c r="I1852" s="289"/>
      <c r="J1852" s="334" t="s">
        <v>1527</v>
      </c>
      <c r="K1852" s="591"/>
      <c r="L1852" s="268"/>
      <c r="M1852" s="308"/>
      <c r="N1852" s="85"/>
      <c r="P1852" s="48"/>
      <c r="Q1852" s="48"/>
      <c r="R1852" s="48"/>
      <c r="S1852" s="48"/>
      <c r="T1852" s="546"/>
      <c r="AA1852" s="678"/>
      <c r="AB1852" s="678"/>
      <c r="AD1852" s="48"/>
      <c r="AE1852" s="48"/>
      <c r="AF1852" s="48"/>
      <c r="AG1852" s="48"/>
      <c r="AH1852" s="48"/>
      <c r="AJ1852" s="317"/>
      <c r="AK1852" s="319"/>
    </row>
    <row r="1853" spans="1:37" ht="12.95" customHeight="1">
      <c r="A1853" s="261"/>
      <c r="B1853" s="236" t="s">
        <v>1400</v>
      </c>
      <c r="C1853" s="289"/>
      <c r="D1853" s="289"/>
      <c r="E1853" s="289"/>
      <c r="F1853" s="741"/>
      <c r="G1853" s="289"/>
      <c r="H1853" s="741"/>
      <c r="I1853" s="289"/>
      <c r="J1853" s="277"/>
      <c r="K1853" s="268"/>
      <c r="L1853" s="268"/>
      <c r="M1853" s="308"/>
      <c r="N1853" s="85"/>
      <c r="P1853" s="48"/>
      <c r="Q1853" s="840"/>
      <c r="R1853" s="840"/>
      <c r="S1853" s="48"/>
      <c r="T1853" s="546"/>
      <c r="AA1853" s="678"/>
      <c r="AB1853" s="678"/>
      <c r="AD1853" s="48"/>
      <c r="AE1853" s="48"/>
      <c r="AF1853" s="48"/>
      <c r="AG1853" s="48"/>
      <c r="AH1853" s="48"/>
      <c r="AJ1853" s="317"/>
      <c r="AK1853" s="319"/>
    </row>
    <row r="1854" spans="1:37" ht="12.95" customHeight="1">
      <c r="A1854" s="261"/>
      <c r="B1854" s="236" t="s">
        <v>1401</v>
      </c>
      <c r="C1854" s="289"/>
      <c r="D1854" s="289"/>
      <c r="E1854" s="289"/>
      <c r="F1854" s="741"/>
      <c r="G1854" s="289"/>
      <c r="H1854" s="741"/>
      <c r="I1854" s="289"/>
      <c r="J1854" s="277"/>
      <c r="K1854" s="268"/>
      <c r="L1854" s="268"/>
      <c r="M1854" s="308"/>
      <c r="N1854" s="85"/>
      <c r="P1854" s="48"/>
      <c r="Q1854" s="872" t="s">
        <v>125</v>
      </c>
      <c r="R1854" s="872"/>
      <c r="S1854" s="872"/>
      <c r="T1854" s="872"/>
      <c r="U1854" s="872"/>
      <c r="V1854" s="872"/>
      <c r="W1854" s="872"/>
      <c r="X1854" s="872"/>
      <c r="Y1854" s="872"/>
      <c r="Z1854" s="872"/>
      <c r="AA1854" s="872"/>
      <c r="AB1854" s="872"/>
      <c r="AD1854" s="48"/>
      <c r="AE1854" s="48"/>
      <c r="AF1854" s="48"/>
      <c r="AG1854" s="48"/>
      <c r="AH1854" s="48"/>
      <c r="AJ1854" s="317"/>
      <c r="AK1854" s="319"/>
    </row>
  </sheetData>
  <sheetProtection algorithmName="SHA-512" hashValue="gaKYegVnDXYfEzMTRQxBtODUy2OqjY0Cs+dRwLlp/Jxnfqns0BhQQdXJDCi3TzLkySAyNAJLwpXFNx0PXaVndw==" saltValue="26BE14t65bZD/VN04GN7OQ==" spinCount="100000" sheet="1" insertRows="0" insertHyperlinks="0" deleteRows="0"/>
  <protectedRanges>
    <protectedRange sqref="A1574 A1597 A1607:A1608" name="Range3_8"/>
    <protectedRange sqref="A1545 A1549 A1564:A1565 A1571" name="Range3_5"/>
    <protectedRange sqref="B1770 B1764 F80 A1763 A1766 J814 A1609:A1610 A1270 A1723:A1725 A40:A50 B1619 A1092:A1093 B387 B391 A209:A253 A1215 B1623 B1446 B1626 B1637 A54:A59 B1651 B1670 B1674 L750 B1773 A712 A872:A873 A1791:A1792 A519 A1794:A1795 B1616 A1366:A1385 A184:A191 A1241:A1243 A1587 A1190:A1194 A1196:A1197 A1177:A1182 A673:A677 A1133 A1057:A1076 A1769 A905:A911 A768 A1248 A1250 A1034:A1040 A1427 A1431:A1432 B1406 A1440:A1441 A978 A1772 A1237 A283 A559 B1632 A1768:B1768 A1771:B1771 A1760 A1759:B1759 A1762:B1762 A1765:B1765 A1717 B1663 A101:A106 A117 A606 A1719 B1629 A1443:A1445 A1648:A1677 B530 A876 A277:A280 A639:A640 A1758 A392:A399 A1327:A1332 A1434:A1435 A1612:A1641 A889:A892 A534:A535 A11:A13 A1054:A1055 A1404:A1405 A679:A681 A688:A689 A709:A710 J772 A881:A882 A886:A887 A1119:A1122 A1230 A1204:A1211 A1274:A1276 A1438 B1655 A1566 A1781 A1783:A1785 A1787:A1789 A123:A150 A894:A903 A61 B527 A1361 A683 A508 A1184:A1186 A1221:A1225 A1395:A1396 A1590 A1679:A1685 A1348:A1357 A714 A554:A557 B433 A1570 A1596 A1572:A1573 A510:A517 A539:A540 A1550 A635:A637 A159:A164 A770:A774 A1167:A1175 A1254:A1258 B400 A1554:A1563 A575:A584 A388:A390 A531 A1413:A1415 A1278:A1280 A801:A802 A15:A38 A524:A529 A1397:B1397 A65:A68 A1491:A1537 A255:A261 A804:A818 A1855:A1048576 A1261 A1265:A1266 A1303:A1311 A1282:A1301 A1096:A1097 A1099:A1103 A736 B656 A1753:A1756 A1042 A1044:A1050 A969:A972 A921:A923 A1710:A1715 A1741:A1746 A1693:A1704 A588:A589 A462:A472 B416 A285:A290 A1124:A1127 A503:A506 A984:A1022 A1473:A1479 A669:A670 A936:A950 A407:A415 A956:A967 A1081 A1083:A1084 A1598:A1606 A446:A455 A1575:A1585 A1468:A1470 A72:A93 A925:A931 A94:A99 A1486:A1490 A1539:A1544 A1546:A1548 A543:A552 A1026:A1031 A1148:A1158 A169:A182 A1078:A1079 B1416 A1447:A1457 A108:A115 A270:A274 A295:A313 A643:A651 A1461:A1464 A1687:A1691 A786:A799 A417:A444 A776:A784 A615:A632 A194:A203 A292 A401:A405 A608:A609 A1136:A1146 A591:A596 A974:A976 A740:A766 A1160:A1163 A1706:A1708 B1666 A474:A501 A652:A659 A661:A667 A698:A707 A718:A732 A561:A573 A1088:A1090 A1419:A1420 A321:A386 A825:A868 A1115:A1117 A1334:A1346 A1313:A1323" name="Range3"/>
    <protectedRange sqref="A951:A955 A879 A869:A871" name="Range3_11"/>
    <protectedRange sqref="A1227 A1439 A1213:A1214 A60 A1324:A1326 A1268:A1269 A1718 A1805:A1854 A1417:A1418 A1442 A62:A64 A1802 A1797:A1799 A1238:A1240 A1195 A1271:A1273 A1216:A1220 A1436:A1437 A1245:A1247 A1401:A1403 A1235:A1236 A1407:A1409 A1187:A1189 A1251:A1253 A1421:A1426 A1231 A1412 A1433 A1259:A1260 A1428:A1430" name="Range3_23"/>
    <protectedRange sqref="A520:A522" name="Range3_13"/>
    <protectedRange sqref="A314:A318" name="Range3_17"/>
    <protectedRange sqref="A672 A682" name="Range3_1"/>
    <protectedRange sqref="A291 A275:A276 A293:A294" name="Range3_21"/>
    <protectedRange sqref="A880 A888 A893 A877:A878 A883:A885" name="Range3_27_1"/>
    <protectedRange sqref="A1085:A1086" name="Range3_9_1"/>
    <protectedRange sqref="A116 A118" name="Range3_9"/>
    <protectedRange sqref="A611:A614" name="Range3_25"/>
    <protectedRange sqref="A1129 A1232" name="Range3_23_1"/>
    <protectedRange sqref="A1134:A1135" name="Range3_23_2"/>
    <protectedRange sqref="A1228:A1229" name="Range3_29"/>
    <protectedRange sqref="A3:A4" name="Range3_32"/>
    <protectedRange sqref="A5" name="Range3_16_2"/>
    <protectedRange sqref="A1043 A1082" name="Range3_15"/>
    <protectedRange sqref="A800" name="Range3_36"/>
    <protectedRange sqref="A733:A735" name="Range3_37"/>
    <protectedRange sqref="A14" name="Range3_38"/>
    <protectedRange sqref="A874" name="Range3_6"/>
    <protectedRange sqref="A713" name="Range3_42"/>
    <protectedRange sqref="A165:A168" name="Range3_10_3"/>
    <protectedRange sqref="A1032:A1033" name="Range3_26"/>
    <protectedRange sqref="A973 A979:A982" name="Range3_44"/>
    <protectedRange sqref="A715" name="Range3_2"/>
    <protectedRange sqref="A716:A717" name="Range3_4"/>
    <protectedRange sqref="A151:A158" name="Range3_14"/>
    <protectedRange sqref="A641:A642 A532:A533 A541:A542 A536:A538" name="Range3_12"/>
    <protectedRange sqref="A574" name="Range3_35"/>
    <protectedRange sqref="A633" name="Range3_43"/>
    <protectedRange sqref="A634" name="Range3_45"/>
    <protectedRange sqref="B635" name="Range3_46"/>
    <protectedRange sqref="A1347" name="Range3_48"/>
    <protectedRange sqref="A769" name="Range3_51"/>
    <protectedRange sqref="A192:A193" name="Range3_52"/>
    <protectedRange sqref="A607" name="Range3_24"/>
    <protectedRange sqref="A1" name="Range3_16_2_1"/>
    <protectedRange sqref="A1568" name="Range3_5_1"/>
    <protectedRange sqref="A1726:A1729 A1567 A602:A605 A51:A53 A685:A687 A1164:A1165 A1465 J560 A1262:A1264 B1647 A262:A269 A1731 A1569 A1358:A1360 A597:A598 A1460 A204:A208 A560:B560 A1051:A1052 A1747:A1752 A1467 A1386:A1387 A1480:A1485 A691:A696 A600 A69:A71 A558 A913:A920 A737:A739 B1394 A819:A824 A1392:A1394 A932:A935 A1720:A1722 A1645:A1647 A1410:A1411 A587 A120:A122 A1390 A1105:A1114 A456:A460 A1551:A1552" name="Range3_22"/>
    <protectedRange sqref="A1594" name="Range3_5_1_1"/>
    <protectedRange sqref="A1465 A1391 A1732:A1740 A1593 A1730 A1642:A1644 A1388:A1389 A1398:A1400" name="Range3_23_3"/>
    <protectedRange sqref="A1458" name="Range3_6_2"/>
    <protectedRange sqref="A1459" name="Range3_7_1"/>
    <protectedRange sqref="A585" name="Range3_33"/>
    <protectedRange sqref="A586" name="Range3_13_1"/>
    <protectedRange sqref="A601" name="Range3_25_1_2"/>
    <protectedRange sqref="A509" name="Range3_13_3"/>
    <protectedRange sqref="A1774:B1774 A1775 A1777" name="Range3_3"/>
    <protectedRange sqref="A183" name="Range3_10"/>
    <protectedRange sqref="A1131 A1233" name="Range3_18"/>
    <protectedRange sqref="A1130" name="Range3_23_2_1"/>
    <protectedRange sqref="A1362:A1365" name="Range3_41"/>
    <protectedRange sqref="A1466" name="Range3_22_1"/>
    <protectedRange sqref="A1466" name="Range3_23_3_1"/>
    <protectedRange sqref="A803" name="Range3_16"/>
    <protectedRange sqref="A1094" name="Range3_20"/>
  </protectedRanges>
  <customSheetViews>
    <customSheetView guid="{1E9B411C-D0FF-4571-8400-525AD07D2A70}" topLeftCell="A4">
      <selection activeCell="A39" activeCellId="6" sqref="A21:XFD21 A24:XFD24 A27:XFD27 A30:XFD30 A33:XFD33 A36:XFD36 A39:XFD39"/>
      <pageMargins left="0" right="0" top="0" bottom="0" header="0" footer="0"/>
      <pageSetup orientation="portrait" r:id="rId1"/>
    </customSheetView>
  </customSheetViews>
  <mergeCells count="9707">
    <mergeCell ref="AJ506:AK506"/>
    <mergeCell ref="Z485:AA485"/>
    <mergeCell ref="Q470:V470"/>
    <mergeCell ref="AE511:AG511"/>
    <mergeCell ref="AE570:AG570"/>
    <mergeCell ref="AJ546:AK546"/>
    <mergeCell ref="AJ567:AK567"/>
    <mergeCell ref="AJ668:AK668"/>
    <mergeCell ref="AJ672:AK672"/>
    <mergeCell ref="M559:R559"/>
    <mergeCell ref="AJ585:AK585"/>
    <mergeCell ref="AB708:AC708"/>
    <mergeCell ref="AE1114:AG1114"/>
    <mergeCell ref="AJ1021:AK1021"/>
    <mergeCell ref="AJ1045:AK1045"/>
    <mergeCell ref="AE1045:AG1045"/>
    <mergeCell ref="AE1053:AG1053"/>
    <mergeCell ref="AJ1127:AK1127"/>
    <mergeCell ref="AJ1048:AK1048"/>
    <mergeCell ref="AE1180:AG1180"/>
    <mergeCell ref="AJ1049:AK1049"/>
    <mergeCell ref="AJ1031:AK1031"/>
    <mergeCell ref="AJ1024:AK1024"/>
    <mergeCell ref="AE1046:AG1046"/>
    <mergeCell ref="AJ1143:AK1143"/>
    <mergeCell ref="AJ1132:AK1132"/>
    <mergeCell ref="AE792:AG792"/>
    <mergeCell ref="AJ755:AK755"/>
    <mergeCell ref="AJ890:AK890"/>
    <mergeCell ref="AJ869:AK869"/>
    <mergeCell ref="AE810:AG810"/>
    <mergeCell ref="Z1422:AA1422"/>
    <mergeCell ref="AB1422:AC1422"/>
    <mergeCell ref="AE1422:AG1422"/>
    <mergeCell ref="AJ1422:AK1422"/>
    <mergeCell ref="AE336:AG336"/>
    <mergeCell ref="AE342:AG342"/>
    <mergeCell ref="K266:L266"/>
    <mergeCell ref="M266:R266"/>
    <mergeCell ref="Z266:AA266"/>
    <mergeCell ref="AB266:AC266"/>
    <mergeCell ref="AE266:AG266"/>
    <mergeCell ref="AJ266:AK266"/>
    <mergeCell ref="K356:L356"/>
    <mergeCell ref="M356:R356"/>
    <mergeCell ref="R350:U350"/>
    <mergeCell ref="AJ702:AK702"/>
    <mergeCell ref="AE764:AG764"/>
    <mergeCell ref="AJ793:AK793"/>
    <mergeCell ref="AJ764:AK764"/>
    <mergeCell ref="AE784:AG784"/>
    <mergeCell ref="Z775:AA775"/>
    <mergeCell ref="AB759:AC759"/>
    <mergeCell ref="AB772:AC772"/>
    <mergeCell ref="AJ1085:AK1085"/>
    <mergeCell ref="Z712:AA712"/>
    <mergeCell ref="Z562:AA562"/>
    <mergeCell ref="AB556:AC556"/>
    <mergeCell ref="AJ445:AK445"/>
    <mergeCell ref="AJ449:AK449"/>
    <mergeCell ref="AB450:AC450"/>
    <mergeCell ref="AJ432:AK432"/>
    <mergeCell ref="AE571:AG571"/>
    <mergeCell ref="Z424:AA424"/>
    <mergeCell ref="AB510:AC510"/>
    <mergeCell ref="AB330:AC330"/>
    <mergeCell ref="R338:U338"/>
    <mergeCell ref="M352:R352"/>
    <mergeCell ref="K884:L884"/>
    <mergeCell ref="M884:R884"/>
    <mergeCell ref="Z884:AA884"/>
    <mergeCell ref="Z197:AA197"/>
    <mergeCell ref="AB197:AC197"/>
    <mergeCell ref="AE197:AG197"/>
    <mergeCell ref="AJ197:AK197"/>
    <mergeCell ref="K200:L200"/>
    <mergeCell ref="M200:R200"/>
    <mergeCell ref="Z200:AA200"/>
    <mergeCell ref="AB200:AC200"/>
    <mergeCell ref="AE200:AG200"/>
    <mergeCell ref="AJ200:AK200"/>
    <mergeCell ref="AB616:AC616"/>
    <mergeCell ref="AE553:AG553"/>
    <mergeCell ref="K223:L223"/>
    <mergeCell ref="M223:R223"/>
    <mergeCell ref="Z223:AA223"/>
    <mergeCell ref="AE557:AG557"/>
    <mergeCell ref="AJ656:AK656"/>
    <mergeCell ref="AE449:AG449"/>
    <mergeCell ref="AB223:AC223"/>
    <mergeCell ref="AE223:AG223"/>
    <mergeCell ref="AJ223:AK223"/>
    <mergeCell ref="AB445:AC445"/>
    <mergeCell ref="AE516:AG516"/>
    <mergeCell ref="AB464:AC464"/>
    <mergeCell ref="Z1093:AA1093"/>
    <mergeCell ref="AB1093:AC1093"/>
    <mergeCell ref="AE1093:AG1093"/>
    <mergeCell ref="AJ1093:AK1093"/>
    <mergeCell ref="AB371:AC371"/>
    <mergeCell ref="AB479:AC479"/>
    <mergeCell ref="AE622:AG622"/>
    <mergeCell ref="AE636:AG636"/>
    <mergeCell ref="M397:R397"/>
    <mergeCell ref="M385:R385"/>
    <mergeCell ref="AJ613:AK613"/>
    <mergeCell ref="AJ539:AK539"/>
    <mergeCell ref="AJ510:AK510"/>
    <mergeCell ref="AE536:AG536"/>
    <mergeCell ref="R540:U540"/>
    <mergeCell ref="AJ557:AK557"/>
    <mergeCell ref="AJ400:AK400"/>
    <mergeCell ref="Z607:AA607"/>
    <mergeCell ref="AE633:AG633"/>
    <mergeCell ref="AJ574:AK574"/>
    <mergeCell ref="AB559:AC559"/>
    <mergeCell ref="M850:R850"/>
    <mergeCell ref="Z811:AA811"/>
    <mergeCell ref="AE739:AG739"/>
    <mergeCell ref="Z675:AA675"/>
    <mergeCell ref="Z734:AA734"/>
    <mergeCell ref="AJ651:AK651"/>
    <mergeCell ref="AE759:AG759"/>
    <mergeCell ref="M728:R728"/>
    <mergeCell ref="AJ699:AK699"/>
    <mergeCell ref="M673:R673"/>
    <mergeCell ref="AJ624:AK624"/>
    <mergeCell ref="K14:L14"/>
    <mergeCell ref="M14:R14"/>
    <mergeCell ref="Z14:AA14"/>
    <mergeCell ref="AB14:AC14"/>
    <mergeCell ref="AE14:AG14"/>
    <mergeCell ref="AJ14:AK14"/>
    <mergeCell ref="K393:L393"/>
    <mergeCell ref="AE341:AG341"/>
    <mergeCell ref="AJ354:AK354"/>
    <mergeCell ref="AE320:AG320"/>
    <mergeCell ref="Z446:AA446"/>
    <mergeCell ref="AJ435:AK435"/>
    <mergeCell ref="AE445:AG445"/>
    <mergeCell ref="AJ680:AK680"/>
    <mergeCell ref="AJ653:AK653"/>
    <mergeCell ref="Z611:AA611"/>
    <mergeCell ref="Z321:AA321"/>
    <mergeCell ref="AE331:AG331"/>
    <mergeCell ref="AJ353:AK353"/>
    <mergeCell ref="AE355:AG355"/>
    <mergeCell ref="M379:R379"/>
    <mergeCell ref="AJ372:AK372"/>
    <mergeCell ref="AE369:AG369"/>
    <mergeCell ref="Z373:AA373"/>
    <mergeCell ref="AE368:AG368"/>
    <mergeCell ref="AE385:AG385"/>
    <mergeCell ref="K395:L395"/>
    <mergeCell ref="K425:L425"/>
    <mergeCell ref="AE534:AG534"/>
    <mergeCell ref="AJ516:AK516"/>
    <mergeCell ref="AE658:AG658"/>
    <mergeCell ref="AJ383:AK383"/>
    <mergeCell ref="K66:L66"/>
    <mergeCell ref="M66:R66"/>
    <mergeCell ref="Z66:AA66"/>
    <mergeCell ref="AJ703:AK703"/>
    <mergeCell ref="AE604:AG604"/>
    <mergeCell ref="AE424:AG424"/>
    <mergeCell ref="AJ434:AK434"/>
    <mergeCell ref="AE416:AG416"/>
    <mergeCell ref="AB28:AC28"/>
    <mergeCell ref="AE28:AG28"/>
    <mergeCell ref="AJ28:AK28"/>
    <mergeCell ref="AB66:AC66"/>
    <mergeCell ref="AE66:AG66"/>
    <mergeCell ref="AJ66:AK66"/>
    <mergeCell ref="K197:L197"/>
    <mergeCell ref="M197:R197"/>
    <mergeCell ref="A1101:G1101"/>
    <mergeCell ref="Z1101:AA1101"/>
    <mergeCell ref="AB1101:AC1101"/>
    <mergeCell ref="AE1101:AG1101"/>
    <mergeCell ref="AJ1101:AK1101"/>
    <mergeCell ref="AE386:AG386"/>
    <mergeCell ref="AJ371:AK371"/>
    <mergeCell ref="AB681:AC681"/>
    <mergeCell ref="AJ797:AK797"/>
    <mergeCell ref="AB712:AC712"/>
    <mergeCell ref="M1093:R1093"/>
    <mergeCell ref="AE494:AG494"/>
    <mergeCell ref="AE468:AG468"/>
    <mergeCell ref="AB468:AC468"/>
    <mergeCell ref="K500:L500"/>
    <mergeCell ref="AJ960:AK960"/>
    <mergeCell ref="K276:L276"/>
    <mergeCell ref="M276:R276"/>
    <mergeCell ref="Z276:AA276"/>
    <mergeCell ref="AB276:AC276"/>
    <mergeCell ref="AE276:AG276"/>
    <mergeCell ref="AJ276:AK276"/>
    <mergeCell ref="AE377:AG377"/>
    <mergeCell ref="AJ377:AK377"/>
    <mergeCell ref="AE381:AG381"/>
    <mergeCell ref="AJ429:AK429"/>
    <mergeCell ref="AE561:AG561"/>
    <mergeCell ref="AJ561:AK561"/>
    <mergeCell ref="K509:L509"/>
    <mergeCell ref="Z510:AA510"/>
    <mergeCell ref="Z715:AA715"/>
    <mergeCell ref="AJ665:AK665"/>
    <mergeCell ref="M492:R492"/>
    <mergeCell ref="AE362:AG362"/>
    <mergeCell ref="K364:L364"/>
    <mergeCell ref="AB486:AC486"/>
    <mergeCell ref="AE486:AG486"/>
    <mergeCell ref="AJ486:AK486"/>
    <mergeCell ref="AJ450:AK450"/>
    <mergeCell ref="K680:L680"/>
    <mergeCell ref="AJ692:AK692"/>
    <mergeCell ref="AB715:AC715"/>
    <mergeCell ref="AB705:AC705"/>
    <mergeCell ref="Z703:AA703"/>
    <mergeCell ref="Z710:AA710"/>
    <mergeCell ref="AB422:AC422"/>
    <mergeCell ref="K625:L625"/>
    <mergeCell ref="AE699:AG699"/>
    <mergeCell ref="Z77:AA77"/>
    <mergeCell ref="AB77:AC77"/>
    <mergeCell ref="K60:L60"/>
    <mergeCell ref="M60:R60"/>
    <mergeCell ref="Z60:AA60"/>
    <mergeCell ref="AJ77:AK77"/>
    <mergeCell ref="AE366:AG366"/>
    <mergeCell ref="Z366:AA366"/>
    <mergeCell ref="AJ355:AK355"/>
    <mergeCell ref="Z361:AA361"/>
    <mergeCell ref="AJ517:AK517"/>
    <mergeCell ref="AB421:AC421"/>
    <mergeCell ref="AE465:AG465"/>
    <mergeCell ref="K28:L28"/>
    <mergeCell ref="M28:R28"/>
    <mergeCell ref="Z28:AA28"/>
    <mergeCell ref="K754:L754"/>
    <mergeCell ref="K562:L562"/>
    <mergeCell ref="AJ565:AK565"/>
    <mergeCell ref="AE717:AG717"/>
    <mergeCell ref="AE707:AG707"/>
    <mergeCell ref="AJ709:AK709"/>
    <mergeCell ref="K741:L741"/>
    <mergeCell ref="M741:R741"/>
    <mergeCell ref="Z741:AA741"/>
    <mergeCell ref="AB741:AC741"/>
    <mergeCell ref="AE741:AG741"/>
    <mergeCell ref="AJ741:AK741"/>
    <mergeCell ref="AE732:AG732"/>
    <mergeCell ref="AJ710:AK710"/>
    <mergeCell ref="AB720:AC720"/>
    <mergeCell ref="M300:R300"/>
    <mergeCell ref="K504:L504"/>
    <mergeCell ref="M504:R504"/>
    <mergeCell ref="K630:L630"/>
    <mergeCell ref="K487:L487"/>
    <mergeCell ref="M487:R487"/>
    <mergeCell ref="Z487:AA487"/>
    <mergeCell ref="AB487:AC487"/>
    <mergeCell ref="AE487:AG487"/>
    <mergeCell ref="AJ487:AK487"/>
    <mergeCell ref="AE405:AG405"/>
    <mergeCell ref="M395:R395"/>
    <mergeCell ref="AE509:AG509"/>
    <mergeCell ref="AE400:AG400"/>
    <mergeCell ref="Z475:AA475"/>
    <mergeCell ref="Z1747:AA1747"/>
    <mergeCell ref="AB1747:AC1747"/>
    <mergeCell ref="AE1747:AG1747"/>
    <mergeCell ref="AJ428:AK428"/>
    <mergeCell ref="AB454:AC454"/>
    <mergeCell ref="AB576:AC576"/>
    <mergeCell ref="K1102:L1102"/>
    <mergeCell ref="M1102:R1102"/>
    <mergeCell ref="Z1102:AA1102"/>
    <mergeCell ref="AB1102:AC1102"/>
    <mergeCell ref="AE1102:AG1102"/>
    <mergeCell ref="AJ1102:AK1102"/>
    <mergeCell ref="K1103:L1103"/>
    <mergeCell ref="M1103:R1103"/>
    <mergeCell ref="Z1103:AA1103"/>
    <mergeCell ref="AB1103:AC1103"/>
    <mergeCell ref="AE1103:AG1103"/>
    <mergeCell ref="AJ1103:AK1103"/>
    <mergeCell ref="K532:L532"/>
    <mergeCell ref="AJ827:AK827"/>
    <mergeCell ref="AE395:AG395"/>
    <mergeCell ref="AJ395:AK395"/>
    <mergeCell ref="AE442:AG442"/>
    <mergeCell ref="AB451:AC451"/>
    <mergeCell ref="AJ671:AK671"/>
    <mergeCell ref="AB498:AC498"/>
    <mergeCell ref="AJ497:AK497"/>
    <mergeCell ref="M516:R516"/>
    <mergeCell ref="AJ475:AK475"/>
    <mergeCell ref="AB532:AC532"/>
    <mergeCell ref="AE520:AG520"/>
    <mergeCell ref="Z520:AA520"/>
    <mergeCell ref="AJ507:AK507"/>
    <mergeCell ref="AB485:AC485"/>
    <mergeCell ref="AE653:AG653"/>
    <mergeCell ref="AE621:AG621"/>
    <mergeCell ref="AE689:AG689"/>
    <mergeCell ref="AE596:AG596"/>
    <mergeCell ref="Z609:AA609"/>
    <mergeCell ref="AE503:AG503"/>
    <mergeCell ref="AB530:AC530"/>
    <mergeCell ref="AE527:AG527"/>
    <mergeCell ref="AJ422:AK422"/>
    <mergeCell ref="AB425:AC425"/>
    <mergeCell ref="AB397:AC397"/>
    <mergeCell ref="AE414:AG414"/>
    <mergeCell ref="AJ414:AK414"/>
    <mergeCell ref="AJ531:AK531"/>
    <mergeCell ref="AJ494:AK494"/>
    <mergeCell ref="Z500:AA500"/>
    <mergeCell ref="AJ424:AK424"/>
    <mergeCell ref="AE422:AG422"/>
    <mergeCell ref="Z360:AA360"/>
    <mergeCell ref="M378:R378"/>
    <mergeCell ref="AB1748:AC1748"/>
    <mergeCell ref="AE1748:AG1748"/>
    <mergeCell ref="AJ1748:AK1748"/>
    <mergeCell ref="AE418:AG418"/>
    <mergeCell ref="AJ520:AK520"/>
    <mergeCell ref="AB506:AC506"/>
    <mergeCell ref="Z369:AA369"/>
    <mergeCell ref="AJ389:AK389"/>
    <mergeCell ref="AE374:AG374"/>
    <mergeCell ref="M416:N416"/>
    <mergeCell ref="Z416:AA416"/>
    <mergeCell ref="AB416:AC416"/>
    <mergeCell ref="Z384:AA384"/>
    <mergeCell ref="AB405:AC405"/>
    <mergeCell ref="AJ378:AK378"/>
    <mergeCell ref="AJ375:AK375"/>
    <mergeCell ref="AE722:AG722"/>
    <mergeCell ref="AB755:AC755"/>
    <mergeCell ref="AJ530:AK530"/>
    <mergeCell ref="AJ405:AK405"/>
    <mergeCell ref="Z1104:AA1104"/>
    <mergeCell ref="AB1104:AC1104"/>
    <mergeCell ref="AE1104:AG1104"/>
    <mergeCell ref="AJ1104:AK1104"/>
    <mergeCell ref="AE952:AG952"/>
    <mergeCell ref="AB749:AC749"/>
    <mergeCell ref="AB743:AC743"/>
    <mergeCell ref="Z739:AA739"/>
    <mergeCell ref="M837:R837"/>
    <mergeCell ref="M467:R467"/>
    <mergeCell ref="AJ591:AK591"/>
    <mergeCell ref="AE567:AG567"/>
    <mergeCell ref="AB586:AC586"/>
    <mergeCell ref="M689:R689"/>
    <mergeCell ref="AJ687:AK687"/>
    <mergeCell ref="AJ641:AK641"/>
    <mergeCell ref="AE485:AG485"/>
    <mergeCell ref="AE438:AG438"/>
    <mergeCell ref="AJ522:AK522"/>
    <mergeCell ref="AE550:AG550"/>
    <mergeCell ref="AE602:AG602"/>
    <mergeCell ref="AE455:AG455"/>
    <mergeCell ref="AE579:AG579"/>
    <mergeCell ref="AB434:AC434"/>
    <mergeCell ref="AJ447:AK447"/>
    <mergeCell ref="AB474:AC474"/>
    <mergeCell ref="AE687:AG687"/>
    <mergeCell ref="AJ740:AK740"/>
    <mergeCell ref="AJ731:AK731"/>
    <mergeCell ref="M486:R486"/>
    <mergeCell ref="AE517:AG517"/>
    <mergeCell ref="Z507:AA507"/>
    <mergeCell ref="Z486:AA486"/>
    <mergeCell ref="AE529:AG529"/>
    <mergeCell ref="AB527:AC527"/>
    <mergeCell ref="AJ635:AK635"/>
    <mergeCell ref="AJ664:AK664"/>
    <mergeCell ref="AJ461:AK461"/>
    <mergeCell ref="AJ460:AK460"/>
    <mergeCell ref="AB460:AC460"/>
    <mergeCell ref="Z492:AA492"/>
    <mergeCell ref="AJ715:AK715"/>
    <mergeCell ref="AJ675:AK675"/>
    <mergeCell ref="AJ707:AK707"/>
    <mergeCell ref="K453:L453"/>
    <mergeCell ref="AE481:AG481"/>
    <mergeCell ref="AE484:AG484"/>
    <mergeCell ref="AE480:AG480"/>
    <mergeCell ref="AB477:AC477"/>
    <mergeCell ref="AJ440:AK440"/>
    <mergeCell ref="AJ728:AK728"/>
    <mergeCell ref="AJ683:AK683"/>
    <mergeCell ref="AB644:AC644"/>
    <mergeCell ref="M147:R147"/>
    <mergeCell ref="Z147:AA147"/>
    <mergeCell ref="AB147:AC147"/>
    <mergeCell ref="AE147:AG147"/>
    <mergeCell ref="AJ147:AK147"/>
    <mergeCell ref="AJ416:AK416"/>
    <mergeCell ref="AJ593:AK593"/>
    <mergeCell ref="AE647:AG647"/>
    <mergeCell ref="AJ515:AK515"/>
    <mergeCell ref="AE698:AG698"/>
    <mergeCell ref="M475:R475"/>
    <mergeCell ref="AE617:AG617"/>
    <mergeCell ref="AE727:AG727"/>
    <mergeCell ref="AJ577:AK577"/>
    <mergeCell ref="AB604:AC604"/>
    <mergeCell ref="AJ711:AK711"/>
    <mergeCell ref="AB676:AC676"/>
    <mergeCell ref="AJ617:AK617"/>
    <mergeCell ref="AB618:AC618"/>
    <mergeCell ref="AE476:AG476"/>
    <mergeCell ref="AJ511:AK511"/>
    <mergeCell ref="AJ622:AK622"/>
    <mergeCell ref="Z627:AA627"/>
    <mergeCell ref="Z892:AA892"/>
    <mergeCell ref="AB892:AC892"/>
    <mergeCell ref="AE892:AG892"/>
    <mergeCell ref="AJ892:AK892"/>
    <mergeCell ref="M893:R893"/>
    <mergeCell ref="Z893:AA893"/>
    <mergeCell ref="AJ1016:AK1016"/>
    <mergeCell ref="AJ1037:AK1037"/>
    <mergeCell ref="AE1020:AG1020"/>
    <mergeCell ref="AE746:AG746"/>
    <mergeCell ref="AE748:AG748"/>
    <mergeCell ref="AJ718:AK718"/>
    <mergeCell ref="AE662:AG662"/>
    <mergeCell ref="AE655:AG655"/>
    <mergeCell ref="Z647:AA647"/>
    <mergeCell ref="AB638:AC638"/>
    <mergeCell ref="AE618:AG618"/>
    <mergeCell ref="Z659:AA659"/>
    <mergeCell ref="AJ678:AK678"/>
    <mergeCell ref="AE675:AG675"/>
    <mergeCell ref="AJ670:AK670"/>
    <mergeCell ref="AJ745:AK745"/>
    <mergeCell ref="AE787:AG787"/>
    <mergeCell ref="AJ742:AK742"/>
    <mergeCell ref="AJ723:AK723"/>
    <mergeCell ref="AJ719:AK719"/>
    <mergeCell ref="AE684:AG684"/>
    <mergeCell ref="AJ729:AK729"/>
    <mergeCell ref="AJ484:AK484"/>
    <mergeCell ref="AB508:AC508"/>
    <mergeCell ref="Z515:AA515"/>
    <mergeCell ref="AJ537:AK537"/>
    <mergeCell ref="AJ952:AK952"/>
    <mergeCell ref="AE544:AG544"/>
    <mergeCell ref="AE612:AG612"/>
    <mergeCell ref="AE573:AG573"/>
    <mergeCell ref="AJ553:AK553"/>
    <mergeCell ref="AJ569:AK569"/>
    <mergeCell ref="AJ570:AK570"/>
    <mergeCell ref="AE556:AG556"/>
    <mergeCell ref="AJ1747:AK1747"/>
    <mergeCell ref="Z1748:AA1748"/>
    <mergeCell ref="AJ563:AK563"/>
    <mergeCell ref="AJ498:AK498"/>
    <mergeCell ref="K77:L77"/>
    <mergeCell ref="M77:R77"/>
    <mergeCell ref="M431:R431"/>
    <mergeCell ref="Z434:AA434"/>
    <mergeCell ref="AE1035:AG1035"/>
    <mergeCell ref="AB1039:AC1039"/>
    <mergeCell ref="AB678:AC678"/>
    <mergeCell ref="AE628:AG628"/>
    <mergeCell ref="AB620:AC620"/>
    <mergeCell ref="Z606:AA606"/>
    <mergeCell ref="AB649:AC649"/>
    <mergeCell ref="AJ467:AK467"/>
    <mergeCell ref="AJ476:AK476"/>
    <mergeCell ref="AJ454:AK454"/>
    <mergeCell ref="AE504:AG504"/>
    <mergeCell ref="AJ504:AK504"/>
    <mergeCell ref="Z701:AA701"/>
    <mergeCell ref="AE578:AG578"/>
    <mergeCell ref="AJ572:AK572"/>
    <mergeCell ref="Z622:AA622"/>
    <mergeCell ref="AJ627:AK627"/>
    <mergeCell ref="AJ650:AK650"/>
    <mergeCell ref="AJ663:AK663"/>
    <mergeCell ref="AE677:AG677"/>
    <mergeCell ref="Z1085:AA1085"/>
    <mergeCell ref="AB1085:AC1085"/>
    <mergeCell ref="AJ619:AK619"/>
    <mergeCell ref="AE663:AG663"/>
    <mergeCell ref="AB673:AC673"/>
    <mergeCell ref="AJ575:AK575"/>
    <mergeCell ref="AJ708:AK708"/>
    <mergeCell ref="AJ705:AK705"/>
    <mergeCell ref="AJ508:AK508"/>
    <mergeCell ref="AJ787:AK787"/>
    <mergeCell ref="Z588:AA588"/>
    <mergeCell ref="AB735:AC735"/>
    <mergeCell ref="AB869:AC869"/>
    <mergeCell ref="AE605:AG605"/>
    <mergeCell ref="AB609:AC609"/>
    <mergeCell ref="AJ754:AK754"/>
    <mergeCell ref="AJ858:AK858"/>
    <mergeCell ref="Z1004:AA1004"/>
    <mergeCell ref="AB1004:AC1004"/>
    <mergeCell ref="AE1004:AG1004"/>
    <mergeCell ref="AJ1004:AK1004"/>
    <mergeCell ref="AE1025:AG1025"/>
    <mergeCell ref="AE1034:AG1034"/>
    <mergeCell ref="AJ1043:AK1043"/>
    <mergeCell ref="Z470:AA470"/>
    <mergeCell ref="AJ433:AK433"/>
    <mergeCell ref="AE869:AG869"/>
    <mergeCell ref="Q776:U776"/>
    <mergeCell ref="AJ607:AK607"/>
    <mergeCell ref="K1430:L1430"/>
    <mergeCell ref="M1430:R1430"/>
    <mergeCell ref="Z1430:AA1430"/>
    <mergeCell ref="AB1430:AC1430"/>
    <mergeCell ref="AJ438:AK438"/>
    <mergeCell ref="AJ426:AK426"/>
    <mergeCell ref="J518:L518"/>
    <mergeCell ref="AJ545:AK545"/>
    <mergeCell ref="AB501:AC501"/>
    <mergeCell ref="AJ503:AK503"/>
    <mergeCell ref="AE470:AG470"/>
    <mergeCell ref="AJ573:AK573"/>
    <mergeCell ref="Z635:AA635"/>
    <mergeCell ref="AJ495:AK495"/>
    <mergeCell ref="AB562:AC562"/>
    <mergeCell ref="AJ502:AK502"/>
    <mergeCell ref="AE601:AG601"/>
    <mergeCell ref="AE683:AG683"/>
    <mergeCell ref="AE704:AG704"/>
    <mergeCell ref="AB663:AC663"/>
    <mergeCell ref="AE719:AG719"/>
    <mergeCell ref="AB714:AC714"/>
    <mergeCell ref="AJ645:AK645"/>
    <mergeCell ref="AJ621:AK621"/>
    <mergeCell ref="AJ633:AK633"/>
    <mergeCell ref="AJ566:AK566"/>
    <mergeCell ref="AE590:AG590"/>
    <mergeCell ref="K415:L415"/>
    <mergeCell ref="A751:G751"/>
    <mergeCell ref="Z751:AA751"/>
    <mergeCell ref="AB751:AC751"/>
    <mergeCell ref="AE751:AG751"/>
    <mergeCell ref="AJ751:AK751"/>
    <mergeCell ref="K752:L752"/>
    <mergeCell ref="M752:R752"/>
    <mergeCell ref="Z752:AA752"/>
    <mergeCell ref="AB752:AC752"/>
    <mergeCell ref="AE752:AG752"/>
    <mergeCell ref="AJ752:AK752"/>
    <mergeCell ref="K753:L753"/>
    <mergeCell ref="M753:R753"/>
    <mergeCell ref="Z753:AA753"/>
    <mergeCell ref="AB753:AC753"/>
    <mergeCell ref="AE753:AG753"/>
    <mergeCell ref="AJ753:AK753"/>
    <mergeCell ref="Q751:U751"/>
    <mergeCell ref="AE431:AG431"/>
    <mergeCell ref="AJ431:AK431"/>
    <mergeCell ref="AJ459:AK459"/>
    <mergeCell ref="K604:L604"/>
    <mergeCell ref="K525:L525"/>
    <mergeCell ref="AJ430:AK430"/>
    <mergeCell ref="AB435:AC435"/>
    <mergeCell ref="AJ470:AK470"/>
    <mergeCell ref="AE505:AG505"/>
    <mergeCell ref="AJ660:AK660"/>
    <mergeCell ref="AJ661:AK661"/>
    <mergeCell ref="AE597:AG597"/>
    <mergeCell ref="AJ725:AK725"/>
    <mergeCell ref="K475:L475"/>
    <mergeCell ref="AJ465:AK465"/>
    <mergeCell ref="AJ489:AK489"/>
    <mergeCell ref="AE580:AG580"/>
    <mergeCell ref="AE697:AG697"/>
    <mergeCell ref="AJ643:AK643"/>
    <mergeCell ref="AJ714:AK714"/>
    <mergeCell ref="AE667:AG667"/>
    <mergeCell ref="AE648:AG648"/>
    <mergeCell ref="AE779:AG779"/>
    <mergeCell ref="AE692:AG692"/>
    <mergeCell ref="AJ407:AK407"/>
    <mergeCell ref="AJ644:AK644"/>
    <mergeCell ref="AB665:AC665"/>
    <mergeCell ref="AJ610:AK610"/>
    <mergeCell ref="AE890:AG890"/>
    <mergeCell ref="AJ738:AK738"/>
    <mergeCell ref="AE690:AG690"/>
    <mergeCell ref="AE661:AG661"/>
    <mergeCell ref="AE681:AG681"/>
    <mergeCell ref="AE441:AG441"/>
    <mergeCell ref="AJ425:AK425"/>
    <mergeCell ref="K516:L516"/>
    <mergeCell ref="AJ542:AK542"/>
    <mergeCell ref="M476:R476"/>
    <mergeCell ref="AB679:AC679"/>
    <mergeCell ref="AE725:AG725"/>
    <mergeCell ref="Z630:AA630"/>
    <mergeCell ref="AB630:AC630"/>
    <mergeCell ref="AB517:AC517"/>
    <mergeCell ref="AJ559:AK559"/>
    <mergeCell ref="AJ693:AK693"/>
    <mergeCell ref="AJ113:AK113"/>
    <mergeCell ref="AE452:AG452"/>
    <mergeCell ref="AJ453:AK453"/>
    <mergeCell ref="AJ452:AK452"/>
    <mergeCell ref="AJ468:AK468"/>
    <mergeCell ref="AJ410:AK410"/>
    <mergeCell ref="AJ408:AK408"/>
    <mergeCell ref="AJ466:AK466"/>
    <mergeCell ref="Z506:AA506"/>
    <mergeCell ref="AE515:AG515"/>
    <mergeCell ref="AE506:AG506"/>
    <mergeCell ref="AE497:AG497"/>
    <mergeCell ref="AJ404:AK404"/>
    <mergeCell ref="M565:R565"/>
    <mergeCell ref="AE496:AG496"/>
    <mergeCell ref="AJ455:AK455"/>
    <mergeCell ref="AJ391:AK391"/>
    <mergeCell ref="M437:R437"/>
    <mergeCell ref="M426:R426"/>
    <mergeCell ref="AJ399:AK399"/>
    <mergeCell ref="AE492:AG492"/>
    <mergeCell ref="AE469:AG469"/>
    <mergeCell ref="AE478:AG478"/>
    <mergeCell ref="AB491:AC491"/>
    <mergeCell ref="Z550:AA550"/>
    <mergeCell ref="Z558:AA558"/>
    <mergeCell ref="AJ549:AK549"/>
    <mergeCell ref="AE489:AG489"/>
    <mergeCell ref="AB429:AC429"/>
    <mergeCell ref="AE491:AG491"/>
    <mergeCell ref="AJ479:AK479"/>
    <mergeCell ref="AJ480:AK480"/>
    <mergeCell ref="M630:R630"/>
    <mergeCell ref="AJ600:AK600"/>
    <mergeCell ref="AJ616:AK616"/>
    <mergeCell ref="AB675:AC675"/>
    <mergeCell ref="AB645:AC645"/>
    <mergeCell ref="AE642:AG642"/>
    <mergeCell ref="AE396:AG396"/>
    <mergeCell ref="AJ386:AK386"/>
    <mergeCell ref="M589:R589"/>
    <mergeCell ref="AE574:AG574"/>
    <mergeCell ref="AE575:AG575"/>
    <mergeCell ref="AJ667:AK667"/>
    <mergeCell ref="AJ669:AK669"/>
    <mergeCell ref="AE693:AG693"/>
    <mergeCell ref="AJ784:AK784"/>
    <mergeCell ref="AJ782:AK782"/>
    <mergeCell ref="AE767:AG767"/>
    <mergeCell ref="AE528:AG528"/>
    <mergeCell ref="AJ690:AK690"/>
    <mergeCell ref="AJ612:AK612"/>
    <mergeCell ref="AE591:AG591"/>
    <mergeCell ref="AJ597:AK597"/>
    <mergeCell ref="Z645:AA645"/>
    <mergeCell ref="AJ474:AK474"/>
    <mergeCell ref="AB612:AC612"/>
    <mergeCell ref="AB537:AC537"/>
    <mergeCell ref="AE493:AG493"/>
    <mergeCell ref="AE607:AG607"/>
    <mergeCell ref="AE479:AG479"/>
    <mergeCell ref="AJ469:AK469"/>
    <mergeCell ref="AJ478:AK478"/>
    <mergeCell ref="M464:R464"/>
    <mergeCell ref="AE540:AG540"/>
    <mergeCell ref="AJ682:AK682"/>
    <mergeCell ref="Z663:AA663"/>
    <mergeCell ref="AE558:AG558"/>
    <mergeCell ref="AJ523:AK523"/>
    <mergeCell ref="AJ525:AK525"/>
    <mergeCell ref="AJ556:AK556"/>
    <mergeCell ref="AJ534:AK534"/>
    <mergeCell ref="Z529:AA529"/>
    <mergeCell ref="M537:R537"/>
    <mergeCell ref="AJ618:AK618"/>
    <mergeCell ref="AJ697:AK697"/>
    <mergeCell ref="AK6:AT6"/>
    <mergeCell ref="AE437:AG437"/>
    <mergeCell ref="AJ446:AK446"/>
    <mergeCell ref="Z388:AA388"/>
    <mergeCell ref="Z387:AA387"/>
    <mergeCell ref="AE383:AG383"/>
    <mergeCell ref="R414:U414"/>
    <mergeCell ref="Z414:AA414"/>
    <mergeCell ref="AB414:AC414"/>
    <mergeCell ref="AE389:AG389"/>
    <mergeCell ref="Z371:AA371"/>
    <mergeCell ref="Z368:AA368"/>
    <mergeCell ref="AJ366:AK366"/>
    <mergeCell ref="AJ324:AK324"/>
    <mergeCell ref="AE415:AG415"/>
    <mergeCell ref="AJ415:AK415"/>
    <mergeCell ref="AJ381:AK381"/>
    <mergeCell ref="AB361:AC361"/>
    <mergeCell ref="AE354:AG354"/>
    <mergeCell ref="Z358:AA358"/>
    <mergeCell ref="AJ388:AK388"/>
    <mergeCell ref="AE615:AG615"/>
    <mergeCell ref="M618:R618"/>
    <mergeCell ref="AJ796:AK796"/>
    <mergeCell ref="AJ689:AK689"/>
    <mergeCell ref="AE781:AG781"/>
    <mergeCell ref="AJ720:AK720"/>
    <mergeCell ref="AE652:AG652"/>
    <mergeCell ref="AJ581:AK581"/>
    <mergeCell ref="AJ580:AK580"/>
    <mergeCell ref="AE649:AG649"/>
    <mergeCell ref="Z517:AA517"/>
    <mergeCell ref="AJ623:AK623"/>
    <mergeCell ref="AE644:AG644"/>
    <mergeCell ref="AJ1094:AK1094"/>
    <mergeCell ref="Z867:AA867"/>
    <mergeCell ref="AE665:AG665"/>
    <mergeCell ref="AB731:AC731"/>
    <mergeCell ref="AE768:AG768"/>
    <mergeCell ref="AB764:AC764"/>
    <mergeCell ref="AE577:AG577"/>
    <mergeCell ref="AJ568:AK568"/>
    <mergeCell ref="AJ606:AK606"/>
    <mergeCell ref="AJ615:AK615"/>
    <mergeCell ref="Z668:AA668"/>
    <mergeCell ref="M562:R562"/>
    <mergeCell ref="Q567:V567"/>
    <mergeCell ref="Z518:AA518"/>
    <mergeCell ref="AJ589:AK589"/>
    <mergeCell ref="AJ604:AK604"/>
    <mergeCell ref="Z561:AA561"/>
    <mergeCell ref="AE532:AG532"/>
    <mergeCell ref="Z681:AA681"/>
    <mergeCell ref="AB677:AC677"/>
    <mergeCell ref="AE762:AG762"/>
    <mergeCell ref="R654:U654"/>
    <mergeCell ref="K613:L613"/>
    <mergeCell ref="Z604:AA604"/>
    <mergeCell ref="AJ586:AK586"/>
    <mergeCell ref="AJ595:AK595"/>
    <mergeCell ref="AE611:AG611"/>
    <mergeCell ref="AJ654:AK654"/>
    <mergeCell ref="AJ598:AK598"/>
    <mergeCell ref="AJ442:AK442"/>
    <mergeCell ref="M570:R570"/>
    <mergeCell ref="M533:R533"/>
    <mergeCell ref="Z579:AA579"/>
    <mergeCell ref="Z580:AA580"/>
    <mergeCell ref="Z581:AA581"/>
    <mergeCell ref="AJ560:AK560"/>
    <mergeCell ref="AJ505:AK505"/>
    <mergeCell ref="AJ492:AK492"/>
    <mergeCell ref="AB739:AC739"/>
    <mergeCell ref="K692:L692"/>
    <mergeCell ref="Z587:AA587"/>
    <mergeCell ref="Z721:AA721"/>
    <mergeCell ref="K574:L574"/>
    <mergeCell ref="Z573:AA573"/>
    <mergeCell ref="AE588:AG588"/>
    <mergeCell ref="AJ588:AK588"/>
    <mergeCell ref="AJ538:AK538"/>
    <mergeCell ref="AB546:AC546"/>
    <mergeCell ref="AJ620:AK620"/>
    <mergeCell ref="AE547:AG547"/>
    <mergeCell ref="AE585:AG585"/>
    <mergeCell ref="Q584:V584"/>
    <mergeCell ref="AE338:AG338"/>
    <mergeCell ref="M577:R577"/>
    <mergeCell ref="AJ564:AK564"/>
    <mergeCell ref="AJ533:AK533"/>
    <mergeCell ref="AJ637:AK637"/>
    <mergeCell ref="AJ879:AK879"/>
    <mergeCell ref="AJ835:AK835"/>
    <mergeCell ref="A321:H321"/>
    <mergeCell ref="K486:L486"/>
    <mergeCell ref="K1142:L1142"/>
    <mergeCell ref="AE495:AG495"/>
    <mergeCell ref="M624:R624"/>
    <mergeCell ref="AJ681:AK681"/>
    <mergeCell ref="AJ629:AK629"/>
    <mergeCell ref="AB520:AC520"/>
    <mergeCell ref="R424:U424"/>
    <mergeCell ref="AE994:AG994"/>
    <mergeCell ref="AE927:AG927"/>
    <mergeCell ref="AB858:AC858"/>
    <mergeCell ref="AB877:AC877"/>
    <mergeCell ref="AE988:AG988"/>
    <mergeCell ref="AE1067:AG1067"/>
    <mergeCell ref="AE1065:AG1065"/>
    <mergeCell ref="AE1013:AG1013"/>
    <mergeCell ref="AE1039:AG1039"/>
    <mergeCell ref="AJ1076:AK1076"/>
    <mergeCell ref="AE958:AG958"/>
    <mergeCell ref="AE772:AG772"/>
    <mergeCell ref="Z680:AA680"/>
    <mergeCell ref="Z664:AA664"/>
    <mergeCell ref="K63:L63"/>
    <mergeCell ref="M63:R63"/>
    <mergeCell ref="Z63:AA63"/>
    <mergeCell ref="AB63:AC63"/>
    <mergeCell ref="AE63:AG63"/>
    <mergeCell ref="AJ63:AK63"/>
    <mergeCell ref="AE466:AG466"/>
    <mergeCell ref="AB547:AC547"/>
    <mergeCell ref="AJ501:AK501"/>
    <mergeCell ref="AJ464:AK464"/>
    <mergeCell ref="AE539:AG539"/>
    <mergeCell ref="M496:R496"/>
    <mergeCell ref="AE407:AG407"/>
    <mergeCell ref="AE451:AG451"/>
    <mergeCell ref="AE450:AG450"/>
    <mergeCell ref="K492:L492"/>
    <mergeCell ref="AB500:AC500"/>
    <mergeCell ref="AE500:AG500"/>
    <mergeCell ref="AJ500:AK500"/>
    <mergeCell ref="AE417:AG417"/>
    <mergeCell ref="AJ412:AK412"/>
    <mergeCell ref="AB411:AC411"/>
    <mergeCell ref="AJ373:AK373"/>
    <mergeCell ref="AJ368:AK368"/>
    <mergeCell ref="AB384:AC384"/>
    <mergeCell ref="AJ365:AK365"/>
    <mergeCell ref="AB398:AC398"/>
    <mergeCell ref="AJ490:AK490"/>
    <mergeCell ref="AJ496:AK496"/>
    <mergeCell ref="AE537:AG537"/>
    <mergeCell ref="Z396:AA396"/>
    <mergeCell ref="AJ384:AK384"/>
    <mergeCell ref="AE674:AG674"/>
    <mergeCell ref="AJ673:AK673"/>
    <mergeCell ref="AE754:AG754"/>
    <mergeCell ref="AJ798:AK798"/>
    <mergeCell ref="AE721:AG721"/>
    <mergeCell ref="AE840:AG840"/>
    <mergeCell ref="AB807:AC807"/>
    <mergeCell ref="AJ767:AK767"/>
    <mergeCell ref="AE967:AG967"/>
    <mergeCell ref="AE919:AG919"/>
    <mergeCell ref="AJ1190:AK1190"/>
    <mergeCell ref="AB1007:AC1007"/>
    <mergeCell ref="AB934:AC934"/>
    <mergeCell ref="AB845:AC845"/>
    <mergeCell ref="AJ909:AK909"/>
    <mergeCell ref="AB1018:AC1018"/>
    <mergeCell ref="AB1142:AC1142"/>
    <mergeCell ref="AJ1126:AK1126"/>
    <mergeCell ref="AJ1062:AK1062"/>
    <mergeCell ref="AJ971:AK971"/>
    <mergeCell ref="AE918:AG918"/>
    <mergeCell ref="AE944:AG944"/>
    <mergeCell ref="AJ1015:AK1015"/>
    <mergeCell ref="AE881:AG881"/>
    <mergeCell ref="AJ927:AK927"/>
    <mergeCell ref="AE959:AG959"/>
    <mergeCell ref="AJ880:AK880"/>
    <mergeCell ref="AJ726:AK726"/>
    <mergeCell ref="AJ706:AK706"/>
    <mergeCell ref="AE688:AG688"/>
    <mergeCell ref="AE708:AG708"/>
    <mergeCell ref="AJ1035:AK1035"/>
    <mergeCell ref="AJ558:AK558"/>
    <mergeCell ref="AE433:AG433"/>
    <mergeCell ref="AE964:AG964"/>
    <mergeCell ref="AE837:AG837"/>
    <mergeCell ref="AE680:AG680"/>
    <mergeCell ref="AE769:AG769"/>
    <mergeCell ref="AE947:AG947"/>
    <mergeCell ref="AE1002:AG1002"/>
    <mergeCell ref="AB773:AC773"/>
    <mergeCell ref="AE775:AG775"/>
    <mergeCell ref="Z730:AA730"/>
    <mergeCell ref="Z674:AA674"/>
    <mergeCell ref="Z938:AA938"/>
    <mergeCell ref="Z798:AA798"/>
    <mergeCell ref="AE682:AG682"/>
    <mergeCell ref="AJ791:AK791"/>
    <mergeCell ref="AJ895:AK895"/>
    <mergeCell ref="Z890:AA890"/>
    <mergeCell ref="AB890:AC890"/>
    <mergeCell ref="Z750:AA750"/>
    <mergeCell ref="AJ807:AK807"/>
    <mergeCell ref="AE856:AG856"/>
    <mergeCell ref="AJ657:AK657"/>
    <mergeCell ref="AJ789:AK789"/>
    <mergeCell ref="AE825:AG825"/>
    <mergeCell ref="AJ816:AK816"/>
    <mergeCell ref="AJ809:AK809"/>
    <mergeCell ref="AJ795:AK795"/>
    <mergeCell ref="AJ761:AK761"/>
    <mergeCell ref="AE786:AG786"/>
    <mergeCell ref="AJ778:AK778"/>
    <mergeCell ref="AJ794:AK794"/>
    <mergeCell ref="AJ1137:AK1137"/>
    <mergeCell ref="AE1220:AG1220"/>
    <mergeCell ref="AB1211:AC1211"/>
    <mergeCell ref="AJ1215:AK1215"/>
    <mergeCell ref="AJ1022:AK1022"/>
    <mergeCell ref="AJ1009:AK1009"/>
    <mergeCell ref="AJ992:AK992"/>
    <mergeCell ref="AJ975:AK975"/>
    <mergeCell ref="AE1075:AG1075"/>
    <mergeCell ref="AJ759:AK759"/>
    <mergeCell ref="AB785:AC785"/>
    <mergeCell ref="AJ843:AK843"/>
    <mergeCell ref="AJ1051:AK1051"/>
    <mergeCell ref="AE991:AG991"/>
    <mergeCell ref="AE966:AG966"/>
    <mergeCell ref="AE996:AG996"/>
    <mergeCell ref="AE1003:AG1003"/>
    <mergeCell ref="AJ1128:AK1128"/>
    <mergeCell ref="AJ1194:AK1194"/>
    <mergeCell ref="AJ1071:AK1071"/>
    <mergeCell ref="AJ1073:AK1073"/>
    <mergeCell ref="AJ1030:AK1030"/>
    <mergeCell ref="AE1015:AG1015"/>
    <mergeCell ref="AE1006:AG1006"/>
    <mergeCell ref="AJ1025:AK1025"/>
    <mergeCell ref="AJ1200:AK1200"/>
    <mergeCell ref="AB1199:AC1199"/>
    <mergeCell ref="AJ1078:AK1078"/>
    <mergeCell ref="AJ859:AK859"/>
    <mergeCell ref="AB771:AC771"/>
    <mergeCell ref="AJ912:AK912"/>
    <mergeCell ref="AE910:AG910"/>
    <mergeCell ref="AB716:AC716"/>
    <mergeCell ref="AB1063:AC1063"/>
    <mergeCell ref="AJ1011:AK1011"/>
    <mergeCell ref="AJ1007:AK1007"/>
    <mergeCell ref="AJ1050:AK1050"/>
    <mergeCell ref="AJ737:AK737"/>
    <mergeCell ref="AJ842:AK842"/>
    <mergeCell ref="AJ845:AK845"/>
    <mergeCell ref="AJ808:AK808"/>
    <mergeCell ref="AE797:AG797"/>
    <mergeCell ref="AE888:AG888"/>
    <mergeCell ref="AE987:AG987"/>
    <mergeCell ref="AB969:AC969"/>
    <mergeCell ref="AE997:AG997"/>
    <mergeCell ref="AE1430:AG1430"/>
    <mergeCell ref="AJ1430:AK1430"/>
    <mergeCell ref="AE1276:AG1276"/>
    <mergeCell ref="AJ1272:AK1272"/>
    <mergeCell ref="AE973:AG973"/>
    <mergeCell ref="AE1061:AG1061"/>
    <mergeCell ref="AJ1243:AK1243"/>
    <mergeCell ref="AJ1251:AK1251"/>
    <mergeCell ref="AJ1096:AK1096"/>
    <mergeCell ref="AJ949:AK949"/>
    <mergeCell ref="AB1002:AC1002"/>
    <mergeCell ref="AB1251:AC1251"/>
    <mergeCell ref="AJ1274:AK1274"/>
    <mergeCell ref="AB910:AC910"/>
    <mergeCell ref="AJ1220:AK1220"/>
    <mergeCell ref="AJ1222:AK1222"/>
    <mergeCell ref="AE891:AG891"/>
    <mergeCell ref="AE1071:AG1071"/>
    <mergeCell ref="AJ548:AK548"/>
    <mergeCell ref="Z818:AA818"/>
    <mergeCell ref="AJ872:AK872"/>
    <mergeCell ref="AE867:AG867"/>
    <mergeCell ref="AE1012:AG1012"/>
    <mergeCell ref="AJ732:AK732"/>
    <mergeCell ref="AJ735:AK735"/>
    <mergeCell ref="AE716:AG716"/>
    <mergeCell ref="AJ716:AK716"/>
    <mergeCell ref="AJ721:AK721"/>
    <mergeCell ref="AJ777:AK777"/>
    <mergeCell ref="AB765:AC765"/>
    <mergeCell ref="AJ998:AK998"/>
    <mergeCell ref="Z1142:AA1142"/>
    <mergeCell ref="AE865:AG865"/>
    <mergeCell ref="AJ986:AK986"/>
    <mergeCell ref="AJ848:AK848"/>
    <mergeCell ref="AJ605:AK605"/>
    <mergeCell ref="AE594:AG594"/>
    <mergeCell ref="AJ925:AK925"/>
    <mergeCell ref="AE962:AG962"/>
    <mergeCell ref="AB920:AC920"/>
    <mergeCell ref="AE986:AG986"/>
    <mergeCell ref="AJ713:AK713"/>
    <mergeCell ref="AJ674:AK674"/>
    <mergeCell ref="AE816:AG816"/>
    <mergeCell ref="AB824:AC824"/>
    <mergeCell ref="AJ609:AK609"/>
    <mergeCell ref="AE728:AG728"/>
    <mergeCell ref="AE714:AG714"/>
    <mergeCell ref="AE731:AG731"/>
    <mergeCell ref="AB707:AC707"/>
    <mergeCell ref="AB1015:AC1015"/>
    <mergeCell ref="AB1013:AC1013"/>
    <mergeCell ref="AE853:AG853"/>
    <mergeCell ref="AB724:AC724"/>
    <mergeCell ref="AB947:AC947"/>
    <mergeCell ref="AJ828:AK828"/>
    <mergeCell ref="AB887:AC887"/>
    <mergeCell ref="AB826:AC826"/>
    <mergeCell ref="AJ931:AK931"/>
    <mergeCell ref="AE720:AG720"/>
    <mergeCell ref="AE1063:AG1063"/>
    <mergeCell ref="AJ614:AK614"/>
    <mergeCell ref="AJ769:AK769"/>
    <mergeCell ref="Z656:AA656"/>
    <mergeCell ref="AB656:AC656"/>
    <mergeCell ref="AJ946:AK946"/>
    <mergeCell ref="AJ920:AK920"/>
    <mergeCell ref="AJ936:AK936"/>
    <mergeCell ref="AE871:AG871"/>
    <mergeCell ref="AJ921:AK921"/>
    <mergeCell ref="AE724:AG724"/>
    <mergeCell ref="AE742:AG742"/>
    <mergeCell ref="Z679:AA679"/>
    <mergeCell ref="AJ1003:AK1003"/>
    <mergeCell ref="AE915:AG915"/>
    <mergeCell ref="AE880:AG880"/>
    <mergeCell ref="AE857:AG857"/>
    <mergeCell ref="AE796:AG796"/>
    <mergeCell ref="AE788:AG788"/>
    <mergeCell ref="AB786:AC786"/>
    <mergeCell ref="AJ1020:AK1020"/>
    <mergeCell ref="AJ860:AK860"/>
    <mergeCell ref="AJ993:AK993"/>
    <mergeCell ref="AJ948:AK948"/>
    <mergeCell ref="AJ966:AK966"/>
    <mergeCell ref="AE955:AG955"/>
    <mergeCell ref="AJ1000:AK1000"/>
    <mergeCell ref="AJ881:AK881"/>
    <mergeCell ref="AE861:AG861"/>
    <mergeCell ref="AJ882:AK882"/>
    <mergeCell ref="AJ970:AK970"/>
    <mergeCell ref="AJ758:AK758"/>
    <mergeCell ref="AE963:AG963"/>
    <mergeCell ref="AJ926:AK926"/>
    <mergeCell ref="AJ947:AK947"/>
    <mergeCell ref="AJ918:AK918"/>
    <mergeCell ref="AE905:AG905"/>
    <mergeCell ref="AE960:AG960"/>
    <mergeCell ref="AB812:AC812"/>
    <mergeCell ref="AE804:AG804"/>
    <mergeCell ref="AE870:AG870"/>
    <mergeCell ref="AE822:AG822"/>
    <mergeCell ref="AE823:AG823"/>
    <mergeCell ref="AB998:AC998"/>
    <mergeCell ref="AB994:AC994"/>
    <mergeCell ref="AE953:AG953"/>
    <mergeCell ref="AE999:AG999"/>
    <mergeCell ref="AJ875:AK875"/>
    <mergeCell ref="AJ991:AK991"/>
    <mergeCell ref="AJ979:AK979"/>
    <mergeCell ref="AE921:AG921"/>
    <mergeCell ref="AE640:AG640"/>
    <mergeCell ref="AE985:AG985"/>
    <mergeCell ref="AJ509:AK509"/>
    <mergeCell ref="AJ524:AK524"/>
    <mergeCell ref="AE525:AG525"/>
    <mergeCell ref="AB525:AC525"/>
    <mergeCell ref="AE519:AG519"/>
    <mergeCell ref="AE872:AG872"/>
    <mergeCell ref="AJ841:AK841"/>
    <mergeCell ref="AE850:AG850"/>
    <mergeCell ref="AE873:AG873"/>
    <mergeCell ref="AB852:AC852"/>
    <mergeCell ref="AE800:AG800"/>
    <mergeCell ref="AE678:AG678"/>
    <mergeCell ref="AJ684:AK684"/>
    <mergeCell ref="AB639:AC639"/>
    <mergeCell ref="AJ722:AK722"/>
    <mergeCell ref="AJ724:AK724"/>
    <mergeCell ref="AJ756:AK756"/>
    <mergeCell ref="AE971:AG971"/>
    <mergeCell ref="AJ766:AK766"/>
    <mergeCell ref="AJ969:AK969"/>
    <mergeCell ref="AJ889:AK889"/>
    <mergeCell ref="AJ771:AK771"/>
    <mergeCell ref="AJ874:AK874"/>
    <mergeCell ref="AJ819:AK819"/>
    <mergeCell ref="AJ898:AK898"/>
    <mergeCell ref="AJ878:AK878"/>
    <mergeCell ref="AJ832:AK832"/>
    <mergeCell ref="AJ928:AK928"/>
    <mergeCell ref="AJ919:AK919"/>
    <mergeCell ref="AB529:AC529"/>
    <mergeCell ref="Z840:AA840"/>
    <mergeCell ref="AE942:AG942"/>
    <mergeCell ref="AE975:AG975"/>
    <mergeCell ref="AE1054:AG1054"/>
    <mergeCell ref="AJ1010:AK1010"/>
    <mergeCell ref="AJ941:AK941"/>
    <mergeCell ref="AJ943:AK943"/>
    <mergeCell ref="AJ734:AK734"/>
    <mergeCell ref="AJ760:AK760"/>
    <mergeCell ref="AJ772:AK772"/>
    <mergeCell ref="AE673:AG673"/>
    <mergeCell ref="AE758:AG758"/>
    <mergeCell ref="AB802:AC802"/>
    <mergeCell ref="AB760:AC760"/>
    <mergeCell ref="AE1218:AG1218"/>
    <mergeCell ref="AE634:AG634"/>
    <mergeCell ref="AE637:AG637"/>
    <mergeCell ref="AE889:AG889"/>
    <mergeCell ref="AJ955:AK955"/>
    <mergeCell ref="AJ799:AK799"/>
    <mergeCell ref="AJ950:AK950"/>
    <mergeCell ref="AE932:AG932"/>
    <mergeCell ref="AE859:AG859"/>
    <mergeCell ref="AE904:AG904"/>
    <mergeCell ref="AB813:AC813"/>
    <mergeCell ref="AE948:AG948"/>
    <mergeCell ref="AE866:AG866"/>
    <mergeCell ref="AE977:AG977"/>
    <mergeCell ref="AE928:AG928"/>
    <mergeCell ref="AJ811:AK811"/>
    <mergeCell ref="AJ849:AK849"/>
    <mergeCell ref="AJ847:AK847"/>
    <mergeCell ref="Z497:AA497"/>
    <mergeCell ref="Z547:AA547"/>
    <mergeCell ref="Z1749:AA1749"/>
    <mergeCell ref="Z754:AA754"/>
    <mergeCell ref="AB563:AC563"/>
    <mergeCell ref="AE563:AG563"/>
    <mergeCell ref="AE507:AG507"/>
    <mergeCell ref="AJ1217:AK1217"/>
    <mergeCell ref="AJ1231:AK1231"/>
    <mergeCell ref="AE1122:AG1122"/>
    <mergeCell ref="AE1092:AG1092"/>
    <mergeCell ref="AJ1117:AK1117"/>
    <mergeCell ref="AE1097:AG1097"/>
    <mergeCell ref="AB1137:AC1137"/>
    <mergeCell ref="AE1176:AG1176"/>
    <mergeCell ref="AE1169:AG1169"/>
    <mergeCell ref="AJ1314:AK1314"/>
    <mergeCell ref="AJ1316:AK1316"/>
    <mergeCell ref="AJ1332:AK1332"/>
    <mergeCell ref="AJ1330:AK1330"/>
    <mergeCell ref="AB1496:AC1496"/>
    <mergeCell ref="AB1616:AC1616"/>
    <mergeCell ref="Z516:AA516"/>
    <mergeCell ref="AE736:AG736"/>
    <mergeCell ref="AJ584:AK584"/>
    <mergeCell ref="AE1323:AG1323"/>
    <mergeCell ref="AJ1099:AK1099"/>
    <mergeCell ref="AJ1134:AK1134"/>
    <mergeCell ref="AE650:AG650"/>
    <mergeCell ref="AE679:AG679"/>
    <mergeCell ref="AE712:AG712"/>
    <mergeCell ref="AE782:AG782"/>
    <mergeCell ref="AE1052:AG1052"/>
    <mergeCell ref="AE526:AG526"/>
    <mergeCell ref="AE691:AG691"/>
    <mergeCell ref="AE702:AG702"/>
    <mergeCell ref="AB893:AC893"/>
    <mergeCell ref="AE895:AG895"/>
    <mergeCell ref="AJ773:AK773"/>
    <mergeCell ref="AJ749:AK749"/>
    <mergeCell ref="AE718:AG718"/>
    <mergeCell ref="AE630:AG630"/>
    <mergeCell ref="AJ630:AK630"/>
    <mergeCell ref="AE1204:AG1204"/>
    <mergeCell ref="AB781:AC781"/>
    <mergeCell ref="AE760:AG760"/>
    <mergeCell ref="AE757:AG757"/>
    <mergeCell ref="AE818:AG818"/>
    <mergeCell ref="CB877:CC877"/>
    <mergeCell ref="AE738:AG738"/>
    <mergeCell ref="AB798:AC798"/>
    <mergeCell ref="AB960:AC960"/>
    <mergeCell ref="AE903:AG903"/>
    <mergeCell ref="AJ933:AK933"/>
    <mergeCell ref="AJ984:AK984"/>
    <mergeCell ref="AE896:AG896"/>
    <mergeCell ref="AE1009:AG1009"/>
    <mergeCell ref="AJ853:AK853"/>
    <mergeCell ref="AB784:AC784"/>
    <mergeCell ref="AJ924:AK924"/>
    <mergeCell ref="AE913:AG913"/>
    <mergeCell ref="AB957:AC957"/>
    <mergeCell ref="AB939:AC939"/>
    <mergeCell ref="AE933:AG933"/>
    <mergeCell ref="AJ1044:AK1044"/>
    <mergeCell ref="AJ910:AK910"/>
    <mergeCell ref="AE901:AG901"/>
    <mergeCell ref="AE598:AG598"/>
    <mergeCell ref="AJ826:AK826"/>
    <mergeCell ref="AE908:AG908"/>
    <mergeCell ref="AJ830:AK830"/>
    <mergeCell ref="AJ838:AK838"/>
    <mergeCell ref="AJ785:AK785"/>
    <mergeCell ref="AB791:AC791"/>
    <mergeCell ref="AE785:AG785"/>
    <mergeCell ref="AJ959:AK959"/>
    <mergeCell ref="AB805:AC805"/>
    <mergeCell ref="AJ775:AK775"/>
    <mergeCell ref="AE734:AG734"/>
    <mergeCell ref="AB776:AC776"/>
    <mergeCell ref="AE1000:AG1000"/>
    <mergeCell ref="AB962:AC962"/>
    <mergeCell ref="AB1019:AC1019"/>
    <mergeCell ref="AB623:AC623"/>
    <mergeCell ref="AB710:AC710"/>
    <mergeCell ref="AJ648:AK648"/>
    <mergeCell ref="AJ934:AK934"/>
    <mergeCell ref="AE980:AG980"/>
    <mergeCell ref="AJ887:AK887"/>
    <mergeCell ref="AJ978:AK978"/>
    <mergeCell ref="AE940:AG940"/>
    <mergeCell ref="AE774:AG774"/>
    <mergeCell ref="AE809:AG809"/>
    <mergeCell ref="AE833:AG833"/>
    <mergeCell ref="AJ833:AK833"/>
    <mergeCell ref="AJ831:AK831"/>
    <mergeCell ref="AJ536:AK536"/>
    <mergeCell ref="AB703:AC703"/>
    <mergeCell ref="AJ743:AK743"/>
    <mergeCell ref="AJ717:AK717"/>
    <mergeCell ref="AE941:AG941"/>
    <mergeCell ref="AB810:AC810"/>
    <mergeCell ref="AJ957:AK957"/>
    <mergeCell ref="AJ902:AK902"/>
    <mergeCell ref="AB991:AC991"/>
    <mergeCell ref="AE981:AG981"/>
    <mergeCell ref="AE819:AG819"/>
    <mergeCell ref="AE926:AG926"/>
    <mergeCell ref="AJ578:AK578"/>
    <mergeCell ref="AJ865:AK865"/>
    <mergeCell ref="AE524:AG524"/>
    <mergeCell ref="AE560:AG560"/>
    <mergeCell ref="AB884:AC884"/>
    <mergeCell ref="AB916:AC916"/>
    <mergeCell ref="AE979:AG979"/>
    <mergeCell ref="AB754:AC754"/>
    <mergeCell ref="AJ658:AK658"/>
    <mergeCell ref="AJ963:AK963"/>
    <mergeCell ref="AE900:AG900"/>
    <mergeCell ref="AJ814:AK814"/>
    <mergeCell ref="AJ806:AK806"/>
    <mergeCell ref="AB811:AC811"/>
    <mergeCell ref="AJ529:AK529"/>
    <mergeCell ref="AE855:AG855"/>
    <mergeCell ref="AE924:AG924"/>
    <mergeCell ref="AE842:AG842"/>
    <mergeCell ref="AE858:AG858"/>
    <mergeCell ref="AJ655:AK655"/>
    <mergeCell ref="AJ647:AK647"/>
    <mergeCell ref="AJ587:AK587"/>
    <mergeCell ref="AB553:AC553"/>
    <mergeCell ref="AJ1092:AK1092"/>
    <mergeCell ref="AJ1248:AK1248"/>
    <mergeCell ref="AJ1255:AK1255"/>
    <mergeCell ref="AE1042:AG1042"/>
    <mergeCell ref="AE1077:AG1077"/>
    <mergeCell ref="AE1105:AG1105"/>
    <mergeCell ref="AE1120:AG1120"/>
    <mergeCell ref="AJ1055:AK1055"/>
    <mergeCell ref="AJ904:AK904"/>
    <mergeCell ref="AJ825:AK825"/>
    <mergeCell ref="AJ907:AK907"/>
    <mergeCell ref="AJ813:AK813"/>
    <mergeCell ref="AJ891:AK891"/>
    <mergeCell ref="AJ871:AK871"/>
    <mergeCell ref="AJ804:AK804"/>
    <mergeCell ref="AB1222:AC1222"/>
    <mergeCell ref="AE1023:AG1023"/>
    <mergeCell ref="AJ1013:AK1013"/>
    <mergeCell ref="AE793:AG793"/>
    <mergeCell ref="AJ781:AK781"/>
    <mergeCell ref="AJ786:AK786"/>
    <mergeCell ref="AJ1189:AK1189"/>
    <mergeCell ref="AJ1163:AK1163"/>
    <mergeCell ref="AJ1058:AK1058"/>
    <mergeCell ref="AJ1240:AK1240"/>
    <mergeCell ref="AJ1171:AK1171"/>
    <mergeCell ref="AB1049:AC1049"/>
    <mergeCell ref="AB1189:AC1189"/>
    <mergeCell ref="AE864:AG864"/>
    <mergeCell ref="AE1681:AG1681"/>
    <mergeCell ref="AE1762:AG1762"/>
    <mergeCell ref="AJ462:AK462"/>
    <mergeCell ref="AJ481:AK481"/>
    <mergeCell ref="AJ862:AK862"/>
    <mergeCell ref="AJ857:AK857"/>
    <mergeCell ref="AJ896:AK896"/>
    <mergeCell ref="AJ974:AK974"/>
    <mergeCell ref="AE877:AG877"/>
    <mergeCell ref="AE876:AG876"/>
    <mergeCell ref="AB795:AC795"/>
    <mergeCell ref="AB992:AC992"/>
    <mergeCell ref="AB1237:AC1237"/>
    <mergeCell ref="AB865:AC865"/>
    <mergeCell ref="AB964:AC964"/>
    <mergeCell ref="AE1088:AG1088"/>
    <mergeCell ref="AJ851:AK851"/>
    <mergeCell ref="AJ810:AK810"/>
    <mergeCell ref="AE815:AG815"/>
    <mergeCell ref="AB928:AC928"/>
    <mergeCell ref="AJ954:AK954"/>
    <mergeCell ref="AE834:AG834"/>
    <mergeCell ref="AE820:AG820"/>
    <mergeCell ref="AE812:AG812"/>
    <mergeCell ref="AE827:AG827"/>
    <mergeCell ref="AJ783:AK783"/>
    <mergeCell ref="AJ852:AK852"/>
    <mergeCell ref="AJ1027:AK1027"/>
    <mergeCell ref="AJ477:AK477"/>
    <mergeCell ref="AJ491:AK491"/>
    <mergeCell ref="AJ594:AK594"/>
    <mergeCell ref="AJ576:AK576"/>
    <mergeCell ref="AE467:AG467"/>
    <mergeCell ref="AJ973:AK973"/>
    <mergeCell ref="AJ990:AK990"/>
    <mergeCell ref="AJ437:AK437"/>
    <mergeCell ref="AJ1284:AK1284"/>
    <mergeCell ref="AJ1185:AK1185"/>
    <mergeCell ref="AJ1193:AK1193"/>
    <mergeCell ref="AE1165:AG1165"/>
    <mergeCell ref="AJ1123:AK1123"/>
    <mergeCell ref="AB535:AC535"/>
    <mergeCell ref="AJ547:AK547"/>
    <mergeCell ref="AJ540:AK540"/>
    <mergeCell ref="AJ602:AK602"/>
    <mergeCell ref="AJ1165:AK1165"/>
    <mergeCell ref="AE755:AG755"/>
    <mergeCell ref="AB603:AC603"/>
    <mergeCell ref="AE610:AG610"/>
    <mergeCell ref="AB613:AC613"/>
    <mergeCell ref="AJ987:AK987"/>
    <mergeCell ref="AJ768:AK768"/>
    <mergeCell ref="AJ762:AK762"/>
    <mergeCell ref="AJ945:AK945"/>
    <mergeCell ref="AJ748:AK748"/>
    <mergeCell ref="AJ746:AK746"/>
    <mergeCell ref="AJ770:AK770"/>
    <mergeCell ref="AJ836:AK836"/>
    <mergeCell ref="AB829:AC829"/>
    <mergeCell ref="AE1096:AG1096"/>
    <mergeCell ref="AJ1097:AK1097"/>
    <mergeCell ref="AJ1129:AK1129"/>
    <mergeCell ref="AB1108:AC1108"/>
    <mergeCell ref="AB1077:AC1077"/>
    <mergeCell ref="AJ626:AK626"/>
    <mergeCell ref="AJ543:AK543"/>
    <mergeCell ref="AJ1277:AK1277"/>
    <mergeCell ref="AE1313:AG1313"/>
    <mergeCell ref="AE1296:AG1296"/>
    <mergeCell ref="AJ1313:AK1313"/>
    <mergeCell ref="AE1282:AG1282"/>
    <mergeCell ref="AJ922:AK922"/>
    <mergeCell ref="AE770:AG770"/>
    <mergeCell ref="AJ776:AK776"/>
    <mergeCell ref="AE552:AG552"/>
    <mergeCell ref="AJ552:AK552"/>
    <mergeCell ref="AJ541:AK541"/>
    <mergeCell ref="AE1300:AG1300"/>
    <mergeCell ref="AJ1300:AK1300"/>
    <mergeCell ref="AE1385:AG1385"/>
    <mergeCell ref="AJ1082:AK1082"/>
    <mergeCell ref="AJ1158:AK1158"/>
    <mergeCell ref="AJ840:AK840"/>
    <mergeCell ref="AE917:AG917"/>
    <mergeCell ref="AJ967:AK967"/>
    <mergeCell ref="AE945:AG945"/>
    <mergeCell ref="AJ923:AK923"/>
    <mergeCell ref="AJ956:AK956"/>
    <mergeCell ref="AJ953:AK953"/>
    <mergeCell ref="AJ877:AK877"/>
    <mergeCell ref="AJ886:AK886"/>
    <mergeCell ref="AJ1034:AK1034"/>
    <mergeCell ref="AJ929:AK929"/>
    <mergeCell ref="AJ1227:AK1227"/>
    <mergeCell ref="AJ1197:AK1197"/>
    <mergeCell ref="AE626:AG626"/>
    <mergeCell ref="AJ679:AK679"/>
    <mergeCell ref="AE705:AG705"/>
    <mergeCell ref="AJ750:AK750"/>
    <mergeCell ref="AJ700:AK700"/>
    <mergeCell ref="AB876:AC876"/>
    <mergeCell ref="AE773:AG773"/>
    <mergeCell ref="AE795:AG795"/>
    <mergeCell ref="Z452:AA452"/>
    <mergeCell ref="AE459:AG459"/>
    <mergeCell ref="Z727:AA727"/>
    <mergeCell ref="Z660:AA660"/>
    <mergeCell ref="AE911:AG911"/>
    <mergeCell ref="AJ911:AK911"/>
    <mergeCell ref="AB519:AC519"/>
    <mergeCell ref="AB523:AC523"/>
    <mergeCell ref="AJ765:AK765"/>
    <mergeCell ref="AE1125:AG1125"/>
    <mergeCell ref="AE1118:AG1118"/>
    <mergeCell ref="AJ964:AK964"/>
    <mergeCell ref="AE974:AG974"/>
    <mergeCell ref="AJ686:AK686"/>
    <mergeCell ref="AB686:AC686"/>
    <mergeCell ref="AJ599:AK599"/>
    <mergeCell ref="AE700:AG700"/>
    <mergeCell ref="AE660:AG660"/>
    <mergeCell ref="AJ712:AK712"/>
    <mergeCell ref="Z484:AA484"/>
    <mergeCell ref="AB452:AC452"/>
    <mergeCell ref="AJ499:AK499"/>
    <mergeCell ref="AJ551:AK551"/>
    <mergeCell ref="AE543:AG543"/>
    <mergeCell ref="AJ854:AK854"/>
    <mergeCell ref="AJ774:AK774"/>
    <mergeCell ref="AB775:AC775"/>
    <mergeCell ref="AJ985:AK985"/>
    <mergeCell ref="AJ1012:AK1012"/>
    <mergeCell ref="AJ1258:AK1258"/>
    <mergeCell ref="AJ1182:AK1182"/>
    <mergeCell ref="AJ1184:AK1184"/>
    <mergeCell ref="AE1132:AG1132"/>
    <mergeCell ref="AJ1115:AK1115"/>
    <mergeCell ref="AB1700:AC1700"/>
    <mergeCell ref="AB1640:AC1640"/>
    <mergeCell ref="AJ1453:AK1453"/>
    <mergeCell ref="AJ1471:AK1471"/>
    <mergeCell ref="AJ1554:AK1554"/>
    <mergeCell ref="AE1394:AG1394"/>
    <mergeCell ref="AB1460:AC1460"/>
    <mergeCell ref="AJ1459:AK1459"/>
    <mergeCell ref="AJ1478:AK1478"/>
    <mergeCell ref="AE1131:AG1131"/>
    <mergeCell ref="AE885:AG885"/>
    <mergeCell ref="AE886:AG886"/>
    <mergeCell ref="AB1135:AC1135"/>
    <mergeCell ref="AJ1486:AK1486"/>
    <mergeCell ref="AE1655:AG1655"/>
    <mergeCell ref="AJ802:AK802"/>
    <mergeCell ref="AJ1120:AK1120"/>
    <mergeCell ref="AJ1281:AK1281"/>
    <mergeCell ref="AJ1181:AK1181"/>
    <mergeCell ref="AJ1065:AK1065"/>
    <mergeCell ref="AJ1026:AK1026"/>
    <mergeCell ref="AJ1208:AK1208"/>
    <mergeCell ref="AJ1214:AK1214"/>
    <mergeCell ref="AE1431:AG1431"/>
    <mergeCell ref="AE884:AG884"/>
    <mergeCell ref="AJ884:AK884"/>
    <mergeCell ref="AB961:AC961"/>
    <mergeCell ref="AJ834:AK834"/>
    <mergeCell ref="AJ1019:AK1019"/>
    <mergeCell ref="AJ1042:AK1042"/>
    <mergeCell ref="AE868:AG868"/>
    <mergeCell ref="AE984:AG984"/>
    <mergeCell ref="AE801:AG801"/>
    <mergeCell ref="AE852:AG852"/>
    <mergeCell ref="AB856:AC856"/>
    <mergeCell ref="AJ805:AK805"/>
    <mergeCell ref="AB783:AC783"/>
    <mergeCell ref="AJ1207:AK1207"/>
    <mergeCell ref="AE841:AG841"/>
    <mergeCell ref="AJ780:AK780"/>
    <mergeCell ref="AB1023:AC1023"/>
    <mergeCell ref="AE1212:AG1212"/>
    <mergeCell ref="AJ1204:AK1204"/>
    <mergeCell ref="AE1126:AG1126"/>
    <mergeCell ref="AJ965:AK965"/>
    <mergeCell ref="AE1026:AG1026"/>
    <mergeCell ref="AB838:AC838"/>
    <mergeCell ref="AB836:AC836"/>
    <mergeCell ref="AB866:AC866"/>
    <mergeCell ref="AB955:AC955"/>
    <mergeCell ref="AJ1405:AK1405"/>
    <mergeCell ref="AE1228:AG1228"/>
    <mergeCell ref="AE1108:AG1108"/>
    <mergeCell ref="AJ821:AK821"/>
    <mergeCell ref="AE882:AG882"/>
    <mergeCell ref="AJ1018:AK1018"/>
    <mergeCell ref="AJ1139:AK1139"/>
    <mergeCell ref="AJ1131:AK1131"/>
    <mergeCell ref="AJ1266:AK1266"/>
    <mergeCell ref="AJ1288:AK1288"/>
    <mergeCell ref="AJ1246:AK1246"/>
    <mergeCell ref="AJ1298:AK1298"/>
    <mergeCell ref="AB1302:AC1302"/>
    <mergeCell ref="AE1271:AG1271"/>
    <mergeCell ref="AE1149:AG1149"/>
    <mergeCell ref="AE1139:AG1139"/>
    <mergeCell ref="AB1163:AC1163"/>
    <mergeCell ref="AJ1178:AK1178"/>
    <mergeCell ref="AJ863:AK863"/>
    <mergeCell ref="AE893:AG893"/>
    <mergeCell ref="AJ893:AK893"/>
    <mergeCell ref="AB894:AC894"/>
    <mergeCell ref="AE894:AG894"/>
    <mergeCell ref="AJ894:AK894"/>
    <mergeCell ref="AB895:AC895"/>
    <mergeCell ref="AJ1136:AK1136"/>
    <mergeCell ref="AB1164:AC1164"/>
    <mergeCell ref="AJ1162:AK1162"/>
    <mergeCell ref="AJ1147:AK1147"/>
    <mergeCell ref="AB1183:AC1183"/>
    <mergeCell ref="AE1275:AG1275"/>
    <mergeCell ref="AB1258:AC1258"/>
    <mergeCell ref="AJ938:AK938"/>
    <mergeCell ref="AE909:AG909"/>
    <mergeCell ref="AJ1130:AK1130"/>
    <mergeCell ref="AJ1124:AK1124"/>
    <mergeCell ref="AJ995:AK995"/>
    <mergeCell ref="AE549:AG549"/>
    <mergeCell ref="AB730:AC730"/>
    <mergeCell ref="AB738:AC738"/>
    <mergeCell ref="AB729:AC729"/>
    <mergeCell ref="AE726:AG726"/>
    <mergeCell ref="AB721:AC721"/>
    <mergeCell ref="AE735:AG735"/>
    <mergeCell ref="AJ747:AK747"/>
    <mergeCell ref="AJ1014:AK1014"/>
    <mergeCell ref="AJ888:AK888"/>
    <mergeCell ref="AJ571:AK571"/>
    <mergeCell ref="AE1508:AG1508"/>
    <mergeCell ref="AB1566:AC1566"/>
    <mergeCell ref="AB1462:AC1462"/>
    <mergeCell ref="AE1553:AG1553"/>
    <mergeCell ref="AB1576:AC1576"/>
    <mergeCell ref="AE1560:AG1560"/>
    <mergeCell ref="AE1472:AG1472"/>
    <mergeCell ref="AJ1391:AK1391"/>
    <mergeCell ref="AJ800:AK800"/>
    <mergeCell ref="AE790:AG790"/>
    <mergeCell ref="AE845:AG845"/>
    <mergeCell ref="AE778:AG778"/>
    <mergeCell ref="AJ790:AK790"/>
    <mergeCell ref="AJ763:AK763"/>
    <mergeCell ref="AB1198:AC1198"/>
    <mergeCell ref="AJ1039:AK1039"/>
    <mergeCell ref="AE1066:AG1066"/>
    <mergeCell ref="AE1166:AG1166"/>
    <mergeCell ref="AE1076:AG1076"/>
    <mergeCell ref="AJ846:AK846"/>
    <mergeCell ref="AE1018:AG1018"/>
    <mergeCell ref="AJ457:AK457"/>
    <mergeCell ref="AE477:AG477"/>
    <mergeCell ref="AB470:AC470"/>
    <mergeCell ref="AE838:AG838"/>
    <mergeCell ref="AB889:AC889"/>
    <mergeCell ref="AE972:AG972"/>
    <mergeCell ref="AE914:AG914"/>
    <mergeCell ref="AE832:AG832"/>
    <mergeCell ref="AJ1176:AK1176"/>
    <mergeCell ref="AB1205:AC1205"/>
    <mergeCell ref="Z450:AA450"/>
    <mergeCell ref="Z442:AA442"/>
    <mergeCell ref="Z828:AA828"/>
    <mergeCell ref="AE1133:AG1133"/>
    <mergeCell ref="AB1149:AC1149"/>
    <mergeCell ref="AE1123:AG1123"/>
    <mergeCell ref="AB1121:AC1121"/>
    <mergeCell ref="AB522:AC522"/>
    <mergeCell ref="AJ642:AK642"/>
    <mergeCell ref="AE651:AG651"/>
    <mergeCell ref="AE1040:AG1040"/>
    <mergeCell ref="AJ1006:AK1006"/>
    <mergeCell ref="AE587:AG587"/>
    <mergeCell ref="AJ1159:AK1159"/>
    <mergeCell ref="AJ1086:AK1086"/>
    <mergeCell ref="AJ829:AK829"/>
    <mergeCell ref="AJ1061:AK1061"/>
    <mergeCell ref="AJ1098:AK1098"/>
    <mergeCell ref="AE1147:AG1147"/>
    <mergeCell ref="AE1150:AG1150"/>
    <mergeCell ref="AE502:AG502"/>
    <mergeCell ref="AB502:AC502"/>
    <mergeCell ref="AJ471:AK471"/>
    <mergeCell ref="AE1187:AG1187"/>
    <mergeCell ref="AE844:AG844"/>
    <mergeCell ref="AJ901:AK901"/>
    <mergeCell ref="AJ870:AK870"/>
    <mergeCell ref="AJ868:AK868"/>
    <mergeCell ref="AE554:AG554"/>
    <mergeCell ref="AE551:AG551"/>
    <mergeCell ref="AE619:AG619"/>
    <mergeCell ref="AE535:AG535"/>
    <mergeCell ref="AE582:AG582"/>
    <mergeCell ref="AB583:AC583"/>
    <mergeCell ref="AE740:AG740"/>
    <mergeCell ref="AB736:AC736"/>
    <mergeCell ref="AE794:AG794"/>
    <mergeCell ref="AE1085:AG1085"/>
    <mergeCell ref="AE761:AG761"/>
    <mergeCell ref="AJ532:AK532"/>
    <mergeCell ref="AJ701:AK701"/>
    <mergeCell ref="AE584:AG584"/>
    <mergeCell ref="AJ757:AK757"/>
    <mergeCell ref="AE912:AG912"/>
    <mergeCell ref="AE922:AG922"/>
    <mergeCell ref="AB757:AC757"/>
    <mergeCell ref="AJ815:AK815"/>
    <mergeCell ref="AB793:AC793"/>
    <mergeCell ref="AB504:AC504"/>
    <mergeCell ref="AJ632:AK632"/>
    <mergeCell ref="AJ628:AK628"/>
    <mergeCell ref="AB511:AC511"/>
    <mergeCell ref="AB509:AC509"/>
    <mergeCell ref="AB515:AC515"/>
    <mergeCell ref="AE464:AG464"/>
    <mergeCell ref="AJ444:AK444"/>
    <mergeCell ref="AE447:AG447"/>
    <mergeCell ref="AB1098:AC1098"/>
    <mergeCell ref="AJ1152:AK1152"/>
    <mergeCell ref="AB1250:AC1250"/>
    <mergeCell ref="AJ1140:AK1140"/>
    <mergeCell ref="AJ1028:AK1028"/>
    <mergeCell ref="AJ839:AK839"/>
    <mergeCell ref="AJ844:AK844"/>
    <mergeCell ref="AE1163:AG1163"/>
    <mergeCell ref="AB1145:AC1145"/>
    <mergeCell ref="AE1145:AG1145"/>
    <mergeCell ref="AJ1057:AK1057"/>
    <mergeCell ref="AB544:AC544"/>
    <mergeCell ref="AJ528:AK528"/>
    <mergeCell ref="AE439:AG439"/>
    <mergeCell ref="AJ951:AK951"/>
    <mergeCell ref="AJ885:AK885"/>
    <mergeCell ref="AE756:AG756"/>
    <mergeCell ref="AE763:AG763"/>
    <mergeCell ref="AJ1183:AK1183"/>
    <mergeCell ref="AJ1142:AK1142"/>
    <mergeCell ref="AJ1145:AK1145"/>
    <mergeCell ref="AJ1077:AK1077"/>
    <mergeCell ref="AJ1174:AK1174"/>
    <mergeCell ref="AJ1135:AK1135"/>
    <mergeCell ref="AJ1125:AK1125"/>
    <mergeCell ref="AJ1133:AK1133"/>
    <mergeCell ref="AJ451:AK451"/>
    <mergeCell ref="AJ1237:AK1237"/>
    <mergeCell ref="AJ1234:AK1234"/>
    <mergeCell ref="AB375:AC375"/>
    <mergeCell ref="AB360:AC360"/>
    <mergeCell ref="AJ333:AK333"/>
    <mergeCell ref="AJ347:AK347"/>
    <mergeCell ref="AJ361:AK361"/>
    <mergeCell ref="Z363:AA363"/>
    <mergeCell ref="M364:R364"/>
    <mergeCell ref="AJ364:AK364"/>
    <mergeCell ref="AE364:AG364"/>
    <mergeCell ref="M348:R348"/>
    <mergeCell ref="Z346:AA346"/>
    <mergeCell ref="Z347:AA347"/>
    <mergeCell ref="AE353:AG353"/>
    <mergeCell ref="AE349:AG349"/>
    <mergeCell ref="R359:U359"/>
    <mergeCell ref="AB358:AC358"/>
    <mergeCell ref="AJ340:AK340"/>
    <mergeCell ref="AJ367:AK367"/>
    <mergeCell ref="AJ339:AK339"/>
    <mergeCell ref="AE370:AG370"/>
    <mergeCell ref="AE373:AG373"/>
    <mergeCell ref="Q361:V361"/>
    <mergeCell ref="Z96:AA96"/>
    <mergeCell ref="AJ115:AK115"/>
    <mergeCell ref="AB116:AC116"/>
    <mergeCell ref="AB115:AC115"/>
    <mergeCell ref="Z186:AA186"/>
    <mergeCell ref="M198:R198"/>
    <mergeCell ref="AJ153:AK153"/>
    <mergeCell ref="AB190:AC190"/>
    <mergeCell ref="M182:R182"/>
    <mergeCell ref="K182:L182"/>
    <mergeCell ref="AJ370:AK370"/>
    <mergeCell ref="AB369:AC369"/>
    <mergeCell ref="AJ363:AK363"/>
    <mergeCell ref="AE375:AG375"/>
    <mergeCell ref="AE365:AG365"/>
    <mergeCell ref="AE363:AG363"/>
    <mergeCell ref="Z305:AA305"/>
    <mergeCell ref="K175:L175"/>
    <mergeCell ref="AJ181:AK181"/>
    <mergeCell ref="Z184:AA184"/>
    <mergeCell ref="K231:L231"/>
    <mergeCell ref="AB169:AC169"/>
    <mergeCell ref="AE170:AG170"/>
    <mergeCell ref="AJ193:AK193"/>
    <mergeCell ref="M195:R195"/>
    <mergeCell ref="Z226:AA226"/>
    <mergeCell ref="Z190:AA190"/>
    <mergeCell ref="M271:R271"/>
    <mergeCell ref="Z271:AA271"/>
    <mergeCell ref="AB271:AC271"/>
    <mergeCell ref="AE271:AG271"/>
    <mergeCell ref="AJ271:AK271"/>
    <mergeCell ref="AE118:AG118"/>
    <mergeCell ref="AB136:AC136"/>
    <mergeCell ref="AB139:AC139"/>
    <mergeCell ref="AB143:AC143"/>
    <mergeCell ref="AJ137:AK137"/>
    <mergeCell ref="K129:L129"/>
    <mergeCell ref="AJ132:AK132"/>
    <mergeCell ref="AJ112:AK112"/>
    <mergeCell ref="K106:L106"/>
    <mergeCell ref="AJ118:AK118"/>
    <mergeCell ref="K113:L113"/>
    <mergeCell ref="Z113:AA113"/>
    <mergeCell ref="AE105:AG105"/>
    <mergeCell ref="AB135:AC135"/>
    <mergeCell ref="AB319:AC319"/>
    <mergeCell ref="AE325:AG325"/>
    <mergeCell ref="AB345:AC345"/>
    <mergeCell ref="AJ345:AK345"/>
    <mergeCell ref="AJ335:AK335"/>
    <mergeCell ref="K300:L300"/>
    <mergeCell ref="M288:R288"/>
    <mergeCell ref="K165:L165"/>
    <mergeCell ref="M165:R165"/>
    <mergeCell ref="AE260:AG260"/>
    <mergeCell ref="AJ321:AK321"/>
    <mergeCell ref="AE298:AG298"/>
    <mergeCell ref="AJ306:AK306"/>
    <mergeCell ref="Z327:AA327"/>
    <mergeCell ref="AJ325:AK325"/>
    <mergeCell ref="Z325:AA325"/>
    <mergeCell ref="AB260:AC260"/>
    <mergeCell ref="AB113:AC113"/>
    <mergeCell ref="Z107:AA107"/>
    <mergeCell ref="M113:R113"/>
    <mergeCell ref="AJ104:AK104"/>
    <mergeCell ref="AJ116:AK116"/>
    <mergeCell ref="AB108:AC108"/>
    <mergeCell ref="AB159:AC159"/>
    <mergeCell ref="Z164:AA164"/>
    <mergeCell ref="Z168:AA168"/>
    <mergeCell ref="AB164:AC164"/>
    <mergeCell ref="M162:R162"/>
    <mergeCell ref="AB125:AC125"/>
    <mergeCell ref="AJ124:AK124"/>
    <mergeCell ref="K114:L114"/>
    <mergeCell ref="M114:R114"/>
    <mergeCell ref="Z114:AA114"/>
    <mergeCell ref="AB114:AC114"/>
    <mergeCell ref="AE114:AG114"/>
    <mergeCell ref="AJ114:AK114"/>
    <mergeCell ref="AB156:AC156"/>
    <mergeCell ref="AB151:AC151"/>
    <mergeCell ref="Z165:AA165"/>
    <mergeCell ref="AE113:AG113"/>
    <mergeCell ref="K156:L156"/>
    <mergeCell ref="K155:L155"/>
    <mergeCell ref="AE160:AG160"/>
    <mergeCell ref="Q130:V130"/>
    <mergeCell ref="Z129:AA129"/>
    <mergeCell ref="M135:R135"/>
    <mergeCell ref="M141:R141"/>
    <mergeCell ref="AJ141:AK141"/>
    <mergeCell ref="AJ140:AK140"/>
    <mergeCell ref="Z159:AA159"/>
    <mergeCell ref="K102:L102"/>
    <mergeCell ref="AB93:AC93"/>
    <mergeCell ref="AE93:AG93"/>
    <mergeCell ref="AE115:AG115"/>
    <mergeCell ref="AE116:AG116"/>
    <mergeCell ref="K117:L117"/>
    <mergeCell ref="AE91:AG91"/>
    <mergeCell ref="Z328:AA328"/>
    <mergeCell ref="AE256:AG256"/>
    <mergeCell ref="AJ249:AK249"/>
    <mergeCell ref="AB327:AC327"/>
    <mergeCell ref="Z269:AA269"/>
    <mergeCell ref="M298:R298"/>
    <mergeCell ref="Z304:AA304"/>
    <mergeCell ref="K90:L90"/>
    <mergeCell ref="AJ110:AK110"/>
    <mergeCell ref="K103:L103"/>
    <mergeCell ref="AE98:AG98"/>
    <mergeCell ref="Z106:AA106"/>
    <mergeCell ref="AB106:AC106"/>
    <mergeCell ref="K109:L109"/>
    <mergeCell ref="M109:R109"/>
    <mergeCell ref="K99:L99"/>
    <mergeCell ref="M99:R99"/>
    <mergeCell ref="Z99:AA99"/>
    <mergeCell ref="AB99:AC99"/>
    <mergeCell ref="AE99:AG99"/>
    <mergeCell ref="AJ99:AK99"/>
    <mergeCell ref="K110:L110"/>
    <mergeCell ref="Z103:AA103"/>
    <mergeCell ref="AE106:AG106"/>
    <mergeCell ref="AE110:AG110"/>
    <mergeCell ref="R112:U112"/>
    <mergeCell ref="AB127:AC127"/>
    <mergeCell ref="K152:L152"/>
    <mergeCell ref="AE154:AG154"/>
    <mergeCell ref="M138:R138"/>
    <mergeCell ref="K88:L88"/>
    <mergeCell ref="M88:R88"/>
    <mergeCell ref="Z88:AA88"/>
    <mergeCell ref="AB88:AC88"/>
    <mergeCell ref="AE88:AG88"/>
    <mergeCell ref="AJ88:AK88"/>
    <mergeCell ref="K89:L89"/>
    <mergeCell ref="M89:R89"/>
    <mergeCell ref="Z89:AA89"/>
    <mergeCell ref="AB89:AC89"/>
    <mergeCell ref="AE89:AG89"/>
    <mergeCell ref="AJ336:AK336"/>
    <mergeCell ref="AE285:AG285"/>
    <mergeCell ref="M284:R284"/>
    <mergeCell ref="AJ298:AK298"/>
    <mergeCell ref="M282:R282"/>
    <mergeCell ref="Z299:AA299"/>
    <mergeCell ref="AJ286:AK286"/>
    <mergeCell ref="AE283:AG283"/>
    <mergeCell ref="AJ316:AK316"/>
    <mergeCell ref="AE304:AG304"/>
    <mergeCell ref="Z309:AA309"/>
    <mergeCell ref="AB288:AC288"/>
    <mergeCell ref="AB289:AC289"/>
    <mergeCell ref="Z292:AA292"/>
    <mergeCell ref="AJ252:AK252"/>
    <mergeCell ref="M258:R258"/>
    <mergeCell ref="K172:L172"/>
    <mergeCell ref="AE209:AG209"/>
    <mergeCell ref="AB210:AC210"/>
    <mergeCell ref="AJ175:AK175"/>
    <mergeCell ref="M153:R153"/>
    <mergeCell ref="AE156:AG156"/>
    <mergeCell ref="Q149:V149"/>
    <mergeCell ref="AJ149:AK149"/>
    <mergeCell ref="AE153:AG153"/>
    <mergeCell ref="Z156:AA156"/>
    <mergeCell ref="AE144:AG144"/>
    <mergeCell ref="AJ135:AK135"/>
    <mergeCell ref="AJ139:AK139"/>
    <mergeCell ref="AJ136:AK136"/>
    <mergeCell ref="AE136:AG136"/>
    <mergeCell ref="AJ128:AK128"/>
    <mergeCell ref="M133:R133"/>
    <mergeCell ref="Z157:AA157"/>
    <mergeCell ref="AB157:AC157"/>
    <mergeCell ref="AE169:AG169"/>
    <mergeCell ref="AJ164:AK164"/>
    <mergeCell ref="AE199:AG199"/>
    <mergeCell ref="AJ213:AK213"/>
    <mergeCell ref="M201:R201"/>
    <mergeCell ref="AE214:AG214"/>
    <mergeCell ref="AJ191:AK191"/>
    <mergeCell ref="M215:R215"/>
    <mergeCell ref="AJ192:AK192"/>
    <mergeCell ref="K151:L151"/>
    <mergeCell ref="K142:L142"/>
    <mergeCell ref="Z169:AA169"/>
    <mergeCell ref="AE181:AG181"/>
    <mergeCell ref="Z180:AA180"/>
    <mergeCell ref="AJ209:AK209"/>
    <mergeCell ref="AB195:AC195"/>
    <mergeCell ref="AE157:AG157"/>
    <mergeCell ref="AB153:AC153"/>
    <mergeCell ref="Z189:AA189"/>
    <mergeCell ref="Z194:AA194"/>
    <mergeCell ref="AB182:AC182"/>
    <mergeCell ref="AB180:AC180"/>
    <mergeCell ref="K194:L194"/>
    <mergeCell ref="AJ165:AK165"/>
    <mergeCell ref="AE212:AG212"/>
    <mergeCell ref="AJ142:AK142"/>
    <mergeCell ref="AJ148:AK148"/>
    <mergeCell ref="AJ154:AK154"/>
    <mergeCell ref="AB185:AC185"/>
    <mergeCell ref="AJ155:AK155"/>
    <mergeCell ref="AJ176:AK176"/>
    <mergeCell ref="K153:L153"/>
    <mergeCell ref="AE180:AG180"/>
    <mergeCell ref="R180:U180"/>
    <mergeCell ref="AJ456:AK456"/>
    <mergeCell ref="Z458:AA458"/>
    <mergeCell ref="AJ596:AK596"/>
    <mergeCell ref="AE565:AG565"/>
    <mergeCell ref="AB378:AC378"/>
    <mergeCell ref="AE371:AG371"/>
    <mergeCell ref="M231:R231"/>
    <mergeCell ref="AJ406:AK406"/>
    <mergeCell ref="AJ109:AK109"/>
    <mergeCell ref="AB117:AC117"/>
    <mergeCell ref="AJ117:AK117"/>
    <mergeCell ref="M116:R116"/>
    <mergeCell ref="K118:L118"/>
    <mergeCell ref="Z105:AA105"/>
    <mergeCell ref="Z108:AA108"/>
    <mergeCell ref="Z111:AA111"/>
    <mergeCell ref="K115:L115"/>
    <mergeCell ref="AJ178:AK178"/>
    <mergeCell ref="Z206:AA206"/>
    <mergeCell ref="AB206:AC206"/>
    <mergeCell ref="AB183:AC183"/>
    <mergeCell ref="AE193:AG193"/>
    <mergeCell ref="AB198:AC198"/>
    <mergeCell ref="AJ205:AK205"/>
    <mergeCell ref="AJ204:AK204"/>
    <mergeCell ref="Z142:AA142"/>
    <mergeCell ref="AJ190:AK190"/>
    <mergeCell ref="AE142:AG142"/>
    <mergeCell ref="AB221:AC221"/>
    <mergeCell ref="AJ172:AK172"/>
    <mergeCell ref="AJ224:AK224"/>
    <mergeCell ref="AJ214:AK214"/>
    <mergeCell ref="AB216:AC216"/>
    <mergeCell ref="Z202:AA202"/>
    <mergeCell ref="AE436:AG436"/>
    <mergeCell ref="AJ436:AK436"/>
    <mergeCell ref="AE429:AG429"/>
    <mergeCell ref="AE426:AG426"/>
    <mergeCell ref="AE659:AG659"/>
    <mergeCell ref="AE541:AG541"/>
    <mergeCell ref="AE629:AG629"/>
    <mergeCell ref="Z537:AA537"/>
    <mergeCell ref="AJ418:AK418"/>
    <mergeCell ref="AJ380:AK380"/>
    <mergeCell ref="AE498:AG498"/>
    <mergeCell ref="Z445:AA445"/>
    <mergeCell ref="AJ443:AK443"/>
    <mergeCell ref="Z211:AA211"/>
    <mergeCell ref="AJ220:AK220"/>
    <mergeCell ref="AJ206:AK206"/>
    <mergeCell ref="Z504:AA504"/>
    <mergeCell ref="Z496:AA496"/>
    <mergeCell ref="Z489:AA489"/>
    <mergeCell ref="Z560:AA560"/>
    <mergeCell ref="AJ649:AK649"/>
    <mergeCell ref="Z408:AA408"/>
    <mergeCell ref="Z250:AA250"/>
    <mergeCell ref="AB250:AC250"/>
    <mergeCell ref="Z283:AA283"/>
    <mergeCell ref="AJ264:AK264"/>
    <mergeCell ref="Z243:AA243"/>
    <mergeCell ref="Z359:AA359"/>
    <mergeCell ref="AJ199:AK199"/>
    <mergeCell ref="AB204:AC204"/>
    <mergeCell ref="M219:R219"/>
    <mergeCell ref="AB202:AC202"/>
    <mergeCell ref="Z381:AA381"/>
    <mergeCell ref="Z395:AA395"/>
    <mergeCell ref="AJ396:AK396"/>
    <mergeCell ref="Z437:AA437"/>
    <mergeCell ref="AJ1121:AK1121"/>
    <mergeCell ref="AJ185:AK185"/>
    <mergeCell ref="AJ177:AK177"/>
    <mergeCell ref="AB199:AC199"/>
    <mergeCell ref="M196:R196"/>
    <mergeCell ref="M183:R183"/>
    <mergeCell ref="K323:L323"/>
    <mergeCell ref="AJ162:AK162"/>
    <mergeCell ref="AB163:AC163"/>
    <mergeCell ref="AB191:AC191"/>
    <mergeCell ref="R174:U174"/>
    <mergeCell ref="Z210:AA210"/>
    <mergeCell ref="Z205:AA205"/>
    <mergeCell ref="AJ652:AK652"/>
    <mergeCell ref="AJ659:AK659"/>
    <mergeCell ref="AJ676:AK676"/>
    <mergeCell ref="AJ625:AK625"/>
    <mergeCell ref="AJ638:AK638"/>
    <mergeCell ref="AB233:AC233"/>
    <mergeCell ref="AJ232:AK232"/>
    <mergeCell ref="AE233:AG233"/>
    <mergeCell ref="AJ260:AK260"/>
    <mergeCell ref="Z259:AA259"/>
    <mergeCell ref="AJ230:AK230"/>
    <mergeCell ref="Z1718:AA1718"/>
    <mergeCell ref="AJ1263:AK1263"/>
    <mergeCell ref="AE938:AG938"/>
    <mergeCell ref="M192:R192"/>
    <mergeCell ref="Z192:AA192"/>
    <mergeCell ref="AB192:AC192"/>
    <mergeCell ref="AE192:AG192"/>
    <mergeCell ref="M207:R207"/>
    <mergeCell ref="AE171:AG171"/>
    <mergeCell ref="M263:R263"/>
    <mergeCell ref="M283:R283"/>
    <mergeCell ref="AJ327:AK327"/>
    <mergeCell ref="Z326:AA326"/>
    <mergeCell ref="AB324:AC324"/>
    <mergeCell ref="M297:R297"/>
    <mergeCell ref="Z270:AA270"/>
    <mergeCell ref="AJ243:AK243"/>
    <mergeCell ref="AJ246:AK246"/>
    <mergeCell ref="AJ248:AK248"/>
    <mergeCell ref="Z252:AA252"/>
    <mergeCell ref="Z330:AA330"/>
    <mergeCell ref="Z319:AA319"/>
    <mergeCell ref="AE321:AG321"/>
    <mergeCell ref="AJ305:AK305"/>
    <mergeCell ref="M301:R301"/>
    <mergeCell ref="M177:R177"/>
    <mergeCell ref="M181:R181"/>
    <mergeCell ref="AB179:AC179"/>
    <mergeCell ref="AJ173:AK173"/>
    <mergeCell ref="Z221:AA221"/>
    <mergeCell ref="AE263:AG263"/>
    <mergeCell ref="M210:R210"/>
    <mergeCell ref="Z149:AA149"/>
    <mergeCell ref="Z139:AA139"/>
    <mergeCell ref="M148:R148"/>
    <mergeCell ref="Z215:AA215"/>
    <mergeCell ref="M199:R199"/>
    <mergeCell ref="K229:L229"/>
    <mergeCell ref="M252:R252"/>
    <mergeCell ref="AE236:AG236"/>
    <mergeCell ref="AJ262:AK262"/>
    <mergeCell ref="AE213:AG213"/>
    <mergeCell ref="K215:L215"/>
    <mergeCell ref="AJ215:AK215"/>
    <mergeCell ref="AJ222:AK222"/>
    <mergeCell ref="K224:L224"/>
    <mergeCell ref="K225:L225"/>
    <mergeCell ref="K226:L226"/>
    <mergeCell ref="AE189:AG189"/>
    <mergeCell ref="K253:L253"/>
    <mergeCell ref="M227:R227"/>
    <mergeCell ref="AB230:AC230"/>
    <mergeCell ref="M234:R234"/>
    <mergeCell ref="AJ186:AK186"/>
    <mergeCell ref="AJ217:AK217"/>
    <mergeCell ref="AJ198:AK198"/>
    <mergeCell ref="AJ208:AK208"/>
    <mergeCell ref="Z242:AA242"/>
    <mergeCell ref="K189:L189"/>
    <mergeCell ref="AB209:AC209"/>
    <mergeCell ref="M205:R205"/>
    <mergeCell ref="AJ171:AK171"/>
    <mergeCell ref="Z176:AA176"/>
    <mergeCell ref="Z172:AA172"/>
    <mergeCell ref="AJ133:AK133"/>
    <mergeCell ref="AB172:AC172"/>
    <mergeCell ref="AE149:AG149"/>
    <mergeCell ref="AJ146:AK146"/>
    <mergeCell ref="K132:L132"/>
    <mergeCell ref="AJ254:AK254"/>
    <mergeCell ref="AB287:AC287"/>
    <mergeCell ref="AB286:AC286"/>
    <mergeCell ref="AJ295:AK295"/>
    <mergeCell ref="AJ283:AK283"/>
    <mergeCell ref="AJ285:AK285"/>
    <mergeCell ref="M272:R272"/>
    <mergeCell ref="AJ319:AK319"/>
    <mergeCell ref="AJ239:AK239"/>
    <mergeCell ref="AB239:AC239"/>
    <mergeCell ref="AJ233:AK233"/>
    <mergeCell ref="Z241:AA241"/>
    <mergeCell ref="AE232:AG232"/>
    <mergeCell ref="AJ196:AK196"/>
    <mergeCell ref="AJ168:AK168"/>
    <mergeCell ref="AE174:AG174"/>
    <mergeCell ref="Z182:AA182"/>
    <mergeCell ref="AJ216:AK216"/>
    <mergeCell ref="AE206:AG206"/>
    <mergeCell ref="AE184:AG184"/>
    <mergeCell ref="AJ221:AK221"/>
    <mergeCell ref="AJ163:AK163"/>
    <mergeCell ref="Z162:AA162"/>
    <mergeCell ref="Q169:V169"/>
    <mergeCell ref="AE172:AG172"/>
    <mergeCell ref="Z199:AA199"/>
    <mergeCell ref="Z185:AA185"/>
    <mergeCell ref="AJ634:AK634"/>
    <mergeCell ref="AJ245:AK245"/>
    <mergeCell ref="AJ401:AK401"/>
    <mergeCell ref="K228:L228"/>
    <mergeCell ref="AB231:AC231"/>
    <mergeCell ref="M228:R228"/>
    <mergeCell ref="Z228:AA228"/>
    <mergeCell ref="K402:L402"/>
    <mergeCell ref="Z239:AA239"/>
    <mergeCell ref="AE457:AG457"/>
    <mergeCell ref="AB472:AC472"/>
    <mergeCell ref="AE472:AG472"/>
    <mergeCell ref="K457:L457"/>
    <mergeCell ref="R456:U456"/>
    <mergeCell ref="Z471:AA471"/>
    <mergeCell ref="AE471:AG471"/>
    <mergeCell ref="AJ473:AK473"/>
    <mergeCell ref="AJ228:AK228"/>
    <mergeCell ref="K252:L252"/>
    <mergeCell ref="K314:L314"/>
    <mergeCell ref="Z375:AA375"/>
    <mergeCell ref="AJ369:AK369"/>
    <mergeCell ref="AB336:AC336"/>
    <mergeCell ref="AJ362:AK362"/>
    <mergeCell ref="Z356:AA356"/>
    <mergeCell ref="AB356:AC356"/>
    <mergeCell ref="AE356:AG356"/>
    <mergeCell ref="AJ356:AK356"/>
    <mergeCell ref="AE361:AG361"/>
    <mergeCell ref="Z262:AA262"/>
    <mergeCell ref="M314:R314"/>
    <mergeCell ref="AE372:AG372"/>
    <mergeCell ref="AE253:AG253"/>
    <mergeCell ref="M232:R232"/>
    <mergeCell ref="AB261:AC261"/>
    <mergeCell ref="AJ261:AK261"/>
    <mergeCell ref="AJ268:AK268"/>
    <mergeCell ref="AB269:AC269"/>
    <mergeCell ref="AJ274:AK274"/>
    <mergeCell ref="AB248:AC248"/>
    <mergeCell ref="Z234:AA234"/>
    <mergeCell ref="AJ241:AK241"/>
    <mergeCell ref="Z257:AA257"/>
    <mergeCell ref="AB252:AC252"/>
    <mergeCell ref="K227:L227"/>
    <mergeCell ref="K222:L222"/>
    <mergeCell ref="AE155:AG155"/>
    <mergeCell ref="Z181:AA181"/>
    <mergeCell ref="AB181:AC181"/>
    <mergeCell ref="M260:R260"/>
    <mergeCell ref="K192:L192"/>
    <mergeCell ref="K210:L210"/>
    <mergeCell ref="K193:L193"/>
    <mergeCell ref="AJ179:AK179"/>
    <mergeCell ref="AJ202:AK202"/>
    <mergeCell ref="Z174:AA174"/>
    <mergeCell ref="AJ170:AK170"/>
    <mergeCell ref="AB173:AC173"/>
    <mergeCell ref="M172:R172"/>
    <mergeCell ref="M189:R189"/>
    <mergeCell ref="M194:R194"/>
    <mergeCell ref="M224:R224"/>
    <mergeCell ref="AB186:AC186"/>
    <mergeCell ref="AJ201:AK201"/>
    <mergeCell ref="AJ1052:AK1052"/>
    <mergeCell ref="AB1078:AC1078"/>
    <mergeCell ref="AJ236:AK236"/>
    <mergeCell ref="AE750:AG750"/>
    <mergeCell ref="AE830:AG830"/>
    <mergeCell ref="AE347:AG347"/>
    <mergeCell ref="M323:R323"/>
    <mergeCell ref="AE935:AG935"/>
    <mergeCell ref="AE920:AG920"/>
    <mergeCell ref="Q213:V213"/>
    <mergeCell ref="K168:L168"/>
    <mergeCell ref="AJ184:AK184"/>
    <mergeCell ref="Z153:AA153"/>
    <mergeCell ref="Z532:AA532"/>
    <mergeCell ref="Z480:AA480"/>
    <mergeCell ref="Z678:AA678"/>
    <mergeCell ref="Z624:AA624"/>
    <mergeCell ref="M441:R441"/>
    <mergeCell ref="Z556:AA556"/>
    <mergeCell ref="K624:L624"/>
    <mergeCell ref="AB626:AC626"/>
    <mergeCell ref="AJ608:AK608"/>
    <mergeCell ref="K515:L515"/>
    <mergeCell ref="K571:L571"/>
    <mergeCell ref="AJ662:AK662"/>
    <mergeCell ref="R459:U459"/>
    <mergeCell ref="M548:R548"/>
    <mergeCell ref="Z235:AA235"/>
    <mergeCell ref="AB224:AC224"/>
    <mergeCell ref="M225:R225"/>
    <mergeCell ref="Z491:AA491"/>
    <mergeCell ref="Z455:AA455"/>
    <mergeCell ref="Z214:AA214"/>
    <mergeCell ref="AE218:AG218"/>
    <mergeCell ref="Z261:AA261"/>
    <mergeCell ref="AJ256:AK256"/>
    <mergeCell ref="Z316:AA316"/>
    <mergeCell ref="AE302:AG302"/>
    <mergeCell ref="M241:R241"/>
    <mergeCell ref="AJ1091:AK1091"/>
    <mergeCell ref="AE846:AG846"/>
    <mergeCell ref="M230:R230"/>
    <mergeCell ref="Z314:AA314"/>
    <mergeCell ref="Z370:AA370"/>
    <mergeCell ref="Z323:AA323"/>
    <mergeCell ref="AB323:AC323"/>
    <mergeCell ref="R362:U362"/>
    <mergeCell ref="M367:R367"/>
    <mergeCell ref="AB364:AC364"/>
    <mergeCell ref="M330:R330"/>
    <mergeCell ref="AJ329:AK329"/>
    <mergeCell ref="Z476:AA476"/>
    <mergeCell ref="Z540:AA540"/>
    <mergeCell ref="AB453:AC453"/>
    <mergeCell ref="AB455:AC455"/>
    <mergeCell ref="AJ550:AK550"/>
    <mergeCell ref="AJ535:AK535"/>
    <mergeCell ref="AJ688:AK688"/>
    <mergeCell ref="AJ977:AK977"/>
    <mergeCell ref="AE930:AG930"/>
    <mergeCell ref="AJ906:AK906"/>
    <mergeCell ref="Z227:AA227"/>
    <mergeCell ref="AJ234:AK234"/>
    <mergeCell ref="M281:R281"/>
    <mergeCell ref="AJ1033:AK1033"/>
    <mergeCell ref="AJ1005:AK1005"/>
    <mergeCell ref="AE789:AG789"/>
    <mergeCell ref="AJ873:AK873"/>
    <mergeCell ref="AE843:AG843"/>
    <mergeCell ref="AJ818:AK818"/>
    <mergeCell ref="K248:L248"/>
    <mergeCell ref="K268:L268"/>
    <mergeCell ref="Z260:AA260"/>
    <mergeCell ref="AJ915:AK915"/>
    <mergeCell ref="AJ913:AK913"/>
    <mergeCell ref="AE839:AG839"/>
    <mergeCell ref="AE824:AG824"/>
    <mergeCell ref="AJ1100:AK1100"/>
    <mergeCell ref="AB655:AC655"/>
    <mergeCell ref="AE862:AG862"/>
    <mergeCell ref="AE851:AG851"/>
    <mergeCell ref="AE791:AG791"/>
    <mergeCell ref="AJ981:AK981"/>
    <mergeCell ref="AB748:AC748"/>
    <mergeCell ref="AE709:AG709"/>
    <mergeCell ref="AJ817:AK817"/>
    <mergeCell ref="AE836:AG836"/>
    <mergeCell ref="AB413:AC413"/>
    <mergeCell ref="M268:R268"/>
    <mergeCell ref="AB253:AC253"/>
    <mergeCell ref="AJ1036:AK1036"/>
    <mergeCell ref="AB439:AC439"/>
    <mergeCell ref="AJ519:AK519"/>
    <mergeCell ref="AJ603:AK603"/>
    <mergeCell ref="AJ583:AK583"/>
    <mergeCell ref="AJ265:AK265"/>
    <mergeCell ref="Z524:AA524"/>
    <mergeCell ref="AB854:AC854"/>
    <mergeCell ref="Z256:AA256"/>
    <mergeCell ref="AJ231:AK231"/>
    <mergeCell ref="AJ237:AK237"/>
    <mergeCell ref="AE237:AG237"/>
    <mergeCell ref="Z236:AA236"/>
    <mergeCell ref="M254:R254"/>
    <mergeCell ref="AE242:AG242"/>
    <mergeCell ref="AJ229:AK229"/>
    <mergeCell ref="AB255:AC255"/>
    <mergeCell ref="AJ257:AK257"/>
    <mergeCell ref="Z247:AA247"/>
    <mergeCell ref="AJ255:AK255"/>
    <mergeCell ref="AB277:AC277"/>
    <mergeCell ref="AB272:AC272"/>
    <mergeCell ref="K317:L317"/>
    <mergeCell ref="AJ493:AK493"/>
    <mergeCell ref="Z502:AA502"/>
    <mergeCell ref="AB244:AC244"/>
    <mergeCell ref="AB229:AC229"/>
    <mergeCell ref="AB243:AC243"/>
    <mergeCell ref="AE230:AG230"/>
    <mergeCell ref="AJ820:AK820"/>
    <mergeCell ref="Z379:AA379"/>
    <mergeCell ref="AJ392:AK392"/>
    <mergeCell ref="AJ592:AK592"/>
    <mergeCell ref="AB406:AC406"/>
    <mergeCell ref="AE696:AG696"/>
    <mergeCell ref="AJ235:AK235"/>
    <mergeCell ref="AE394:AG394"/>
    <mergeCell ref="AB282:AC282"/>
    <mergeCell ref="AJ218:AK218"/>
    <mergeCell ref="AE854:AG854"/>
    <mergeCell ref="AB590:AC590"/>
    <mergeCell ref="AJ590:AK590"/>
    <mergeCell ref="AE576:AG576"/>
    <mergeCell ref="AJ409:AK409"/>
    <mergeCell ref="AJ420:AK420"/>
    <mergeCell ref="K858:L858"/>
    <mergeCell ref="K863:L863"/>
    <mergeCell ref="AJ940:AK940"/>
    <mergeCell ref="AJ419:AK419"/>
    <mergeCell ref="AJ421:AK421"/>
    <mergeCell ref="AE490:AG490"/>
    <mergeCell ref="AB475:AC475"/>
    <mergeCell ref="Z582:AA582"/>
    <mergeCell ref="Z755:AA755"/>
    <mergeCell ref="AE546:AG546"/>
    <mergeCell ref="AE542:AG542"/>
    <mergeCell ref="AB528:AC528"/>
    <mergeCell ref="AB554:AC554"/>
    <mergeCell ref="AJ423:AK423"/>
    <mergeCell ref="AJ903:AK903"/>
    <mergeCell ref="AB867:AC867"/>
    <mergeCell ref="K869:L869"/>
    <mergeCell ref="K861:L861"/>
    <mergeCell ref="M917:R917"/>
    <mergeCell ref="M248:R248"/>
    <mergeCell ref="M253:R253"/>
    <mergeCell ref="AE258:AG258"/>
    <mergeCell ref="AJ244:AK244"/>
    <mergeCell ref="M250:R250"/>
    <mergeCell ref="AJ247:AK247"/>
    <mergeCell ref="M529:R529"/>
    <mergeCell ref="AE569:AG569"/>
    <mergeCell ref="AE572:AG572"/>
    <mergeCell ref="AJ417:AK417"/>
    <mergeCell ref="AE531:AG531"/>
    <mergeCell ref="AE766:AG766"/>
    <mergeCell ref="AJ639:AK639"/>
    <mergeCell ref="AJ730:AK730"/>
    <mergeCell ref="AE586:AG586"/>
    <mergeCell ref="AB627:AC627"/>
    <mergeCell ref="AE777:AG777"/>
    <mergeCell ref="AJ646:AK646"/>
    <mergeCell ref="Z602:AA602"/>
    <mergeCell ref="AE399:AG399"/>
    <mergeCell ref="AB228:AC228"/>
    <mergeCell ref="K233:L233"/>
    <mergeCell ref="M257:R257"/>
    <mergeCell ref="AE252:AG252"/>
    <mergeCell ref="K260:L260"/>
    <mergeCell ref="AB235:AC235"/>
    <mergeCell ref="K239:L239"/>
    <mergeCell ref="K271:L271"/>
    <mergeCell ref="AE694:AG694"/>
    <mergeCell ref="AJ694:AK694"/>
    <mergeCell ref="AE695:AG695"/>
    <mergeCell ref="AJ695:AK695"/>
    <mergeCell ref="Z248:AA248"/>
    <mergeCell ref="Z246:AA246"/>
    <mergeCell ref="AJ685:AK685"/>
    <mergeCell ref="AJ601:AK601"/>
    <mergeCell ref="AJ314:AK314"/>
    <mergeCell ref="AE641:AG641"/>
    <mergeCell ref="AE398:AG398"/>
    <mergeCell ref="AJ398:AK398"/>
    <mergeCell ref="AJ1294:AK1294"/>
    <mergeCell ref="AJ1282:AK1282"/>
    <mergeCell ref="AE826:AG826"/>
    <mergeCell ref="AJ837:AK837"/>
    <mergeCell ref="AE545:AG545"/>
    <mergeCell ref="AE780:AG780"/>
    <mergeCell ref="AB567:AC567"/>
    <mergeCell ref="M287:R287"/>
    <mergeCell ref="AJ290:AK290"/>
    <mergeCell ref="AJ289:AK289"/>
    <mergeCell ref="AB285:AC285"/>
    <mergeCell ref="M318:R318"/>
    <mergeCell ref="AJ279:AK279"/>
    <mergeCell ref="Z376:AA376"/>
    <mergeCell ref="M360:R360"/>
    <mergeCell ref="Z284:AA284"/>
    <mergeCell ref="AB1221:AC1221"/>
    <mergeCell ref="AE1095:AG1095"/>
    <mergeCell ref="AB1010:AC1010"/>
    <mergeCell ref="AE1185:AG1185"/>
    <mergeCell ref="AE1160:AG1160"/>
    <mergeCell ref="AB1081:AC1081"/>
    <mergeCell ref="AB1122:AC1122"/>
    <mergeCell ref="AB1182:AC1182"/>
    <mergeCell ref="AB1128:AC1128"/>
    <mergeCell ref="AE1223:AG1223"/>
    <mergeCell ref="AE1055:AG1055"/>
    <mergeCell ref="AE1024:AG1024"/>
    <mergeCell ref="AJ1138:AK1138"/>
    <mergeCell ref="AJ1106:AK1106"/>
    <mergeCell ref="AJ439:AK439"/>
    <mergeCell ref="AE1090:AG1090"/>
    <mergeCell ref="AE1178:AG1178"/>
    <mergeCell ref="AJ1425:AK1425"/>
    <mergeCell ref="AJ1259:AK1259"/>
    <mergeCell ref="AJ1223:AK1223"/>
    <mergeCell ref="AE1161:AG1161"/>
    <mergeCell ref="AJ1305:AK1305"/>
    <mergeCell ref="AJ1054:AK1054"/>
    <mergeCell ref="AE1381:AG1381"/>
    <mergeCell ref="AB1411:AC1411"/>
    <mergeCell ref="AE1404:AG1404"/>
    <mergeCell ref="AJ1396:AK1396"/>
    <mergeCell ref="AJ1395:AK1395"/>
    <mergeCell ref="AB1368:AC1368"/>
    <mergeCell ref="AJ1275:AK1275"/>
    <mergeCell ref="AJ1283:AK1283"/>
    <mergeCell ref="AJ1269:AK1269"/>
    <mergeCell ref="AJ1161:AK1161"/>
    <mergeCell ref="AJ1205:AK1205"/>
    <mergeCell ref="AE1056:AG1056"/>
    <mergeCell ref="AE1155:AG1155"/>
    <mergeCell ref="AJ1122:AK1122"/>
    <mergeCell ref="AE1162:AG1162"/>
    <mergeCell ref="AJ1264:AK1264"/>
    <mergeCell ref="AJ1233:AK1233"/>
    <mergeCell ref="AJ1226:AK1226"/>
    <mergeCell ref="AE1191:AG1191"/>
    <mergeCell ref="AE458:AG458"/>
    <mergeCell ref="AJ1242:AK1242"/>
    <mergeCell ref="AE566:AG566"/>
    <mergeCell ref="AE559:AG559"/>
    <mergeCell ref="AJ640:AK640"/>
    <mergeCell ref="AE643:AG643"/>
    <mergeCell ref="AJ441:AK441"/>
    <mergeCell ref="AE1227:AG1227"/>
    <mergeCell ref="AE1268:AG1268"/>
    <mergeCell ref="AE1285:AG1285"/>
    <mergeCell ref="AJ908:AK908"/>
    <mergeCell ref="AJ856:AK856"/>
    <mergeCell ref="AB981:AC981"/>
    <mergeCell ref="AJ958:AK958"/>
    <mergeCell ref="AJ994:AK994"/>
    <mergeCell ref="AJ942:AK942"/>
    <mergeCell ref="AE898:AG898"/>
    <mergeCell ref="AJ861:AK861"/>
    <mergeCell ref="AB1295:AC1295"/>
    <mergeCell ref="AE1274:AG1274"/>
    <mergeCell ref="AE1258:AG1258"/>
    <mergeCell ref="AE860:AG860"/>
    <mergeCell ref="AB489:AC489"/>
    <mergeCell ref="AJ1154:AK1154"/>
    <mergeCell ref="AB614:AC614"/>
    <mergeCell ref="AB855:AC855"/>
    <mergeCell ref="AB851:AC851"/>
    <mergeCell ref="AE1154:AG1154"/>
    <mergeCell ref="AE1157:AG1157"/>
    <mergeCell ref="AE1201:AG1201"/>
    <mergeCell ref="AJ962:AK962"/>
    <mergeCell ref="AB996:AC996"/>
    <mergeCell ref="AE939:AG939"/>
    <mergeCell ref="AB599:AC599"/>
    <mergeCell ref="AJ1230:AK1230"/>
    <mergeCell ref="AE1281:AG1281"/>
    <mergeCell ref="AJ582:AK582"/>
    <mergeCell ref="AE562:AG562"/>
    <mergeCell ref="AJ562:AK562"/>
    <mergeCell ref="AJ736:AK736"/>
    <mergeCell ref="AE1369:AG1369"/>
    <mergeCell ref="AJ1244:AK1244"/>
    <mergeCell ref="AE453:AG453"/>
    <mergeCell ref="AB438:AC438"/>
    <mergeCell ref="AE483:AG483"/>
    <mergeCell ref="AJ483:AK483"/>
    <mergeCell ref="AE428:AG428"/>
    <mergeCell ref="AE409:AG409"/>
    <mergeCell ref="AJ1291:AK1291"/>
    <mergeCell ref="AJ1168:AK1168"/>
    <mergeCell ref="AJ1212:AK1212"/>
    <mergeCell ref="AE1184:AG1184"/>
    <mergeCell ref="AJ1285:AK1285"/>
    <mergeCell ref="AJ1278:AK1278"/>
    <mergeCell ref="AE1098:AG1098"/>
    <mergeCell ref="AB1188:AC1188"/>
    <mergeCell ref="AE1291:AG1291"/>
    <mergeCell ref="AB1124:AC1124"/>
    <mergeCell ref="AJ1216:AK1216"/>
    <mergeCell ref="AJ1302:AK1302"/>
    <mergeCell ref="AJ1203:AK1203"/>
    <mergeCell ref="AJ1209:AK1209"/>
    <mergeCell ref="AJ1199:AK1199"/>
    <mergeCell ref="AJ1188:AK1188"/>
    <mergeCell ref="AJ1297:AK1297"/>
    <mergeCell ref="AJ1210:AK1210"/>
    <mergeCell ref="AJ636:AK636"/>
    <mergeCell ref="AE613:AG613"/>
    <mergeCell ref="AJ792:AK792"/>
    <mergeCell ref="AJ788:AK788"/>
    <mergeCell ref="AJ935:AK935"/>
    <mergeCell ref="AE829:AG829"/>
    <mergeCell ref="AJ1280:AK1280"/>
    <mergeCell ref="AJ855:AK855"/>
    <mergeCell ref="AJ997:AK997"/>
    <mergeCell ref="AB1139:AC1139"/>
    <mergeCell ref="AB1200:AC1200"/>
    <mergeCell ref="AJ1002:AK1002"/>
    <mergeCell ref="AJ779:AK779"/>
    <mergeCell ref="AJ961:AK961"/>
    <mergeCell ref="AJ1180:AK1180"/>
    <mergeCell ref="AJ1236:AK1236"/>
    <mergeCell ref="AB983:AC983"/>
    <mergeCell ref="AJ900:AK900"/>
    <mergeCell ref="AJ666:AK666"/>
    <mergeCell ref="AJ876:AK876"/>
    <mergeCell ref="AJ744:AK744"/>
    <mergeCell ref="AJ822:AK822"/>
    <mergeCell ref="AJ727:AK727"/>
    <mergeCell ref="AE1148:AG1148"/>
    <mergeCell ref="AE1134:AG1134"/>
    <mergeCell ref="AE1181:AG1181"/>
    <mergeCell ref="AB1170:AC1170"/>
    <mergeCell ref="AE1112:AG1112"/>
    <mergeCell ref="AB1136:AC1136"/>
    <mergeCell ref="AE1170:AG1170"/>
    <mergeCell ref="AE1152:AG1152"/>
    <mergeCell ref="AE1128:AG1128"/>
    <mergeCell ref="AJ1170:AK1170"/>
    <mergeCell ref="AJ1179:AK1179"/>
    <mergeCell ref="AJ905:AK905"/>
    <mergeCell ref="AJ930:AK930"/>
    <mergeCell ref="AJ867:AK867"/>
    <mergeCell ref="AJ864:AK864"/>
    <mergeCell ref="AJ704:AK704"/>
    <mergeCell ref="AE710:AG710"/>
    <mergeCell ref="AE821:AG821"/>
    <mergeCell ref="AE803:AG803"/>
    <mergeCell ref="AE802:AG802"/>
    <mergeCell ref="AB737:AC737"/>
    <mergeCell ref="AJ932:AK932"/>
    <mergeCell ref="AE508:AG508"/>
    <mergeCell ref="AJ518:AK518"/>
    <mergeCell ref="AE518:AG518"/>
    <mergeCell ref="AE711:AG711"/>
    <mergeCell ref="AE530:AG530"/>
    <mergeCell ref="AB572:AC572"/>
    <mergeCell ref="AJ527:AK527"/>
    <mergeCell ref="AJ544:AK544"/>
    <mergeCell ref="AE625:AG625"/>
    <mergeCell ref="AE624:AG624"/>
    <mergeCell ref="AE627:AG627"/>
    <mergeCell ref="AJ850:AK850"/>
    <mergeCell ref="AJ812:AK812"/>
    <mergeCell ref="AE902:AG902"/>
    <mergeCell ref="AJ739:AK739"/>
    <mergeCell ref="AB706:AC706"/>
    <mergeCell ref="AB727:AC727"/>
    <mergeCell ref="AE879:AG879"/>
    <mergeCell ref="AJ866:AK866"/>
    <mergeCell ref="AJ824:AK824"/>
    <mergeCell ref="AB787:AC787"/>
    <mergeCell ref="AE1554:AG1554"/>
    <mergeCell ref="Z1146:AA1146"/>
    <mergeCell ref="Z1143:AA1143"/>
    <mergeCell ref="AE1158:AG1158"/>
    <mergeCell ref="AJ1173:AK1173"/>
    <mergeCell ref="AE1351:AG1351"/>
    <mergeCell ref="AJ1366:AK1366"/>
    <mergeCell ref="AE1583:AG1583"/>
    <mergeCell ref="AE1387:AG1387"/>
    <mergeCell ref="AE1383:AG1383"/>
    <mergeCell ref="AE1205:AG1205"/>
    <mergeCell ref="Z1128:AA1128"/>
    <mergeCell ref="AJ1087:AK1087"/>
    <mergeCell ref="AJ1067:AK1067"/>
    <mergeCell ref="AB1253:AC1253"/>
    <mergeCell ref="AJ1169:AK1169"/>
    <mergeCell ref="AJ1167:AK1167"/>
    <mergeCell ref="AJ1320:AK1320"/>
    <mergeCell ref="AJ1273:AK1273"/>
    <mergeCell ref="AJ1253:AK1253"/>
    <mergeCell ref="AJ1292:AK1292"/>
    <mergeCell ref="AE1238:AG1238"/>
    <mergeCell ref="AE1222:AG1222"/>
    <mergeCell ref="AJ1379:AK1379"/>
    <mergeCell ref="Z1300:AA1300"/>
    <mergeCell ref="Z1327:AA1327"/>
    <mergeCell ref="AE1483:AG1483"/>
    <mergeCell ref="AE1484:AG1484"/>
    <mergeCell ref="AJ1451:AK1451"/>
    <mergeCell ref="Z1152:AA1152"/>
    <mergeCell ref="Z1114:AA1114"/>
    <mergeCell ref="Z1133:AA1133"/>
    <mergeCell ref="AE1124:AG1124"/>
    <mergeCell ref="AJ1064:AK1064"/>
    <mergeCell ref="AJ1066:AK1066"/>
    <mergeCell ref="AE1106:AG1106"/>
    <mergeCell ref="AE1142:AG1142"/>
    <mergeCell ref="AE1403:AG1403"/>
    <mergeCell ref="Z1402:AA1402"/>
    <mergeCell ref="AJ1201:AK1201"/>
    <mergeCell ref="AE1206:AG1206"/>
    <mergeCell ref="AB1234:AC1234"/>
    <mergeCell ref="AJ1141:AK1141"/>
    <mergeCell ref="AJ1175:AK1175"/>
    <mergeCell ref="AJ1224:AK1224"/>
    <mergeCell ref="AJ1221:AK1221"/>
    <mergeCell ref="AE1207:AG1207"/>
    <mergeCell ref="AE1242:AG1242"/>
    <mergeCell ref="AB1120:AC1120"/>
    <mergeCell ref="AE1121:AG1121"/>
    <mergeCell ref="AJ1105:AK1105"/>
    <mergeCell ref="AJ1108:AK1108"/>
    <mergeCell ref="AJ1172:AK1172"/>
    <mergeCell ref="AE1144:AG1144"/>
    <mergeCell ref="AE1110:AG1110"/>
    <mergeCell ref="AJ1225:AK1225"/>
    <mergeCell ref="AE1245:AG1245"/>
    <mergeCell ref="AE1263:AG1263"/>
    <mergeCell ref="AB1196:AC1196"/>
    <mergeCell ref="AB1177:AC1177"/>
    <mergeCell ref="AE1217:AG1217"/>
    <mergeCell ref="AJ1186:AK1186"/>
    <mergeCell ref="AB1227:AC1227"/>
    <mergeCell ref="AB1118:AC1118"/>
    <mergeCell ref="AJ1380:AK1380"/>
    <mergeCell ref="Z1162:AA1162"/>
    <mergeCell ref="AJ1327:AK1327"/>
    <mergeCell ref="AJ1271:AK1271"/>
    <mergeCell ref="AB1269:AC1269"/>
    <mergeCell ref="AE1195:AG1195"/>
    <mergeCell ref="AE1192:AG1192"/>
    <mergeCell ref="AJ1166:AK1166"/>
    <mergeCell ref="AE1302:AG1302"/>
    <mergeCell ref="AJ1257:AK1257"/>
    <mergeCell ref="AE1280:AG1280"/>
    <mergeCell ref="AJ1238:AK1238"/>
    <mergeCell ref="AE1234:AG1234"/>
    <mergeCell ref="Z1380:AA1380"/>
    <mergeCell ref="AJ1247:AK1247"/>
    <mergeCell ref="AJ1295:AK1295"/>
    <mergeCell ref="AJ1235:AK1235"/>
    <mergeCell ref="AJ1177:AK1177"/>
    <mergeCell ref="AJ1352:AK1352"/>
    <mergeCell ref="AE1363:AG1363"/>
    <mergeCell ref="AE1340:AG1340"/>
    <mergeCell ref="AB1373:AC1373"/>
    <mergeCell ref="AE1299:AG1299"/>
    <mergeCell ref="AE1344:AG1344"/>
    <mergeCell ref="AE1232:AG1232"/>
    <mergeCell ref="AJ1365:AK1365"/>
    <mergeCell ref="AE1358:AG1358"/>
    <mergeCell ref="AJ1357:AK1357"/>
    <mergeCell ref="Z1286:AA1286"/>
    <mergeCell ref="Z1214:AA1214"/>
    <mergeCell ref="Z1238:AA1238"/>
    <mergeCell ref="Z1174:AA1174"/>
    <mergeCell ref="AE1378:AG1378"/>
    <mergeCell ref="AJ1377:AK1377"/>
    <mergeCell ref="AJ1376:AK1376"/>
    <mergeCell ref="AE1377:AG1377"/>
    <mergeCell ref="AJ1370:AK1370"/>
    <mergeCell ref="AE1309:AG1309"/>
    <mergeCell ref="AJ1260:AK1260"/>
    <mergeCell ref="AJ1148:AK1148"/>
    <mergeCell ref="AJ1146:AK1146"/>
    <mergeCell ref="Z1222:AA1222"/>
    <mergeCell ref="AB1225:AC1225"/>
    <mergeCell ref="AB1273:AC1273"/>
    <mergeCell ref="AB1340:AC1340"/>
    <mergeCell ref="Z1199:AA1199"/>
    <mergeCell ref="AB1342:AC1342"/>
    <mergeCell ref="Z1287:AA1287"/>
    <mergeCell ref="AB1331:AC1331"/>
    <mergeCell ref="Z1376:AA1376"/>
    <mergeCell ref="AJ1372:AK1372"/>
    <mergeCell ref="AJ1153:AK1153"/>
    <mergeCell ref="AE1151:AG1151"/>
    <mergeCell ref="AE1146:AG1146"/>
    <mergeCell ref="AJ1156:AK1156"/>
    <mergeCell ref="AJ1157:AK1157"/>
    <mergeCell ref="AJ1323:AK1323"/>
    <mergeCell ref="AJ1309:AK1309"/>
    <mergeCell ref="AJ1241:AK1241"/>
    <mergeCell ref="AJ1195:AK1195"/>
    <mergeCell ref="AE1200:AG1200"/>
    <mergeCell ref="AE1237:AG1237"/>
    <mergeCell ref="Z1810:AG1810"/>
    <mergeCell ref="Z1806:AG1806"/>
    <mergeCell ref="Z1698:AA1698"/>
    <mergeCell ref="AJ1311:AK1311"/>
    <mergeCell ref="AJ1382:AK1382"/>
    <mergeCell ref="AJ1307:AK1307"/>
    <mergeCell ref="AJ1315:AK1315"/>
    <mergeCell ref="AE1317:AG1317"/>
    <mergeCell ref="AJ1317:AK1317"/>
    <mergeCell ref="AJ1321:AK1321"/>
    <mergeCell ref="AJ1456:AK1456"/>
    <mergeCell ref="AE1503:AG1503"/>
    <mergeCell ref="AE1482:AG1482"/>
    <mergeCell ref="AJ1390:AK1390"/>
    <mergeCell ref="AE1456:AG1456"/>
    <mergeCell ref="AE1597:AG1597"/>
    <mergeCell ref="AE1687:AG1687"/>
    <mergeCell ref="AJ1412:AK1412"/>
    <mergeCell ref="Z1340:AA1340"/>
    <mergeCell ref="Z1365:AA1365"/>
    <mergeCell ref="Z1672:AA1672"/>
    <mergeCell ref="Z1726:AA1726"/>
    <mergeCell ref="AB1502:AC1502"/>
    <mergeCell ref="AB1547:AC1547"/>
    <mergeCell ref="AB1573:AC1573"/>
    <mergeCell ref="AB1671:AC1671"/>
    <mergeCell ref="AB1643:AC1643"/>
    <mergeCell ref="AB1624:AC1624"/>
    <mergeCell ref="AB1503:AC1503"/>
    <mergeCell ref="AB1749:AC1749"/>
    <mergeCell ref="AE1749:AG1749"/>
    <mergeCell ref="AJ1749:AK1749"/>
    <mergeCell ref="AJ1245:AK1245"/>
    <mergeCell ref="AE1265:AG1265"/>
    <mergeCell ref="AJ1523:AK1523"/>
    <mergeCell ref="AJ1345:AK1345"/>
    <mergeCell ref="AJ1328:AK1328"/>
    <mergeCell ref="AJ1340:AK1340"/>
    <mergeCell ref="AJ1342:AK1342"/>
    <mergeCell ref="AJ1765:AK1765"/>
    <mergeCell ref="AE1502:AG1502"/>
    <mergeCell ref="AE1520:AG1520"/>
    <mergeCell ref="AB1425:AC1425"/>
    <mergeCell ref="AB1296:AC1296"/>
    <mergeCell ref="AJ1289:AK1289"/>
    <mergeCell ref="AJ1312:AK1312"/>
    <mergeCell ref="AE1239:AG1239"/>
    <mergeCell ref="AJ1646:AK1646"/>
    <mergeCell ref="Z1583:AA1583"/>
    <mergeCell ref="AE1676:AG1676"/>
    <mergeCell ref="AE1686:AG1686"/>
    <mergeCell ref="AE1639:AG1639"/>
    <mergeCell ref="AJ1495:AK1495"/>
    <mergeCell ref="AJ1660:AK1660"/>
    <mergeCell ref="AE1496:AG1496"/>
    <mergeCell ref="AJ1448:AK1448"/>
    <mergeCell ref="AJ1394:AK1394"/>
    <mergeCell ref="AB1588:AC1588"/>
    <mergeCell ref="Z1492:AA1492"/>
    <mergeCell ref="AB1553:AC1553"/>
    <mergeCell ref="AB1601:AC1601"/>
    <mergeCell ref="Z1434:AA1434"/>
    <mergeCell ref="AJ1428:AK1428"/>
    <mergeCell ref="AJ1637:AK1637"/>
    <mergeCell ref="AB1652:AC1652"/>
    <mergeCell ref="AB1233:AC1233"/>
    <mergeCell ref="AE1219:AG1219"/>
    <mergeCell ref="AE1216:AG1216"/>
    <mergeCell ref="AJ1228:AK1228"/>
    <mergeCell ref="AJ1296:AK1296"/>
    <mergeCell ref="AJ1268:AK1268"/>
    <mergeCell ref="AJ1250:AK1250"/>
    <mergeCell ref="AE1273:AG1273"/>
    <mergeCell ref="AB1287:AC1287"/>
    <mergeCell ref="AE1287:AG1287"/>
    <mergeCell ref="AE1289:AG1289"/>
    <mergeCell ref="AJ1287:AK1287"/>
    <mergeCell ref="AJ1588:AK1588"/>
    <mergeCell ref="AJ1389:AK1389"/>
    <mergeCell ref="AJ1367:AK1367"/>
    <mergeCell ref="AJ1359:AK1359"/>
    <mergeCell ref="AJ1371:AK1371"/>
    <mergeCell ref="AJ1361:AK1361"/>
    <mergeCell ref="AE1375:AG1375"/>
    <mergeCell ref="AE1382:AG1382"/>
    <mergeCell ref="AJ1651:AK1651"/>
    <mergeCell ref="AE1395:AG1395"/>
    <mergeCell ref="AJ1261:AK1261"/>
    <mergeCell ref="AE1283:AG1283"/>
    <mergeCell ref="AJ1265:AK1265"/>
    <mergeCell ref="AJ1344:AK1344"/>
    <mergeCell ref="AJ1341:AK1341"/>
    <mergeCell ref="AJ1369:AK1369"/>
    <mergeCell ref="AJ1329:AK1329"/>
    <mergeCell ref="AE1388:AG1388"/>
    <mergeCell ref="AE1264:AG1264"/>
    <mergeCell ref="AB1626:AC1626"/>
    <mergeCell ref="AJ1399:AK1399"/>
    <mergeCell ref="AJ1511:AK1511"/>
    <mergeCell ref="AJ1501:AK1501"/>
    <mergeCell ref="AJ1529:AK1529"/>
    <mergeCell ref="AB1769:AC1769"/>
    <mergeCell ref="Z1763:AA1763"/>
    <mergeCell ref="Z1511:AA1511"/>
    <mergeCell ref="AJ1570:AK1570"/>
    <mergeCell ref="Z1777:AA1777"/>
    <mergeCell ref="AJ1484:AK1484"/>
    <mergeCell ref="AB457:AC457"/>
    <mergeCell ref="AE1700:AG1700"/>
    <mergeCell ref="AJ1368:AK1368"/>
    <mergeCell ref="AE1244:AG1244"/>
    <mergeCell ref="Z1284:AA1284"/>
    <mergeCell ref="AJ1373:AK1373"/>
    <mergeCell ref="AE1137:AG1137"/>
    <mergeCell ref="Z1527:AA1527"/>
    <mergeCell ref="AJ1773:AK1773"/>
    <mergeCell ref="AJ1613:AK1613"/>
    <mergeCell ref="AJ1743:AK1743"/>
    <mergeCell ref="AJ1767:AK1767"/>
    <mergeCell ref="AJ1719:AK1719"/>
    <mergeCell ref="AJ1626:AK1626"/>
    <mergeCell ref="AJ1640:AK1640"/>
    <mergeCell ref="AB1709:AC1709"/>
    <mergeCell ref="AE1645:AG1645"/>
    <mergeCell ref="AE1739:AG1739"/>
    <mergeCell ref="AE1751:AG1751"/>
    <mergeCell ref="Z1680:AA1680"/>
    <mergeCell ref="AE1622:AG1622"/>
    <mergeCell ref="Z1801:AG1801"/>
    <mergeCell ref="AE473:AG473"/>
    <mergeCell ref="AE1682:AG1682"/>
    <mergeCell ref="AB1698:AC1698"/>
    <mergeCell ref="AE1653:AG1653"/>
    <mergeCell ref="Z1817:AG1817"/>
    <mergeCell ref="AE1562:AG1562"/>
    <mergeCell ref="AE1593:AG1593"/>
    <mergeCell ref="AJ1464:AK1464"/>
    <mergeCell ref="AJ1490:AK1490"/>
    <mergeCell ref="AJ1759:AK1759"/>
    <mergeCell ref="Z1736:AA1736"/>
    <mergeCell ref="AE1720:AG1720"/>
    <mergeCell ref="AB1728:AC1728"/>
    <mergeCell ref="AB1751:AC1751"/>
    <mergeCell ref="AE1479:AG1479"/>
    <mergeCell ref="AJ1493:AK1493"/>
    <mergeCell ref="AJ1198:AK1198"/>
    <mergeCell ref="AE475:AG475"/>
    <mergeCell ref="Z1469:AA1469"/>
    <mergeCell ref="Z1388:AA1388"/>
    <mergeCell ref="Z1448:AA1448"/>
    <mergeCell ref="AJ1393:AK1393"/>
    <mergeCell ref="AJ1375:AK1375"/>
    <mergeCell ref="AE1488:AG1488"/>
    <mergeCell ref="AJ1603:AK1603"/>
    <mergeCell ref="Z1576:AA1576"/>
    <mergeCell ref="Z1544:AA1544"/>
    <mergeCell ref="AJ1705:AK1705"/>
    <mergeCell ref="AJ1457:AK1457"/>
    <mergeCell ref="Z1462:AA1462"/>
    <mergeCell ref="Z1478:AA1478"/>
    <mergeCell ref="Z1827:AG1827"/>
    <mergeCell ref="AJ1752:AK1752"/>
    <mergeCell ref="AJ1638:AK1638"/>
    <mergeCell ref="AJ1623:AK1623"/>
    <mergeCell ref="AJ1635:AK1635"/>
    <mergeCell ref="AJ1586:AK1586"/>
    <mergeCell ref="AJ1575:AK1575"/>
    <mergeCell ref="AJ1782:AK1782"/>
    <mergeCell ref="Z1615:AA1615"/>
    <mergeCell ref="Z1769:AA1769"/>
    <mergeCell ref="AJ1726:AK1726"/>
    <mergeCell ref="Z1823:AG1823"/>
    <mergeCell ref="Z1820:AG1820"/>
    <mergeCell ref="AC1828:AF1828"/>
    <mergeCell ref="AJ1733:AK1733"/>
    <mergeCell ref="AE1575:AG1575"/>
    <mergeCell ref="Z1596:AA1596"/>
    <mergeCell ref="Z1657:AA1657"/>
    <mergeCell ref="Z1732:AA1732"/>
    <mergeCell ref="AE1729:AG1729"/>
    <mergeCell ref="AB1658:AC1658"/>
    <mergeCell ref="Z1815:AG1815"/>
    <mergeCell ref="AJ1745:AK1745"/>
    <mergeCell ref="AE1674:AG1674"/>
    <mergeCell ref="AJ1681:AK1681"/>
    <mergeCell ref="AE1756:AG1756"/>
    <mergeCell ref="AJ1611:AK1611"/>
    <mergeCell ref="AJ1617:AK1617"/>
    <mergeCell ref="AJ1618:AK1618"/>
    <mergeCell ref="AJ1619:AK1619"/>
    <mergeCell ref="Z1826:AG1826"/>
    <mergeCell ref="AE1577:AG1577"/>
    <mergeCell ref="Z1822:AG1822"/>
    <mergeCell ref="Z1825:AG1825"/>
    <mergeCell ref="AE1561:AG1561"/>
    <mergeCell ref="AJ1633:AK1633"/>
    <mergeCell ref="AJ1685:AK1685"/>
    <mergeCell ref="Z1819:AG1819"/>
    <mergeCell ref="Z1541:AA1541"/>
    <mergeCell ref="Z1577:AA1577"/>
    <mergeCell ref="AB1552:AC1552"/>
    <mergeCell ref="AE1480:AG1480"/>
    <mergeCell ref="AE1609:AG1609"/>
    <mergeCell ref="AE1755:AG1755"/>
    <mergeCell ref="AE1713:AG1713"/>
    <mergeCell ref="AJ1540:AK1540"/>
    <mergeCell ref="AJ1704:AK1704"/>
    <mergeCell ref="AJ1797:AK1797"/>
    <mergeCell ref="AJ1727:AK1727"/>
    <mergeCell ref="AJ1565:AK1565"/>
    <mergeCell ref="AE1606:AG1606"/>
    <mergeCell ref="AJ1615:AK1615"/>
    <mergeCell ref="AJ1550:AK1550"/>
    <mergeCell ref="AB1568:AC1568"/>
    <mergeCell ref="AE1538:AG1538"/>
    <mergeCell ref="AE1545:AG1545"/>
    <mergeCell ref="AE1499:AG1499"/>
    <mergeCell ref="Z1804:AG1804"/>
    <mergeCell ref="Z1816:AG1816"/>
    <mergeCell ref="AE1594:AG1594"/>
    <mergeCell ref="Z1751:AA1751"/>
    <mergeCell ref="AE1591:AG1591"/>
    <mergeCell ref="AE1761:AG1761"/>
    <mergeCell ref="Z1812:AG1812"/>
    <mergeCell ref="Z1456:AA1456"/>
    <mergeCell ref="AJ1483:AK1483"/>
    <mergeCell ref="AJ1521:AK1521"/>
    <mergeCell ref="AJ1532:AK1532"/>
    <mergeCell ref="AE1515:AG1515"/>
    <mergeCell ref="AJ1447:AK1447"/>
    <mergeCell ref="AE1489:AG1489"/>
    <mergeCell ref="AJ1778:AK1778"/>
    <mergeCell ref="AJ1654:AK1654"/>
    <mergeCell ref="AE1623:AG1623"/>
    <mergeCell ref="AE1579:AG1579"/>
    <mergeCell ref="AJ1686:AK1686"/>
    <mergeCell ref="AE1679:AG1679"/>
    <mergeCell ref="AJ1537:AK1537"/>
    <mergeCell ref="AJ1800:AK1800"/>
    <mergeCell ref="AJ1720:AK1720"/>
    <mergeCell ref="AJ1798:AK1798"/>
    <mergeCell ref="AE1710:AG1710"/>
    <mergeCell ref="AJ1644:AK1644"/>
    <mergeCell ref="AB1705:AC1705"/>
    <mergeCell ref="Z1601:AA1601"/>
    <mergeCell ref="AB1550:AC1550"/>
    <mergeCell ref="AJ1658:AK1658"/>
    <mergeCell ref="Z1659:AA1659"/>
    <mergeCell ref="AE1613:AG1613"/>
    <mergeCell ref="AJ1477:AK1477"/>
    <mergeCell ref="AE1463:AG1463"/>
    <mergeCell ref="AJ1689:AK1689"/>
    <mergeCell ref="AE1706:AG1706"/>
    <mergeCell ref="AJ1676:AK1676"/>
    <mergeCell ref="AJ1670:AK1670"/>
    <mergeCell ref="AE1669:AG1669"/>
    <mergeCell ref="AB1448:AC1448"/>
    <mergeCell ref="AJ1519:AK1519"/>
    <mergeCell ref="AJ1503:AK1503"/>
    <mergeCell ref="AJ1491:AK1491"/>
    <mergeCell ref="AJ1437:AK1437"/>
    <mergeCell ref="AE1533:AG1533"/>
    <mergeCell ref="AJ1542:AK1542"/>
    <mergeCell ref="AE1444:AG1444"/>
    <mergeCell ref="AJ1729:AK1729"/>
    <mergeCell ref="AE1738:AG1738"/>
    <mergeCell ref="AJ1557:AK1557"/>
    <mergeCell ref="AJ1444:AK1444"/>
    <mergeCell ref="AE1458:AG1458"/>
    <mergeCell ref="AE1672:AG1672"/>
    <mergeCell ref="AE1688:AG1688"/>
    <mergeCell ref="AE1546:AG1546"/>
    <mergeCell ref="AE1658:AG1658"/>
    <mergeCell ref="AB1507:AC1507"/>
    <mergeCell ref="AB1558:AC1558"/>
    <mergeCell ref="AE1464:AG1464"/>
    <mergeCell ref="AE1452:AG1452"/>
    <mergeCell ref="AB1509:AC1509"/>
    <mergeCell ref="AJ1562:AK1562"/>
    <mergeCell ref="AJ1564:AK1564"/>
    <mergeCell ref="AJ1558:AK1558"/>
    <mergeCell ref="AE1437:AG1437"/>
    <mergeCell ref="AJ1441:AK1441"/>
    <mergeCell ref="AJ1442:AK1442"/>
    <mergeCell ref="AJ1445:AK1445"/>
    <mergeCell ref="AJ1463:AK1463"/>
    <mergeCell ref="AE1478:AG1478"/>
    <mergeCell ref="AB1716:AC1716"/>
    <mergeCell ref="AJ1402:AK1402"/>
    <mergeCell ref="AJ1544:AK1544"/>
    <mergeCell ref="AJ1546:AK1546"/>
    <mergeCell ref="AJ1552:AK1552"/>
    <mergeCell ref="AJ1524:AK1524"/>
    <mergeCell ref="AJ1525:AK1525"/>
    <mergeCell ref="AJ1757:AK1757"/>
    <mergeCell ref="AJ1701:AK1701"/>
    <mergeCell ref="AJ1703:AK1703"/>
    <mergeCell ref="AJ1642:AK1642"/>
    <mergeCell ref="AJ1418:AK1418"/>
    <mergeCell ref="AE1646:AG1646"/>
    <mergeCell ref="AJ1538:AK1538"/>
    <mergeCell ref="AJ1472:AK1472"/>
    <mergeCell ref="AJ1592:AK1592"/>
    <mergeCell ref="AJ1498:AK1498"/>
    <mergeCell ref="AE1531:AG1531"/>
    <mergeCell ref="AJ1450:AK1450"/>
    <mergeCell ref="AJ1431:AK1431"/>
    <mergeCell ref="AJ1725:AK1725"/>
    <mergeCell ref="AJ1692:AK1692"/>
    <mergeCell ref="AE1608:AG1608"/>
    <mergeCell ref="AJ1563:AK1563"/>
    <mergeCell ref="AJ1751:AK1751"/>
    <mergeCell ref="AE1435:AG1435"/>
    <mergeCell ref="AJ1432:AK1432"/>
    <mergeCell ref="AE1419:AG1419"/>
    <mergeCell ref="AJ1424:AK1424"/>
    <mergeCell ref="AJ1700:AK1700"/>
    <mergeCell ref="AE1754:AG1754"/>
    <mergeCell ref="AJ1624:AK1624"/>
    <mergeCell ref="AJ1560:AK1560"/>
    <mergeCell ref="AE1494:AG1494"/>
    <mergeCell ref="AJ1520:AK1520"/>
    <mergeCell ref="AE1536:AG1536"/>
    <mergeCell ref="AJ1502:AK1502"/>
    <mergeCell ref="AJ1438:AK1438"/>
    <mergeCell ref="AB1516:AC1516"/>
    <mergeCell ref="AJ1404:AK1404"/>
    <mergeCell ref="AE1396:AG1396"/>
    <mergeCell ref="AJ1721:AK1721"/>
    <mergeCell ref="AJ1612:AK1612"/>
    <mergeCell ref="AJ1802:AK1802"/>
    <mergeCell ref="AJ1754:AK1754"/>
    <mergeCell ref="AJ1758:AK1758"/>
    <mergeCell ref="AJ1634:AK1634"/>
    <mergeCell ref="AJ1698:AK1698"/>
    <mergeCell ref="AJ1622:AK1622"/>
    <mergeCell ref="AB1745:AC1745"/>
    <mergeCell ref="AJ1708:AK1708"/>
    <mergeCell ref="AJ1497:AK1497"/>
    <mergeCell ref="AJ1584:AK1584"/>
    <mergeCell ref="AJ1561:AK1561"/>
    <mergeCell ref="AE1598:AG1598"/>
    <mergeCell ref="AJ1709:AK1709"/>
    <mergeCell ref="AJ1788:AK1788"/>
    <mergeCell ref="AE1519:AG1519"/>
    <mergeCell ref="AJ1400:AK1400"/>
    <mergeCell ref="AJ1514:AK1514"/>
    <mergeCell ref="AJ1528:AK1528"/>
    <mergeCell ref="AJ1443:AK1443"/>
    <mergeCell ref="AJ1473:AK1473"/>
    <mergeCell ref="AJ1480:AK1480"/>
    <mergeCell ref="AJ1460:AK1460"/>
    <mergeCell ref="AJ1426:AK1426"/>
    <mergeCell ref="AB1546:AC1546"/>
    <mergeCell ref="AB1412:AC1412"/>
    <mergeCell ref="AB1687:AC1687"/>
    <mergeCell ref="AB1622:AC1622"/>
    <mergeCell ref="AJ1470:AK1470"/>
    <mergeCell ref="AE1767:AG1767"/>
    <mergeCell ref="AE1765:AG1765"/>
    <mergeCell ref="AE1656:AG1656"/>
    <mergeCell ref="AE1625:AG1625"/>
    <mergeCell ref="AJ1653:AK1653"/>
    <mergeCell ref="AE1578:AG1578"/>
    <mergeCell ref="AJ1677:AK1677"/>
    <mergeCell ref="AJ1474:AK1474"/>
    <mergeCell ref="AE1576:AG1576"/>
    <mergeCell ref="AB1637:AC1637"/>
    <mergeCell ref="AJ1508:AK1508"/>
    <mergeCell ref="AJ1449:AK1449"/>
    <mergeCell ref="AB1561:AC1561"/>
    <mergeCell ref="AB1688:AC1688"/>
    <mergeCell ref="AJ1582:AK1582"/>
    <mergeCell ref="AJ1593:AK1593"/>
    <mergeCell ref="AJ1669:AK1669"/>
    <mergeCell ref="AJ1675:AK1675"/>
    <mergeCell ref="AJ1648:AK1648"/>
    <mergeCell ref="AJ1697:AK1697"/>
    <mergeCell ref="AJ1647:AK1647"/>
    <mergeCell ref="AE1516:AG1516"/>
    <mergeCell ref="AJ1606:AK1606"/>
    <mergeCell ref="AJ1762:AK1762"/>
    <mergeCell ref="AJ1553:AK1553"/>
    <mergeCell ref="AE1537:AG1537"/>
    <mergeCell ref="AC1800:AF1800"/>
    <mergeCell ref="Z1673:AA1673"/>
    <mergeCell ref="AE1657:AG1657"/>
    <mergeCell ref="AE1643:AG1643"/>
    <mergeCell ref="Z1666:AA1666"/>
    <mergeCell ref="AB1642:AC1642"/>
    <mergeCell ref="Z1824:AG1824"/>
    <mergeCell ref="AB1569:AC1569"/>
    <mergeCell ref="AE1584:AG1584"/>
    <mergeCell ref="AE1602:AG1602"/>
    <mergeCell ref="AB1674:AC1674"/>
    <mergeCell ref="AJ1780:AK1780"/>
    <mergeCell ref="AJ1594:AK1594"/>
    <mergeCell ref="AJ1717:AK1717"/>
    <mergeCell ref="AB1680:AC1680"/>
    <mergeCell ref="AE1692:AG1692"/>
    <mergeCell ref="Z1701:AA1701"/>
    <mergeCell ref="AJ1789:AK1789"/>
    <mergeCell ref="AB1730:AC1730"/>
    <mergeCell ref="AE1764:AG1764"/>
    <mergeCell ref="AE1753:AG1753"/>
    <mergeCell ref="AE1728:AG1728"/>
    <mergeCell ref="AJ1643:AK1643"/>
    <mergeCell ref="AJ1696:AK1696"/>
    <mergeCell ref="AE1675:AG1675"/>
    <mergeCell ref="Z1721:AA1721"/>
    <mergeCell ref="AE1615:AG1615"/>
    <mergeCell ref="AJ1768:AK1768"/>
    <mergeCell ref="AJ1793:AK1793"/>
    <mergeCell ref="AJ1695:AK1695"/>
    <mergeCell ref="AB1650:AC1650"/>
    <mergeCell ref="AJ1785:AK1785"/>
    <mergeCell ref="AJ1466:AK1466"/>
    <mergeCell ref="AJ1492:AK1492"/>
    <mergeCell ref="AB1612:AC1612"/>
    <mergeCell ref="AE1718:AG1718"/>
    <mergeCell ref="AE1550:AG1550"/>
    <mergeCell ref="AE1640:AG1640"/>
    <mergeCell ref="AE1601:AG1601"/>
    <mergeCell ref="AE1684:AG1684"/>
    <mergeCell ref="AE1574:AG1574"/>
    <mergeCell ref="AE1612:AG1612"/>
    <mergeCell ref="AB1518:AC1518"/>
    <mergeCell ref="AB1559:AC1559"/>
    <mergeCell ref="AB1545:AC1545"/>
    <mergeCell ref="AE1475:AG1475"/>
    <mergeCell ref="Z1764:AA1764"/>
    <mergeCell ref="AJ1715:AK1715"/>
    <mergeCell ref="AJ1694:AK1694"/>
    <mergeCell ref="AB1764:AC1764"/>
    <mergeCell ref="AB1493:AC1493"/>
    <mergeCell ref="AJ1482:AK1482"/>
    <mergeCell ref="AJ1522:AK1522"/>
    <mergeCell ref="Z1548:AA1548"/>
    <mergeCell ref="AJ1636:AK1636"/>
    <mergeCell ref="AJ1764:AK1764"/>
    <mergeCell ref="AE1709:AG1709"/>
    <mergeCell ref="AJ1664:AK1664"/>
    <mergeCell ref="AJ1665:AK1665"/>
    <mergeCell ref="AB1702:AC1702"/>
    <mergeCell ref="AE1650:AG1650"/>
    <mergeCell ref="AE1661:AG1661"/>
    <mergeCell ref="Z1702:AA1702"/>
    <mergeCell ref="Z1709:AA1709"/>
    <mergeCell ref="AE1514:AG1514"/>
    <mergeCell ref="AB1495:AC1495"/>
    <mergeCell ref="AB1758:AC1758"/>
    <mergeCell ref="AE1637:AG1637"/>
    <mergeCell ref="AJ1516:AK1516"/>
    <mergeCell ref="AJ1598:AK1598"/>
    <mergeCell ref="AJ1609:AK1609"/>
    <mergeCell ref="AJ1614:AK1614"/>
    <mergeCell ref="AJ1608:AK1608"/>
    <mergeCell ref="Z1647:AA1647"/>
    <mergeCell ref="AE1638:AG1638"/>
    <mergeCell ref="AE1649:AG1649"/>
    <mergeCell ref="Z1654:AA1654"/>
    <mergeCell ref="Z1634:AA1634"/>
    <mergeCell ref="Z1746:AA1746"/>
    <mergeCell ref="AJ1639:AK1639"/>
    <mergeCell ref="AJ1684:AK1684"/>
    <mergeCell ref="Z1755:AA1755"/>
    <mergeCell ref="AB1639:AC1639"/>
    <mergeCell ref="AE1565:AG1565"/>
    <mergeCell ref="AB1551:AC1551"/>
    <mergeCell ref="AB1522:AC1522"/>
    <mergeCell ref="AJ1530:AK1530"/>
    <mergeCell ref="AE1543:AG1543"/>
    <mergeCell ref="AB1753:AC1753"/>
    <mergeCell ref="AE1580:AG1580"/>
    <mergeCell ref="Z1557:AA1557"/>
    <mergeCell ref="AE1507:AG1507"/>
    <mergeCell ref="AJ1539:AK1539"/>
    <mergeCell ref="AJ1500:AK1500"/>
    <mergeCell ref="Z1572:AA1572"/>
    <mergeCell ref="AB1604:AC1604"/>
    <mergeCell ref="Z1754:AA1754"/>
    <mergeCell ref="Z1567:AA1567"/>
    <mergeCell ref="AB1714:AC1714"/>
    <mergeCell ref="Z1624:AA1624"/>
    <mergeCell ref="AB1623:AC1623"/>
    <mergeCell ref="Z1703:AA1703"/>
    <mergeCell ref="Z1761:AA1761"/>
    <mergeCell ref="AB1724:AC1724"/>
    <mergeCell ref="AE1539:AG1539"/>
    <mergeCell ref="AE1740:AG1740"/>
    <mergeCell ref="AB1583:AC1583"/>
    <mergeCell ref="Z1452:AA1452"/>
    <mergeCell ref="Z1610:AA1610"/>
    <mergeCell ref="Z1676:AA1676"/>
    <mergeCell ref="Z1537:AA1537"/>
    <mergeCell ref="AE1528:AG1528"/>
    <mergeCell ref="Z1510:AA1510"/>
    <mergeCell ref="Z1622:AA1622"/>
    <mergeCell ref="Z1650:AA1650"/>
    <mergeCell ref="Z1569:AA1569"/>
    <mergeCell ref="AE1517:AG1517"/>
    <mergeCell ref="AE1750:AG1750"/>
    <mergeCell ref="AE1725:AG1725"/>
    <mergeCell ref="AB1727:AC1727"/>
    <mergeCell ref="AE1752:AG1752"/>
    <mergeCell ref="AB1458:AC1458"/>
    <mergeCell ref="Z1531:AA1531"/>
    <mergeCell ref="Z1508:AA1508"/>
    <mergeCell ref="AB1476:AC1476"/>
    <mergeCell ref="AB1487:AC1487"/>
    <mergeCell ref="AE1495:AG1495"/>
    <mergeCell ref="Z1533:AA1533"/>
    <mergeCell ref="AE1773:AG1773"/>
    <mergeCell ref="M1203:R1203"/>
    <mergeCell ref="M1195:R1195"/>
    <mergeCell ref="A1432:G1432"/>
    <mergeCell ref="K1602:L1602"/>
    <mergeCell ref="M1718:R1718"/>
    <mergeCell ref="C1775:D1775"/>
    <mergeCell ref="M1433:R1433"/>
    <mergeCell ref="M1484:R1484"/>
    <mergeCell ref="K1454:L1454"/>
    <mergeCell ref="K1369:L1369"/>
    <mergeCell ref="K1433:L1433"/>
    <mergeCell ref="A1213:G1213"/>
    <mergeCell ref="A1245:G1245"/>
    <mergeCell ref="AB1405:AC1405"/>
    <mergeCell ref="AB1610:AC1610"/>
    <mergeCell ref="AB1692:AC1692"/>
    <mergeCell ref="AB1447:AC1447"/>
    <mergeCell ref="AB1387:AC1387"/>
    <mergeCell ref="AB1577:AC1577"/>
    <mergeCell ref="AB1529:AC1529"/>
    <mergeCell ref="AB1596:AC1596"/>
    <mergeCell ref="Z1597:AA1597"/>
    <mergeCell ref="Z1765:AA1765"/>
    <mergeCell ref="AB1703:AC1703"/>
    <mergeCell ref="AB1556:AC1556"/>
    <mergeCell ref="Z1722:AA1722"/>
    <mergeCell ref="Z1737:AA1737"/>
    <mergeCell ref="AB1456:AC1456"/>
    <mergeCell ref="Z1403:AA1403"/>
    <mergeCell ref="AB1647:AC1647"/>
    <mergeCell ref="Z1711:AA1711"/>
    <mergeCell ref="AB1396:AC1396"/>
    <mergeCell ref="Z1489:AA1489"/>
    <mergeCell ref="AB1497:AC1497"/>
    <mergeCell ref="AB1611:AC1611"/>
    <mergeCell ref="AB1663:AC1663"/>
    <mergeCell ref="M1305:R1305"/>
    <mergeCell ref="K1323:L1323"/>
    <mergeCell ref="K1317:L1317"/>
    <mergeCell ref="R1420:U1420"/>
    <mergeCell ref="AB1718:AC1718"/>
    <mergeCell ref="AB1719:AC1719"/>
    <mergeCell ref="Z1526:AA1526"/>
    <mergeCell ref="Z1566:AA1566"/>
    <mergeCell ref="AB1485:AC1485"/>
    <mergeCell ref="Z1573:AA1573"/>
    <mergeCell ref="Z1560:AA1560"/>
    <mergeCell ref="M1748:R1748"/>
    <mergeCell ref="Z1686:AA1686"/>
    <mergeCell ref="Z1681:AA1681"/>
    <mergeCell ref="AB1402:AC1402"/>
    <mergeCell ref="Z1689:AA1689"/>
    <mergeCell ref="AB1678:AC1678"/>
    <mergeCell ref="AB1693:AC1693"/>
    <mergeCell ref="M1379:R1379"/>
    <mergeCell ref="M1311:R1311"/>
    <mergeCell ref="K1382:L1382"/>
    <mergeCell ref="Z1699:AA1699"/>
    <mergeCell ref="Z1528:AA1528"/>
    <mergeCell ref="Z1464:AA1464"/>
    <mergeCell ref="Z1493:AA1493"/>
    <mergeCell ref="AB1488:AC1488"/>
    <mergeCell ref="AB1479:AC1479"/>
    <mergeCell ref="B1785:D1785"/>
    <mergeCell ref="A1477:G1477"/>
    <mergeCell ref="A1308:G1308"/>
    <mergeCell ref="A1343:G1343"/>
    <mergeCell ref="M1523:R1523"/>
    <mergeCell ref="A1251:G1251"/>
    <mergeCell ref="M1158:R1158"/>
    <mergeCell ref="K1076:L1076"/>
    <mergeCell ref="K1654:L1654"/>
    <mergeCell ref="R1425:U1425"/>
    <mergeCell ref="M1287:R1287"/>
    <mergeCell ref="Z1641:AA1641"/>
    <mergeCell ref="Z1651:AA1651"/>
    <mergeCell ref="AB1593:AC1593"/>
    <mergeCell ref="Z1586:AA1586"/>
    <mergeCell ref="AE1735:AG1735"/>
    <mergeCell ref="A1232:G1232"/>
    <mergeCell ref="A1355:G1355"/>
    <mergeCell ref="A1372:G1372"/>
    <mergeCell ref="A1614:G1614"/>
    <mergeCell ref="E1778:F1778"/>
    <mergeCell ref="R1453:U1453"/>
    <mergeCell ref="K1650:L1650"/>
    <mergeCell ref="K1174:L1174"/>
    <mergeCell ref="AB1394:AC1394"/>
    <mergeCell ref="AB1520:AC1520"/>
    <mergeCell ref="AB1392:AC1392"/>
    <mergeCell ref="Z1424:AA1424"/>
    <mergeCell ref="Z1439:AA1439"/>
    <mergeCell ref="AB1511:AC1511"/>
    <mergeCell ref="Z1503:AA1503"/>
    <mergeCell ref="Z1488:AA1488"/>
    <mergeCell ref="K1198:L1198"/>
    <mergeCell ref="K1233:L1233"/>
    <mergeCell ref="A1259:G1259"/>
    <mergeCell ref="K1766:L1766"/>
    <mergeCell ref="A1325:G1325"/>
    <mergeCell ref="A1386:G1386"/>
    <mergeCell ref="A1389:G1389"/>
    <mergeCell ref="M1563:R1563"/>
    <mergeCell ref="A1410:G1410"/>
    <mergeCell ref="K1469:L1469"/>
    <mergeCell ref="M1500:R1500"/>
    <mergeCell ref="M1322:R1322"/>
    <mergeCell ref="M1288:R1288"/>
    <mergeCell ref="M1279:R1279"/>
    <mergeCell ref="K1523:L1523"/>
    <mergeCell ref="A1401:G1401"/>
    <mergeCell ref="M1298:R1298"/>
    <mergeCell ref="K1421:L1421"/>
    <mergeCell ref="K1411:L1411"/>
    <mergeCell ref="K1228:L1228"/>
    <mergeCell ref="M1206:R1206"/>
    <mergeCell ref="A1205:G1205"/>
    <mergeCell ref="K1243:L1243"/>
    <mergeCell ref="M1266:R1266"/>
    <mergeCell ref="M1239:R1239"/>
    <mergeCell ref="M1257:R1257"/>
    <mergeCell ref="M1711:R1711"/>
    <mergeCell ref="M1310:R1310"/>
    <mergeCell ref="M1347:R1347"/>
    <mergeCell ref="K1344:L1344"/>
    <mergeCell ref="K1565:L1565"/>
    <mergeCell ref="K1526:L1526"/>
    <mergeCell ref="A1518:G1518"/>
    <mergeCell ref="A1495:G1495"/>
    <mergeCell ref="R1417:U1417"/>
    <mergeCell ref="A1392:G1392"/>
    <mergeCell ref="K1748:L1748"/>
    <mergeCell ref="A1268:G1268"/>
    <mergeCell ref="K1240:L1240"/>
    <mergeCell ref="K1594:L1594"/>
    <mergeCell ref="A1570:G1570"/>
    <mergeCell ref="K1288:L1288"/>
    <mergeCell ref="K1284:L1284"/>
    <mergeCell ref="M1276:R1276"/>
    <mergeCell ref="A1238:G1238"/>
    <mergeCell ref="M1544:R1544"/>
    <mergeCell ref="M1574:R1574"/>
    <mergeCell ref="M1601:R1601"/>
    <mergeCell ref="A1330:G1330"/>
    <mergeCell ref="M1280:R1280"/>
    <mergeCell ref="Q1561:V1561"/>
    <mergeCell ref="K1304:L1304"/>
    <mergeCell ref="K1314:L1314"/>
    <mergeCell ref="K1546:L1546"/>
    <mergeCell ref="M1536:R1536"/>
    <mergeCell ref="K1249:L1249"/>
    <mergeCell ref="K1266:L1266"/>
    <mergeCell ref="A1294:G1294"/>
    <mergeCell ref="A1278:G1278"/>
    <mergeCell ref="A1316:G1316"/>
    <mergeCell ref="K1422:L1422"/>
    <mergeCell ref="M1422:R1422"/>
    <mergeCell ref="N1782:U1782"/>
    <mergeCell ref="M1653:R1653"/>
    <mergeCell ref="M1456:R1456"/>
    <mergeCell ref="M1370:R1370"/>
    <mergeCell ref="M1323:R1323"/>
    <mergeCell ref="A1271:G1271"/>
    <mergeCell ref="M1368:R1368"/>
    <mergeCell ref="K1321:L1321"/>
    <mergeCell ref="K1359:L1359"/>
    <mergeCell ref="M1318:R1318"/>
    <mergeCell ref="A1282:G1282"/>
    <mergeCell ref="A1361:G1361"/>
    <mergeCell ref="A1503:G1503"/>
    <mergeCell ref="K1537:L1537"/>
    <mergeCell ref="M1527:R1527"/>
    <mergeCell ref="M1214:R1214"/>
    <mergeCell ref="K1306:L1306"/>
    <mergeCell ref="R1593:U1593"/>
    <mergeCell ref="K1504:L1504"/>
    <mergeCell ref="K1331:L1331"/>
    <mergeCell ref="K1311:L1311"/>
    <mergeCell ref="R1352:U1352"/>
    <mergeCell ref="M1353:R1353"/>
    <mergeCell ref="A1413:G1413"/>
    <mergeCell ref="A1539:G1539"/>
    <mergeCell ref="A1447:G1447"/>
    <mergeCell ref="K1276:L1276"/>
    <mergeCell ref="K1451:L1451"/>
    <mergeCell ref="K1512:L1512"/>
    <mergeCell ref="K1622:L1622"/>
    <mergeCell ref="K1608:L1608"/>
    <mergeCell ref="K1653:L1653"/>
    <mergeCell ref="M1568:R1568"/>
    <mergeCell ref="R1361:U1361"/>
    <mergeCell ref="K1659:L1659"/>
    <mergeCell ref="A1551:G1551"/>
    <mergeCell ref="B1783:D1783"/>
    <mergeCell ref="A1735:G1735"/>
    <mergeCell ref="A1286:G1286"/>
    <mergeCell ref="K1272:L1272"/>
    <mergeCell ref="M1221:R1221"/>
    <mergeCell ref="Q1099:V1099"/>
    <mergeCell ref="A1000:G1000"/>
    <mergeCell ref="A1051:G1051"/>
    <mergeCell ref="M1151:R1151"/>
    <mergeCell ref="R1167:U1167"/>
    <mergeCell ref="M1130:R1130"/>
    <mergeCell ref="K1162:L1162"/>
    <mergeCell ref="A1100:E1100"/>
    <mergeCell ref="A1208:G1208"/>
    <mergeCell ref="A1242:G1242"/>
    <mergeCell ref="A1173:G1173"/>
    <mergeCell ref="M1186:R1186"/>
    <mergeCell ref="M1249:R1249"/>
    <mergeCell ref="M1260:R1260"/>
    <mergeCell ref="K1253:L1253"/>
    <mergeCell ref="K1189:L1189"/>
    <mergeCell ref="A1191:G1191"/>
    <mergeCell ref="M1246:R1246"/>
    <mergeCell ref="A1148:G1148"/>
    <mergeCell ref="K1199:L1199"/>
    <mergeCell ref="M1175:R1175"/>
    <mergeCell ref="K1236:L1236"/>
    <mergeCell ref="K1639:L1639"/>
    <mergeCell ref="A579:G579"/>
    <mergeCell ref="R471:U471"/>
    <mergeCell ref="A1404:G1404"/>
    <mergeCell ref="M1459:R1459"/>
    <mergeCell ref="A921:G921"/>
    <mergeCell ref="K1033:L1033"/>
    <mergeCell ref="M1043:R1043"/>
    <mergeCell ref="A964:G964"/>
    <mergeCell ref="K1055:L1055"/>
    <mergeCell ref="K1023:L1023"/>
    <mergeCell ref="A925:G925"/>
    <mergeCell ref="K945:L945"/>
    <mergeCell ref="K976:L976"/>
    <mergeCell ref="R964:U964"/>
    <mergeCell ref="A929:G929"/>
    <mergeCell ref="A1035:G1035"/>
    <mergeCell ref="A1188:G1188"/>
    <mergeCell ref="M1182:R1182"/>
    <mergeCell ref="M1117:R1117"/>
    <mergeCell ref="K1296:L1296"/>
    <mergeCell ref="Q1357:V1357"/>
    <mergeCell ref="M1373:R1373"/>
    <mergeCell ref="K1456:L1456"/>
    <mergeCell ref="K1387:L1387"/>
    <mergeCell ref="M1181:R1181"/>
    <mergeCell ref="A1440:G1440"/>
    <mergeCell ref="K1182:L1182"/>
    <mergeCell ref="K965:L965"/>
    <mergeCell ref="A1156:G1156"/>
    <mergeCell ref="A1112:G1112"/>
    <mergeCell ref="K1230:L1230"/>
    <mergeCell ref="K1150:L1150"/>
    <mergeCell ref="K1009:L1009"/>
    <mergeCell ref="M1127:R1127"/>
    <mergeCell ref="M1019:R1019"/>
    <mergeCell ref="M1185:R1185"/>
    <mergeCell ref="K1117:L1117"/>
    <mergeCell ref="A1167:G1167"/>
    <mergeCell ref="M1120:R1120"/>
    <mergeCell ref="M1137:R1137"/>
    <mergeCell ref="K1170:L1170"/>
    <mergeCell ref="K1061:L1061"/>
    <mergeCell ref="K1079:L1079"/>
    <mergeCell ref="K1181:L1181"/>
    <mergeCell ref="K1094:L1094"/>
    <mergeCell ref="A987:G987"/>
    <mergeCell ref="K961:L961"/>
    <mergeCell ref="K980:L980"/>
    <mergeCell ref="K973:L973"/>
    <mergeCell ref="M1016:N1016"/>
    <mergeCell ref="K1146:L1146"/>
    <mergeCell ref="K1154:L1154"/>
    <mergeCell ref="K995:L995"/>
    <mergeCell ref="M1113:R1113"/>
    <mergeCell ref="A1164:G1164"/>
    <mergeCell ref="K1004:L1004"/>
    <mergeCell ref="M1004:R1004"/>
    <mergeCell ref="A943:G943"/>
    <mergeCell ref="A1022:G1022"/>
    <mergeCell ref="R943:U943"/>
    <mergeCell ref="M1025:R1025"/>
    <mergeCell ref="A1115:G1115"/>
    <mergeCell ref="A1007:G1007"/>
    <mergeCell ref="K1039:L1039"/>
    <mergeCell ref="A1003:G1003"/>
    <mergeCell ref="A1141:G1141"/>
    <mergeCell ref="M1072:R1072"/>
    <mergeCell ref="K1168:L1168"/>
    <mergeCell ref="K1120:L1120"/>
    <mergeCell ref="K1072:L1072"/>
    <mergeCell ref="A1075:G1075"/>
    <mergeCell ref="Q1044:V1044"/>
    <mergeCell ref="K1106:L1106"/>
    <mergeCell ref="M1131:R1131"/>
    <mergeCell ref="K1107:L1107"/>
    <mergeCell ref="K994:L994"/>
    <mergeCell ref="K1014:L1014"/>
    <mergeCell ref="K1020:L1020"/>
    <mergeCell ref="A1109:G1109"/>
    <mergeCell ref="M1079:R1079"/>
    <mergeCell ref="A1038:G1038"/>
    <mergeCell ref="K996:L996"/>
    <mergeCell ref="A1078:G1078"/>
    <mergeCell ref="K1134:L1134"/>
    <mergeCell ref="K1137:L1137"/>
    <mergeCell ref="M1146:R1146"/>
    <mergeCell ref="K1135:L1135"/>
    <mergeCell ref="K1085:L1085"/>
    <mergeCell ref="M1085:R1085"/>
    <mergeCell ref="K955:L955"/>
    <mergeCell ref="K1024:L1024"/>
    <mergeCell ref="A1054:G1054"/>
    <mergeCell ref="K1043:L1043"/>
    <mergeCell ref="A1124:G1124"/>
    <mergeCell ref="A1031:G1031"/>
    <mergeCell ref="A1057:G1057"/>
    <mergeCell ref="M1139:R1139"/>
    <mergeCell ref="K1093:L1093"/>
    <mergeCell ref="M1116:R1116"/>
    <mergeCell ref="A1071:G1071"/>
    <mergeCell ref="J1044:L1044"/>
    <mergeCell ref="M1201:R1201"/>
    <mergeCell ref="M1134:R1134"/>
    <mergeCell ref="M1138:R1138"/>
    <mergeCell ref="K1138:L1138"/>
    <mergeCell ref="K1209:L1209"/>
    <mergeCell ref="K1157:L1157"/>
    <mergeCell ref="K1151:L1151"/>
    <mergeCell ref="K1171:L1171"/>
    <mergeCell ref="K1082:L1082"/>
    <mergeCell ref="M1107:R1107"/>
    <mergeCell ref="M1094:R1094"/>
    <mergeCell ref="M1168:R1168"/>
    <mergeCell ref="A1011:G1011"/>
    <mergeCell ref="A1042:G1042"/>
    <mergeCell ref="M1157:R1157"/>
    <mergeCell ref="M1169:R1169"/>
    <mergeCell ref="M1024:R1024"/>
    <mergeCell ref="A957:G957"/>
    <mergeCell ref="A1194:G1194"/>
    <mergeCell ref="K970:L970"/>
    <mergeCell ref="K933:L933"/>
    <mergeCell ref="M1209:R1209"/>
    <mergeCell ref="M1143:R1143"/>
    <mergeCell ref="A916:G916"/>
    <mergeCell ref="A1129:G1129"/>
    <mergeCell ref="K1018:L1018"/>
    <mergeCell ref="M1018:R1018"/>
    <mergeCell ref="A969:G969"/>
    <mergeCell ref="M1126:R1126"/>
    <mergeCell ref="M1055:R1055"/>
    <mergeCell ref="K1047:L1047"/>
    <mergeCell ref="Q1098:V1098"/>
    <mergeCell ref="K1029:L1029"/>
    <mergeCell ref="K1028:L1028"/>
    <mergeCell ref="M1028:R1028"/>
    <mergeCell ref="A1227:G1227"/>
    <mergeCell ref="K1065:L1065"/>
    <mergeCell ref="Q1179:V1179"/>
    <mergeCell ref="K1192:L1192"/>
    <mergeCell ref="M960:R960"/>
    <mergeCell ref="A1220:G1220"/>
    <mergeCell ref="A1153:G1153"/>
    <mergeCell ref="R1075:U1075"/>
    <mergeCell ref="M1135:R1135"/>
    <mergeCell ref="K939:L939"/>
    <mergeCell ref="K923:L923"/>
    <mergeCell ref="M980:R980"/>
    <mergeCell ref="K1013:L1013"/>
    <mergeCell ref="K1064:L1064"/>
    <mergeCell ref="K1066:L1066"/>
    <mergeCell ref="A950:G950"/>
    <mergeCell ref="A1017:G1017"/>
    <mergeCell ref="A1084:G1084"/>
    <mergeCell ref="A1088:G1088"/>
    <mergeCell ref="M1014:R1014"/>
    <mergeCell ref="M1061:R1061"/>
    <mergeCell ref="A1096:G1096"/>
    <mergeCell ref="A975:G975"/>
    <mergeCell ref="K1144:L1144"/>
    <mergeCell ref="K1225:L1225"/>
    <mergeCell ref="A1177:G1177"/>
    <mergeCell ref="A1180:G1180"/>
    <mergeCell ref="K1673:L1673"/>
    <mergeCell ref="K1229:L1229"/>
    <mergeCell ref="M1210:R1210"/>
    <mergeCell ref="M1256:R1256"/>
    <mergeCell ref="A1184:G1184"/>
    <mergeCell ref="A1092:G1092"/>
    <mergeCell ref="M1211:R1211"/>
    <mergeCell ref="A1275:G1275"/>
    <mergeCell ref="K1377:L1377"/>
    <mergeCell ref="K1201:L1201"/>
    <mergeCell ref="A1489:G1489"/>
    <mergeCell ref="K1481:L1481"/>
    <mergeCell ref="M1490:R1490"/>
    <mergeCell ref="M1585:R1585"/>
    <mergeCell ref="M1552:R1552"/>
    <mergeCell ref="A1558:G1558"/>
    <mergeCell ref="A1223:G1223"/>
    <mergeCell ref="K1475:L1475"/>
    <mergeCell ref="M1475:R1475"/>
    <mergeCell ref="A1235:G1235"/>
    <mergeCell ref="M1015:R1015"/>
    <mergeCell ref="K1224:L1224"/>
    <mergeCell ref="J1212:L1212"/>
    <mergeCell ref="K1634:L1634"/>
    <mergeCell ref="K1788:L1788"/>
    <mergeCell ref="K1136:L1136"/>
    <mergeCell ref="A1729:G1729"/>
    <mergeCell ref="A1303:G1303"/>
    <mergeCell ref="M1344:R1344"/>
    <mergeCell ref="A1255:G1255"/>
    <mergeCell ref="A1329:E1329"/>
    <mergeCell ref="K1508:L1508"/>
    <mergeCell ref="A873:G873"/>
    <mergeCell ref="A900:G900"/>
    <mergeCell ref="K1086:L1086"/>
    <mergeCell ref="K1305:L1305"/>
    <mergeCell ref="A909:G909"/>
    <mergeCell ref="M1150:R1150"/>
    <mergeCell ref="A936:G936"/>
    <mergeCell ref="K962:L962"/>
    <mergeCell ref="M1069:R1069"/>
    <mergeCell ref="K906:L906"/>
    <mergeCell ref="M1009:R1009"/>
    <mergeCell ref="M930:R930"/>
    <mergeCell ref="M958:R958"/>
    <mergeCell ref="M985:R985"/>
    <mergeCell ref="K1283:L1283"/>
    <mergeCell ref="A1248:G1248"/>
    <mergeCell ref="K1143:L1143"/>
    <mergeCell ref="M1058:R1058"/>
    <mergeCell ref="A1262:G1262"/>
    <mergeCell ref="K1046:L1046"/>
    <mergeCell ref="K981:L981"/>
    <mergeCell ref="A1133:G1133"/>
    <mergeCell ref="K1210:L1210"/>
    <mergeCell ref="K1206:L1206"/>
    <mergeCell ref="Z1359:AA1359"/>
    <mergeCell ref="Q1471:V1471"/>
    <mergeCell ref="A1425:G1425"/>
    <mergeCell ref="A1486:G1486"/>
    <mergeCell ref="K1203:L1203"/>
    <mergeCell ref="K1131:L1131"/>
    <mergeCell ref="M1097:R1097"/>
    <mergeCell ref="M1121:R1121"/>
    <mergeCell ref="M1297:R1297"/>
    <mergeCell ref="R1435:U1435"/>
    <mergeCell ref="R1596:U1596"/>
    <mergeCell ref="M1396:R1396"/>
    <mergeCell ref="M1145:R1145"/>
    <mergeCell ref="K1291:L1291"/>
    <mergeCell ref="K1263:L1263"/>
    <mergeCell ref="K1310:L1310"/>
    <mergeCell ref="A1340:G1340"/>
    <mergeCell ref="M1199:R1199"/>
    <mergeCell ref="A1381:G1381"/>
    <mergeCell ref="A1453:G1453"/>
    <mergeCell ref="A1435:G1435"/>
    <mergeCell ref="A1428:G1428"/>
    <mergeCell ref="A1395:G1395"/>
    <mergeCell ref="A1450:G1450"/>
    <mergeCell ref="K1484:L1484"/>
    <mergeCell ref="N1384:O1384"/>
    <mergeCell ref="J1354:L1354"/>
    <mergeCell ref="A1119:G1119"/>
    <mergeCell ref="K1186:L1186"/>
    <mergeCell ref="K1287:L1287"/>
    <mergeCell ref="A984:G984"/>
    <mergeCell ref="A978:G978"/>
    <mergeCell ref="A1063:G1063"/>
    <mergeCell ref="M923:R923"/>
    <mergeCell ref="K993:L993"/>
    <mergeCell ref="M1329:O1329"/>
    <mergeCell ref="Z1476:AA1476"/>
    <mergeCell ref="Z1499:AA1499"/>
    <mergeCell ref="K1353:L1353"/>
    <mergeCell ref="K1544:L1544"/>
    <mergeCell ref="K1322:L1322"/>
    <mergeCell ref="K1149:L1149"/>
    <mergeCell ref="K1116:L1116"/>
    <mergeCell ref="K1292:L1292"/>
    <mergeCell ref="K944:L944"/>
    <mergeCell ref="J991:L991"/>
    <mergeCell ref="K951:L951"/>
    <mergeCell ref="A972:G972"/>
    <mergeCell ref="M1252:R1252"/>
    <mergeCell ref="A1197:G1197"/>
    <mergeCell ref="P1100:U1100"/>
    <mergeCell ref="A932:G932"/>
    <mergeCell ref="K941:L941"/>
    <mergeCell ref="K960:L960"/>
    <mergeCell ref="K940:L940"/>
    <mergeCell ref="M1496:R1496"/>
    <mergeCell ref="A1443:G1443"/>
    <mergeCell ref="K1246:L1246"/>
    <mergeCell ref="Z1263:AA1263"/>
    <mergeCell ref="Q1083:V1083"/>
    <mergeCell ref="M1083:N1083"/>
    <mergeCell ref="M1478:R1478"/>
    <mergeCell ref="AE1733:AG1733"/>
    <mergeCell ref="Z1516:AA1516"/>
    <mergeCell ref="AE1402:AG1402"/>
    <mergeCell ref="Z1383:AA1383"/>
    <mergeCell ref="AB1740:AC1740"/>
    <mergeCell ref="AE1616:AG1616"/>
    <mergeCell ref="M1704:R1704"/>
    <mergeCell ref="A1706:G1706"/>
    <mergeCell ref="K1715:L1715"/>
    <mergeCell ref="M1677:R1677"/>
    <mergeCell ref="K1643:L1643"/>
    <mergeCell ref="N1612:O1612"/>
    <mergeCell ref="K1769:L1769"/>
    <mergeCell ref="Z1517:AA1517"/>
    <mergeCell ref="Z1515:AA1515"/>
    <mergeCell ref="K1221:L1221"/>
    <mergeCell ref="A1027:G1027"/>
    <mergeCell ref="M1681:R1681"/>
    <mergeCell ref="A1605:G1605"/>
    <mergeCell ref="K1763:L1763"/>
    <mergeCell ref="A1337:G1337"/>
    <mergeCell ref="J1319:L1319"/>
    <mergeCell ref="K1297:L1297"/>
    <mergeCell ref="K1178:L1178"/>
    <mergeCell ref="K1121:L1121"/>
    <mergeCell ref="K1214:L1214"/>
    <mergeCell ref="K1200:L1200"/>
    <mergeCell ref="Z1276:AA1276"/>
    <mergeCell ref="Z1239:AA1239"/>
    <mergeCell ref="Z1368:AA1368"/>
    <mergeCell ref="Z1546:AA1546"/>
    <mergeCell ref="M1444:R1444"/>
    <mergeCell ref="Z1813:AG1813"/>
    <mergeCell ref="AE1567:AG1567"/>
    <mergeCell ref="AB1676:AC1676"/>
    <mergeCell ref="AE1743:AG1743"/>
    <mergeCell ref="Z1498:AA1498"/>
    <mergeCell ref="AE1715:AG1715"/>
    <mergeCell ref="K1363:L1363"/>
    <mergeCell ref="A1548:G1548"/>
    <mergeCell ref="A1543:G1543"/>
    <mergeCell ref="A1567:G1567"/>
    <mergeCell ref="AE1734:AG1734"/>
    <mergeCell ref="Q1698:V1698"/>
    <mergeCell ref="AB1572:AC1572"/>
    <mergeCell ref="K1751:L1751"/>
    <mergeCell ref="Z1545:AA1545"/>
    <mergeCell ref="Z1551:AA1551"/>
    <mergeCell ref="Z1565:AA1565"/>
    <mergeCell ref="R1440:U1440"/>
    <mergeCell ref="M1438:R1438"/>
    <mergeCell ref="K1423:L1423"/>
    <mergeCell ref="K1745:L1745"/>
    <mergeCell ref="Z1433:AA1433"/>
    <mergeCell ref="Z1446:AA1446"/>
    <mergeCell ref="A1599:G1599"/>
    <mergeCell ref="K1496:L1496"/>
    <mergeCell ref="K1376:L1376"/>
    <mergeCell ref="A1525:G1525"/>
    <mergeCell ref="A1417:G1417"/>
    <mergeCell ref="Z1463:AA1463"/>
    <mergeCell ref="B1804:I1804"/>
    <mergeCell ref="A1633:G1633"/>
    <mergeCell ref="A1713:G1713"/>
    <mergeCell ref="Z1803:AE1803"/>
    <mergeCell ref="AE1605:AG1605"/>
    <mergeCell ref="Z1783:AF1783"/>
    <mergeCell ref="Z1714:AA1714"/>
    <mergeCell ref="AE1716:AG1716"/>
    <mergeCell ref="AE1626:AG1626"/>
    <mergeCell ref="AE1641:AG1641"/>
    <mergeCell ref="Z1706:AA1706"/>
    <mergeCell ref="Z1694:AA1694"/>
    <mergeCell ref="AE1768:AG1768"/>
    <mergeCell ref="AB1618:AC1618"/>
    <mergeCell ref="AB1621:AC1621"/>
    <mergeCell ref="AB1620:AC1620"/>
    <mergeCell ref="AB1638:AC1638"/>
    <mergeCell ref="AB1504:AC1504"/>
    <mergeCell ref="A1320:G1320"/>
    <mergeCell ref="Z1772:AA1772"/>
    <mergeCell ref="AB1755:AC1755"/>
    <mergeCell ref="AB1763:AC1763"/>
    <mergeCell ref="Z1720:AA1720"/>
    <mergeCell ref="A1671:G1671"/>
    <mergeCell ref="AE1376:AG1376"/>
    <mergeCell ref="AE1373:AG1373"/>
    <mergeCell ref="Z1724:AA1724"/>
    <mergeCell ref="Z1789:AD1789"/>
    <mergeCell ref="K1332:L1332"/>
    <mergeCell ref="Z1735:AA1735"/>
    <mergeCell ref="AE1759:AG1759"/>
    <mergeCell ref="Z1792:AC1792"/>
    <mergeCell ref="Z1766:AA1766"/>
    <mergeCell ref="AC1802:AF1802"/>
    <mergeCell ref="Z1775:AA1775"/>
    <mergeCell ref="AB1492:AC1492"/>
    <mergeCell ref="M1546:R1546"/>
    <mergeCell ref="Z1738:AA1738"/>
    <mergeCell ref="Z1759:AA1759"/>
    <mergeCell ref="AB1735:AC1735"/>
    <mergeCell ref="AE1736:AG1736"/>
    <mergeCell ref="AB1606:AC1606"/>
    <mergeCell ref="AE1693:AG1693"/>
    <mergeCell ref="Z1616:AA1616"/>
    <mergeCell ref="AE1614:AG1614"/>
    <mergeCell ref="AE1723:AG1723"/>
    <mergeCell ref="M1754:R1754"/>
    <mergeCell ref="M1522:R1522"/>
    <mergeCell ref="M1508:R1508"/>
    <mergeCell ref="M1564:R1564"/>
    <mergeCell ref="Q1712:V1712"/>
    <mergeCell ref="Z1734:AA1734"/>
    <mergeCell ref="Z1750:AA1750"/>
    <mergeCell ref="AB1750:AC1750"/>
    <mergeCell ref="AE1737:AG1737"/>
    <mergeCell ref="AB1595:AC1595"/>
    <mergeCell ref="AB1646:AC1646"/>
    <mergeCell ref="AE1635:AG1635"/>
    <mergeCell ref="AB1715:AC1715"/>
    <mergeCell ref="AB1757:AC1757"/>
    <mergeCell ref="AB1704:AC1704"/>
    <mergeCell ref="AE1683:AG1683"/>
    <mergeCell ref="Z1693:AA1693"/>
    <mergeCell ref="AB1722:AC1722"/>
    <mergeCell ref="AB1712:AC1712"/>
    <mergeCell ref="AE1696:AG1696"/>
    <mergeCell ref="Z1728:AA1728"/>
    <mergeCell ref="AJ1513:AK1513"/>
    <mergeCell ref="AJ1659:AK1659"/>
    <mergeCell ref="AJ1673:AK1673"/>
    <mergeCell ref="AJ1794:AK1794"/>
    <mergeCell ref="AJ1687:AK1687"/>
    <mergeCell ref="AJ1641:AK1641"/>
    <mergeCell ref="AJ1693:AK1693"/>
    <mergeCell ref="AJ1712:AK1712"/>
    <mergeCell ref="AJ1517:AK1517"/>
    <mergeCell ref="AJ1452:AK1452"/>
    <mergeCell ref="AJ1446:AK1446"/>
    <mergeCell ref="AJ1555:AK1555"/>
    <mergeCell ref="AJ1591:AK1591"/>
    <mergeCell ref="AB1464:AC1464"/>
    <mergeCell ref="AE1763:AG1763"/>
    <mergeCell ref="Z1468:AA1468"/>
    <mergeCell ref="AE1468:AG1468"/>
    <mergeCell ref="Z1491:AA1491"/>
    <mergeCell ref="Z1723:AA1723"/>
    <mergeCell ref="AA1785:AD1785"/>
    <mergeCell ref="AB1760:AC1760"/>
    <mergeCell ref="Z1535:AA1535"/>
    <mergeCell ref="AB1517:AC1517"/>
    <mergeCell ref="Z1501:AA1501"/>
    <mergeCell ref="Z1587:AA1587"/>
    <mergeCell ref="AB1584:AC1584"/>
    <mergeCell ref="AE1573:AG1573"/>
    <mergeCell ref="AE1556:AG1556"/>
    <mergeCell ref="AB1651:AC1651"/>
    <mergeCell ref="Z1640:AA1640"/>
    <mergeCell ref="AE1678:AG1678"/>
    <mergeCell ref="AB1738:AC1738"/>
    <mergeCell ref="AJ1799:AK1799"/>
    <mergeCell ref="AJ1763:AK1763"/>
    <mergeCell ref="AJ1661:AK1661"/>
    <mergeCell ref="AJ1678:AK1678"/>
    <mergeCell ref="AJ1597:AK1597"/>
    <mergeCell ref="AJ1655:AK1655"/>
    <mergeCell ref="AJ1667:AK1667"/>
    <mergeCell ref="AJ1783:AK1783"/>
    <mergeCell ref="AJ1791:AK1791"/>
    <mergeCell ref="AJ1587:AK1587"/>
    <mergeCell ref="AJ1662:AK1662"/>
    <mergeCell ref="AJ1590:AK1590"/>
    <mergeCell ref="AJ1796:AK1796"/>
    <mergeCell ref="AJ1744:AK1744"/>
    <mergeCell ref="AJ1769:AK1769"/>
    <mergeCell ref="AJ1776:AK1776"/>
    <mergeCell ref="AJ1761:AK1761"/>
    <mergeCell ref="AJ1620:AK1620"/>
    <mergeCell ref="AJ1766:AK1766"/>
    <mergeCell ref="AJ1737:AK1737"/>
    <mergeCell ref="AJ1656:AK1656"/>
    <mergeCell ref="AJ1702:AK1702"/>
    <mergeCell ref="AJ1711:AK1711"/>
    <mergeCell ref="AJ1775:AK1775"/>
    <mergeCell ref="AJ1724:AK1724"/>
    <mergeCell ref="AJ1674:AK1674"/>
    <mergeCell ref="AJ1790:AK1790"/>
    <mergeCell ref="AJ1781:AK1781"/>
    <mergeCell ref="AJ1784:AK1784"/>
    <mergeCell ref="AJ1728:AK1728"/>
    <mergeCell ref="AJ1787:AK1787"/>
    <mergeCell ref="AJ1494:AK1494"/>
    <mergeCell ref="AJ1381:AK1381"/>
    <mergeCell ref="AJ1337:AK1337"/>
    <mergeCell ref="AJ1336:AK1336"/>
    <mergeCell ref="AJ1485:AK1485"/>
    <mergeCell ref="AJ1479:AK1479"/>
    <mergeCell ref="AJ1440:AK1440"/>
    <mergeCell ref="AJ1481:AK1481"/>
    <mergeCell ref="AJ1722:AK1722"/>
    <mergeCell ref="AJ1756:AK1756"/>
    <mergeCell ref="AJ1713:AK1713"/>
    <mergeCell ref="AJ1772:AK1772"/>
    <mergeCell ref="AJ1384:AK1384"/>
    <mergeCell ref="AJ1504:AK1504"/>
    <mergeCell ref="AJ1682:AK1682"/>
    <mergeCell ref="AJ1583:AK1583"/>
    <mergeCell ref="AJ1355:AK1355"/>
    <mergeCell ref="AJ1518:AK1518"/>
    <mergeCell ref="AJ1496:AK1496"/>
    <mergeCell ref="AJ1610:AK1610"/>
    <mergeCell ref="AJ1515:AK1515"/>
    <mergeCell ref="AJ1543:AK1543"/>
    <mergeCell ref="AJ1403:AK1403"/>
    <mergeCell ref="AJ1577:AK1577"/>
    <mergeCell ref="AJ1579:AK1579"/>
    <mergeCell ref="AJ1417:AK1417"/>
    <mergeCell ref="AJ1488:AK1488"/>
    <mergeCell ref="AJ1536:AK1536"/>
    <mergeCell ref="AJ1549:AK1549"/>
    <mergeCell ref="AJ1419:AK1419"/>
    <mergeCell ref="AJ1476:AK1476"/>
    <mergeCell ref="AJ1468:AK1468"/>
    <mergeCell ref="AJ1714:AK1714"/>
    <mergeCell ref="AJ1625:AK1625"/>
    <mergeCell ref="AJ1735:AK1735"/>
    <mergeCell ref="AJ1589:AK1589"/>
    <mergeCell ref="AJ1699:AK1699"/>
    <mergeCell ref="AJ1738:AK1738"/>
    <mergeCell ref="AJ1706:AK1706"/>
    <mergeCell ref="AJ1672:AK1672"/>
    <mergeCell ref="AJ1741:AK1741"/>
    <mergeCell ref="AJ1650:AK1650"/>
    <mergeCell ref="AJ1732:AK1732"/>
    <mergeCell ref="AJ1734:AK1734"/>
    <mergeCell ref="AJ1774:AK1774"/>
    <mergeCell ref="AJ1755:AK1755"/>
    <mergeCell ref="AJ1663:AK1663"/>
    <mergeCell ref="AJ1602:AK1602"/>
    <mergeCell ref="AJ1607:AK1607"/>
    <mergeCell ref="AJ1666:AK1666"/>
    <mergeCell ref="AJ1680:AK1680"/>
    <mergeCell ref="AJ1690:AK1690"/>
    <mergeCell ref="AJ1360:AK1360"/>
    <mergeCell ref="AE1326:AG1326"/>
    <mergeCell ref="AE1199:AG1199"/>
    <mergeCell ref="AJ1270:AK1270"/>
    <mergeCell ref="AJ1213:AK1213"/>
    <mergeCell ref="AJ1346:AK1346"/>
    <mergeCell ref="AB1489:AC1489"/>
    <mergeCell ref="AE1447:AG1447"/>
    <mergeCell ref="AJ1740:AK1740"/>
    <mergeCell ref="AJ1545:AK1545"/>
    <mergeCell ref="AJ1533:AK1533"/>
    <mergeCell ref="AJ1691:AK1691"/>
    <mergeCell ref="AJ1688:AK1688"/>
    <mergeCell ref="AJ1718:AK1718"/>
    <mergeCell ref="AJ1730:AK1730"/>
    <mergeCell ref="AJ1668:AK1668"/>
    <mergeCell ref="AJ1723:AK1723"/>
    <mergeCell ref="AJ1652:AK1652"/>
    <mergeCell ref="AJ1569:AK1569"/>
    <mergeCell ref="AJ1566:AK1566"/>
    <mergeCell ref="AJ1585:AK1585"/>
    <mergeCell ref="AJ1559:AK1559"/>
    <mergeCell ref="AJ1567:AK1567"/>
    <mergeCell ref="AJ1596:AK1596"/>
    <mergeCell ref="AJ1465:AK1465"/>
    <mergeCell ref="AJ1595:AK1595"/>
    <mergeCell ref="AJ1679:AK1679"/>
    <mergeCell ref="AJ1573:AK1573"/>
    <mergeCell ref="AJ1739:AK1739"/>
    <mergeCell ref="AJ1710:AK1710"/>
    <mergeCell ref="AJ1571:AK1571"/>
    <mergeCell ref="AJ1576:AK1576"/>
    <mergeCell ref="AB1655:AC1655"/>
    <mergeCell ref="AE1535:AG1535"/>
    <mergeCell ref="AE1636:AG1636"/>
    <mergeCell ref="AE1547:AG1547"/>
    <mergeCell ref="AB1743:AC1743"/>
    <mergeCell ref="Z1808:AG1808"/>
    <mergeCell ref="AJ1427:AK1427"/>
    <mergeCell ref="AE1618:AG1618"/>
    <mergeCell ref="AE1526:AG1526"/>
    <mergeCell ref="AE1651:AG1651"/>
    <mergeCell ref="AJ1499:AK1499"/>
    <mergeCell ref="AE1461:AG1461"/>
    <mergeCell ref="AE1721:AG1721"/>
    <mergeCell ref="AJ1461:AK1461"/>
    <mergeCell ref="AE1671:AG1671"/>
    <mergeCell ref="AB1742:AC1742"/>
    <mergeCell ref="Z1791:AD1791"/>
    <mergeCell ref="AJ1621:AK1621"/>
    <mergeCell ref="AJ1760:AK1760"/>
    <mergeCell ref="AJ1786:AK1786"/>
    <mergeCell ref="AJ1649:AK1649"/>
    <mergeCell ref="AJ1716:AK1716"/>
    <mergeCell ref="AJ1742:AK1742"/>
    <mergeCell ref="AJ1795:AK1795"/>
    <mergeCell ref="AJ1683:AK1683"/>
    <mergeCell ref="AJ1580:AK1580"/>
    <mergeCell ref="AJ1581:AK1581"/>
    <mergeCell ref="AJ1731:AK1731"/>
    <mergeCell ref="AJ1746:AK1746"/>
    <mergeCell ref="AJ1777:AK1777"/>
    <mergeCell ref="AJ1645:AK1645"/>
    <mergeCell ref="AJ1736:AK1736"/>
    <mergeCell ref="AJ1547:AK1547"/>
    <mergeCell ref="AJ1531:AK1531"/>
    <mergeCell ref="AJ1600:AK1600"/>
    <mergeCell ref="AJ1599:AK1599"/>
    <mergeCell ref="AJ1671:AK1671"/>
    <mergeCell ref="AJ1792:AK1792"/>
    <mergeCell ref="AJ1541:AK1541"/>
    <mergeCell ref="AJ1534:AK1534"/>
    <mergeCell ref="AJ1401:AK1401"/>
    <mergeCell ref="AB1540:AC1540"/>
    <mergeCell ref="AE1534:AG1534"/>
    <mergeCell ref="AJ1551:AK1551"/>
    <mergeCell ref="AJ1578:AK1578"/>
    <mergeCell ref="AJ1353:AK1353"/>
    <mergeCell ref="AJ1548:AK1548"/>
    <mergeCell ref="AJ1572:AK1572"/>
    <mergeCell ref="AJ1429:AK1429"/>
    <mergeCell ref="AE1401:AG1401"/>
    <mergeCell ref="AJ1506:AK1506"/>
    <mergeCell ref="AJ1439:AK1439"/>
    <mergeCell ref="AJ1509:AK1509"/>
    <mergeCell ref="AE1406:AG1406"/>
    <mergeCell ref="AJ1568:AK1568"/>
    <mergeCell ref="AJ1535:AK1535"/>
    <mergeCell ref="AE1418:AG1418"/>
    <mergeCell ref="AB1619:AC1619"/>
    <mergeCell ref="AE1619:AG1619"/>
    <mergeCell ref="AE1704:AG1704"/>
    <mergeCell ref="AE1701:AG1701"/>
    <mergeCell ref="AE1572:AG1572"/>
    <mergeCell ref="AE1670:AG1670"/>
    <mergeCell ref="AE1610:AG1610"/>
    <mergeCell ref="AE1392:AG1392"/>
    <mergeCell ref="AJ1605:AK1605"/>
    <mergeCell ref="AE1654:AG1654"/>
    <mergeCell ref="AJ1324:AK1324"/>
    <mergeCell ref="AJ1436:AK1436"/>
    <mergeCell ref="AB1452:AC1452"/>
    <mergeCell ref="AB1586:AC1586"/>
    <mergeCell ref="AB1756:AC1756"/>
    <mergeCell ref="AB1772:AC1772"/>
    <mergeCell ref="AE1757:AG1757"/>
    <mergeCell ref="AE1707:AG1707"/>
    <mergeCell ref="AJ1707:AK1707"/>
    <mergeCell ref="AB1192:AC1192"/>
    <mergeCell ref="AB1654:AC1654"/>
    <mergeCell ref="AE1742:AG1742"/>
    <mergeCell ref="AE1441:AG1441"/>
    <mergeCell ref="AB1159:AC1159"/>
    <mergeCell ref="AE1334:AG1334"/>
    <mergeCell ref="AE1424:AG1424"/>
    <mergeCell ref="AE1462:AG1462"/>
    <mergeCell ref="AB1386:AC1386"/>
    <mergeCell ref="AE1523:AG1523"/>
    <mergeCell ref="AB1468:AC1468"/>
    <mergeCell ref="AB1418:AC1418"/>
    <mergeCell ref="AE1256:AG1256"/>
    <mergeCell ref="AE1251:AG1251"/>
    <mergeCell ref="AE1253:AG1253"/>
    <mergeCell ref="AJ1750:AK1750"/>
    <mergeCell ref="AJ1406:AK1406"/>
    <mergeCell ref="AJ1527:AK1527"/>
    <mergeCell ref="AE1411:AG1411"/>
    <mergeCell ref="AJ1358:AK1358"/>
    <mergeCell ref="AE1698:AG1698"/>
    <mergeCell ref="AJ1753:AK1753"/>
    <mergeCell ref="AE1501:AG1501"/>
    <mergeCell ref="AE1691:AG1691"/>
    <mergeCell ref="AE1586:AG1586"/>
    <mergeCell ref="AE1585:AG1585"/>
    <mergeCell ref="AJ1310:AK1310"/>
    <mergeCell ref="AJ1319:AK1319"/>
    <mergeCell ref="AB1453:AC1453"/>
    <mergeCell ref="AE1321:AG1321"/>
    <mergeCell ref="AB1484:AC1484"/>
    <mergeCell ref="AB1669:AC1669"/>
    <mergeCell ref="AB1335:AC1335"/>
    <mergeCell ref="AB1332:AC1332"/>
    <mergeCell ref="AB1439:AC1439"/>
    <mergeCell ref="AE1442:AG1442"/>
    <mergeCell ref="AJ1299:AK1299"/>
    <mergeCell ref="AE1566:AG1566"/>
    <mergeCell ref="AE1457:AG1457"/>
    <mergeCell ref="AB1459:AC1459"/>
    <mergeCell ref="AE1596:AG1596"/>
    <mergeCell ref="AB1609:AC1609"/>
    <mergeCell ref="AE1527:AG1527"/>
    <mergeCell ref="AE1600:AG1600"/>
    <mergeCell ref="AE1521:AG1521"/>
    <mergeCell ref="AB1491:AC1491"/>
    <mergeCell ref="AJ1487:AK1487"/>
    <mergeCell ref="AB1313:AC1313"/>
    <mergeCell ref="AB1337:AC1337"/>
    <mergeCell ref="AB1338:AC1338"/>
    <mergeCell ref="AB1320:AC1320"/>
    <mergeCell ref="AB1455:AC1455"/>
    <mergeCell ref="AB1720:AC1720"/>
    <mergeCell ref="AJ1362:AK1362"/>
    <mergeCell ref="AJ1350:AK1350"/>
    <mergeCell ref="AJ1433:AK1433"/>
    <mergeCell ref="AJ1434:AK1434"/>
    <mergeCell ref="AJ1435:AK1435"/>
    <mergeCell ref="AJ1469:AK1469"/>
    <mergeCell ref="AJ1475:AK1475"/>
    <mergeCell ref="AE1557:AG1557"/>
    <mergeCell ref="Z1805:AG1805"/>
    <mergeCell ref="Z1807:AG1807"/>
    <mergeCell ref="AB1608:AC1608"/>
    <mergeCell ref="AB1746:AC1746"/>
    <mergeCell ref="AE1568:AG1568"/>
    <mergeCell ref="AB1536:AC1536"/>
    <mergeCell ref="AB1645:AC1645"/>
    <mergeCell ref="AB1759:AC1759"/>
    <mergeCell ref="Z1561:AA1561"/>
    <mergeCell ref="Z1540:AA1540"/>
    <mergeCell ref="Z1542:AA1542"/>
    <mergeCell ref="Z1713:AA1713"/>
    <mergeCell ref="AB1690:AC1690"/>
    <mergeCell ref="AJ1467:AK1467"/>
    <mergeCell ref="AE1434:AG1434"/>
    <mergeCell ref="AE1726:AG1726"/>
    <mergeCell ref="Z1790:AD1790"/>
    <mergeCell ref="Z1602:AA1602"/>
    <mergeCell ref="Z1477:AA1477"/>
    <mergeCell ref="AB1486:AC1486"/>
    <mergeCell ref="Z1505:AA1505"/>
    <mergeCell ref="AJ1374:AK1374"/>
    <mergeCell ref="AJ1462:AK1462"/>
    <mergeCell ref="AE1451:AG1451"/>
    <mergeCell ref="Z1417:AA1417"/>
    <mergeCell ref="AB1694:AC1694"/>
    <mergeCell ref="Z1389:AA1389"/>
    <mergeCell ref="Z1384:AA1384"/>
    <mergeCell ref="Z1530:AA1530"/>
    <mergeCell ref="AB1470:AC1470"/>
    <mergeCell ref="AE1304:AG1304"/>
    <mergeCell ref="AJ1458:AK1458"/>
    <mergeCell ref="AE1491:AG1491"/>
    <mergeCell ref="AJ1411:AK1411"/>
    <mergeCell ref="AB1399:AC1399"/>
    <mergeCell ref="Z1684:AA1684"/>
    <mergeCell ref="Z1581:AA1581"/>
    <mergeCell ref="Z1582:AA1582"/>
    <mergeCell ref="Z1662:AA1662"/>
    <mergeCell ref="AB1662:AC1662"/>
    <mergeCell ref="AE1552:AG1552"/>
    <mergeCell ref="AE1621:AG1621"/>
    <mergeCell ref="AJ1526:AK1526"/>
    <mergeCell ref="AE1384:AG1384"/>
    <mergeCell ref="AB1339:AC1339"/>
    <mergeCell ref="AB1383:AC1383"/>
    <mergeCell ref="AJ1505:AK1505"/>
    <mergeCell ref="AJ1556:AK1556"/>
    <mergeCell ref="AJ1604:AK1604"/>
    <mergeCell ref="AJ1601:AK1601"/>
    <mergeCell ref="AJ1510:AK1510"/>
    <mergeCell ref="AJ1657:AK1657"/>
    <mergeCell ref="AJ1512:AK1512"/>
    <mergeCell ref="AE1497:AG1497"/>
    <mergeCell ref="AB1328:AC1328"/>
    <mergeCell ref="AB1541:AC1541"/>
    <mergeCell ref="AB1404:AC1404"/>
    <mergeCell ref="AB1768:AC1768"/>
    <mergeCell ref="AE1353:AG1353"/>
    <mergeCell ref="AJ1398:AK1398"/>
    <mergeCell ref="AJ1574:AK1574"/>
    <mergeCell ref="AJ1616:AK1616"/>
    <mergeCell ref="AE1590:AG1590"/>
    <mergeCell ref="AE1711:AG1711"/>
    <mergeCell ref="AJ1318:AK1318"/>
    <mergeCell ref="Z1254:AA1254"/>
    <mergeCell ref="Z1532:AA1532"/>
    <mergeCell ref="AE1667:AG1667"/>
    <mergeCell ref="Z1773:AA1773"/>
    <mergeCell ref="AB1288:AC1288"/>
    <mergeCell ref="Z1404:AA1404"/>
    <mergeCell ref="AE1511:AG1511"/>
    <mergeCell ref="Z1459:AA1459"/>
    <mergeCell ref="Z1425:AA1425"/>
    <mergeCell ref="Z1600:AA1600"/>
    <mergeCell ref="Z1589:AA1589"/>
    <mergeCell ref="Z1613:AA1613"/>
    <mergeCell ref="Z1643:AA1643"/>
    <mergeCell ref="Z1653:AA1653"/>
    <mergeCell ref="Z1655:AA1655"/>
    <mergeCell ref="AE1665:AG1665"/>
    <mergeCell ref="AJ1301:AK1301"/>
    <mergeCell ref="AE1333:AG1333"/>
    <mergeCell ref="AE1295:AG1295"/>
    <mergeCell ref="AE1301:AG1301"/>
    <mergeCell ref="AE1370:AG1370"/>
    <mergeCell ref="AE1348:AG1348"/>
    <mergeCell ref="AE1724:AG1724"/>
    <mergeCell ref="AB1560:AC1560"/>
    <mergeCell ref="AB1097:AC1097"/>
    <mergeCell ref="AJ1151:AK1151"/>
    <mergeCell ref="AE1138:AG1138"/>
    <mergeCell ref="AJ1119:AK1119"/>
    <mergeCell ref="AE1119:AG1119"/>
    <mergeCell ref="AJ1114:AK1114"/>
    <mergeCell ref="AE1177:AG1177"/>
    <mergeCell ref="AB1079:AC1079"/>
    <mergeCell ref="AB1343:AC1343"/>
    <mergeCell ref="AE1397:AG1397"/>
    <mergeCell ref="AJ1421:AK1421"/>
    <mergeCell ref="AJ1386:AK1386"/>
    <mergeCell ref="AJ1306:AK1306"/>
    <mergeCell ref="AJ1293:AK1293"/>
    <mergeCell ref="AJ1348:AK1348"/>
    <mergeCell ref="AB1285:AC1285"/>
    <mergeCell ref="AJ1110:AK1110"/>
    <mergeCell ref="AE1100:AG1100"/>
    <mergeCell ref="AJ1089:AK1089"/>
    <mergeCell ref="AE1357:AG1357"/>
    <mergeCell ref="AE1306:AG1306"/>
    <mergeCell ref="AE1349:AG1349"/>
    <mergeCell ref="AE1331:AG1331"/>
    <mergeCell ref="AB1307:AC1307"/>
    <mergeCell ref="AJ1423:AK1423"/>
    <mergeCell ref="AJ1420:AK1420"/>
    <mergeCell ref="AE1389:AG1389"/>
    <mergeCell ref="AB1241:AC1241"/>
    <mergeCell ref="AB1176:AC1176"/>
    <mergeCell ref="AB1171:AC1171"/>
    <mergeCell ref="AB1582:AC1582"/>
    <mergeCell ref="AE1345:AG1345"/>
    <mergeCell ref="AJ1489:AK1489"/>
    <mergeCell ref="AE1504:AG1504"/>
    <mergeCell ref="AE1487:AG1487"/>
    <mergeCell ref="AE1471:AG1471"/>
    <mergeCell ref="AB1463:AC1463"/>
    <mergeCell ref="AJ1454:AK1454"/>
    <mergeCell ref="AE1426:AG1426"/>
    <mergeCell ref="AB1451:AC1451"/>
    <mergeCell ref="AB1506:AC1506"/>
    <mergeCell ref="AB1040:AC1040"/>
    <mergeCell ref="AE1476:AG1476"/>
    <mergeCell ref="AE1481:AG1481"/>
    <mergeCell ref="AE1490:AG1490"/>
    <mergeCell ref="AE1380:AG1380"/>
    <mergeCell ref="AE1372:AG1372"/>
    <mergeCell ref="AE1248:AG1248"/>
    <mergeCell ref="AE1072:AG1072"/>
    <mergeCell ref="AB1064:AC1064"/>
    <mergeCell ref="AE1064:AG1064"/>
    <mergeCell ref="AJ1149:AK1149"/>
    <mergeCell ref="AE1343:AG1343"/>
    <mergeCell ref="AJ1397:AK1397"/>
    <mergeCell ref="AB1073:AC1073"/>
    <mergeCell ref="AJ1053:AK1053"/>
    <mergeCell ref="AJ1060:AK1060"/>
    <mergeCell ref="AJ1070:AK1070"/>
    <mergeCell ref="AJ1074:AK1074"/>
    <mergeCell ref="AB1352:AC1352"/>
    <mergeCell ref="AB1417:AC1417"/>
    <mergeCell ref="AJ1303:AK1303"/>
    <mergeCell ref="AE1399:AG1399"/>
    <mergeCell ref="AE1329:AG1329"/>
    <mergeCell ref="AB1025:AC1025"/>
    <mergeCell ref="AB832:AC832"/>
    <mergeCell ref="AE982:AG982"/>
    <mergeCell ref="AE1571:AG1571"/>
    <mergeCell ref="AE1570:AG1570"/>
    <mergeCell ref="AE1642:AG1642"/>
    <mergeCell ref="AE1592:AG1592"/>
    <mergeCell ref="AE1581:AG1581"/>
    <mergeCell ref="AB913:AC913"/>
    <mergeCell ref="AB1047:AC1047"/>
    <mergeCell ref="AE923:AG923"/>
    <mergeCell ref="AJ988:AK988"/>
    <mergeCell ref="AJ513:AK513"/>
    <mergeCell ref="AJ1304:AK1304"/>
    <mergeCell ref="AE946:AG946"/>
    <mergeCell ref="AE1188:AG1188"/>
    <mergeCell ref="AE1156:AG1156"/>
    <mergeCell ref="AE1159:AG1159"/>
    <mergeCell ref="AE1425:AG1425"/>
    <mergeCell ref="AJ1349:AK1349"/>
    <mergeCell ref="AJ1347:AK1347"/>
    <mergeCell ref="AJ1410:AK1410"/>
    <mergeCell ref="AE1322:AG1322"/>
    <mergeCell ref="AE1330:AG1330"/>
    <mergeCell ref="AJ1364:AK1364"/>
    <mergeCell ref="AE805:AG805"/>
    <mergeCell ref="AE983:AG983"/>
    <mergeCell ref="AE976:AG976"/>
    <mergeCell ref="AE1493:AG1493"/>
    <mergeCell ref="AB1581:AC1581"/>
    <mergeCell ref="AB1398:AC1398"/>
    <mergeCell ref="AJ1383:AK1383"/>
    <mergeCell ref="AJ458:AK458"/>
    <mergeCell ref="AE456:AG456"/>
    <mergeCell ref="AB456:AC456"/>
    <mergeCell ref="AJ472:AK472"/>
    <mergeCell ref="AJ1387:AK1387"/>
    <mergeCell ref="AJ1254:AK1254"/>
    <mergeCell ref="AE1255:AG1255"/>
    <mergeCell ref="Z1262:AA1262"/>
    <mergeCell ref="AE1197:AG1197"/>
    <mergeCell ref="AE749:AG749"/>
    <mergeCell ref="AB659:AC659"/>
    <mergeCell ref="AB1346:AC1346"/>
    <mergeCell ref="AB1351:AC1351"/>
    <mergeCell ref="AB1303:AC1303"/>
    <mergeCell ref="AJ803:AK803"/>
    <mergeCell ref="AJ611:AK611"/>
    <mergeCell ref="AE723:AG723"/>
    <mergeCell ref="AJ733:AK733"/>
    <mergeCell ref="AB768:AC768"/>
    <mergeCell ref="AE730:AG730"/>
    <mergeCell ref="AB766:AC766"/>
    <mergeCell ref="AE1339:AG1339"/>
    <mergeCell ref="AJ883:AK883"/>
    <mergeCell ref="AE1360:AG1360"/>
    <mergeCell ref="AE1386:AG1386"/>
    <mergeCell ref="AB1276:AC1276"/>
    <mergeCell ref="AB1286:AC1286"/>
    <mergeCell ref="AB1264:AC1264"/>
    <mergeCell ref="AJ1262:AK1262"/>
    <mergeCell ref="AJ1290:AK1290"/>
    <mergeCell ref="AJ402:AK402"/>
    <mergeCell ref="AB403:AC403"/>
    <mergeCell ref="AE998:AG998"/>
    <mergeCell ref="AJ1047:AK1047"/>
    <mergeCell ref="AB1333:AC1333"/>
    <mergeCell ref="AB1344:AC1344"/>
    <mergeCell ref="AJ1335:AK1335"/>
    <mergeCell ref="AJ1339:AK1339"/>
    <mergeCell ref="AE1233:AG1233"/>
    <mergeCell ref="AB1100:AC1100"/>
    <mergeCell ref="AJ1378:AK1378"/>
    <mergeCell ref="AE1379:AG1379"/>
    <mergeCell ref="AE1366:AG1366"/>
    <mergeCell ref="AJ1331:AK1331"/>
    <mergeCell ref="AJ1338:AK1338"/>
    <mergeCell ref="AE1320:AG1320"/>
    <mergeCell ref="AJ1334:AK1334"/>
    <mergeCell ref="AE1332:AG1332"/>
    <mergeCell ref="AJ1326:AK1326"/>
    <mergeCell ref="AJ1363:AK1363"/>
    <mergeCell ref="AE1356:AG1356"/>
    <mergeCell ref="AB473:AC473"/>
    <mergeCell ref="AB404:AC404"/>
    <mergeCell ref="AE419:AG419"/>
    <mergeCell ref="AJ1276:AK1276"/>
    <mergeCell ref="AE1305:AG1305"/>
    <mergeCell ref="AE1368:AG1368"/>
    <mergeCell ref="AE1183:AG1183"/>
    <mergeCell ref="AE1294:AG1294"/>
    <mergeCell ref="AJ1144:AK1144"/>
    <mergeCell ref="AJ1286:AK1286"/>
    <mergeCell ref="AE1070:AG1070"/>
    <mergeCell ref="Z505:AA505"/>
    <mergeCell ref="AB505:AC505"/>
    <mergeCell ref="Z494:AA494"/>
    <mergeCell ref="Z874:AA874"/>
    <mergeCell ref="AB874:AC874"/>
    <mergeCell ref="Z873:AA873"/>
    <mergeCell ref="Z1148:AA1148"/>
    <mergeCell ref="Z1075:AA1075"/>
    <mergeCell ref="Z1051:AA1051"/>
    <mergeCell ref="AB1082:AC1082"/>
    <mergeCell ref="Z902:AA902"/>
    <mergeCell ref="Z1038:AA1038"/>
    <mergeCell ref="Z1105:AA1105"/>
    <mergeCell ref="Z1028:AA1028"/>
    <mergeCell ref="AJ1343:AK1343"/>
    <mergeCell ref="AJ1351:AK1351"/>
    <mergeCell ref="AB958:AC958"/>
    <mergeCell ref="Z864:AA864"/>
    <mergeCell ref="AE1073:AG1073"/>
    <mergeCell ref="AJ1075:AK1075"/>
    <mergeCell ref="AB1184:AC1184"/>
    <mergeCell ref="AJ1267:AK1267"/>
    <mergeCell ref="AJ1150:AK1150"/>
    <mergeCell ref="AJ1164:AK1164"/>
    <mergeCell ref="AJ1088:AK1088"/>
    <mergeCell ref="AJ1196:AK1196"/>
    <mergeCell ref="AB1247:AC1247"/>
    <mergeCell ref="AB1238:AC1238"/>
    <mergeCell ref="AJ1325:AK1325"/>
    <mergeCell ref="AJ1155:AK1155"/>
    <mergeCell ref="AJ1111:AK1111"/>
    <mergeCell ref="Z1304:AA1304"/>
    <mergeCell ref="AB580:AC580"/>
    <mergeCell ref="AB654:AC654"/>
    <mergeCell ref="AB658:AC658"/>
    <mergeCell ref="AE771:AG771"/>
    <mergeCell ref="AE765:AG765"/>
    <mergeCell ref="AB1290:AC1290"/>
    <mergeCell ref="AE548:AG548"/>
    <mergeCell ref="Z544:AA544"/>
    <mergeCell ref="Z749:AA749"/>
    <mergeCell ref="AB1327:AC1327"/>
    <mergeCell ref="AE1062:AG1062"/>
    <mergeCell ref="AB1367:AC1367"/>
    <mergeCell ref="Z553:AA553"/>
    <mergeCell ref="M781:R781"/>
    <mergeCell ref="M692:R692"/>
    <mergeCell ref="AE1279:AG1279"/>
    <mergeCell ref="AB1274:AC1274"/>
    <mergeCell ref="Z813:AA813"/>
    <mergeCell ref="Z1139:AA1139"/>
    <mergeCell ref="Z1261:AA1261"/>
    <mergeCell ref="Z1094:AA1094"/>
    <mergeCell ref="Z1119:AA1119"/>
    <mergeCell ref="Z805:AA805"/>
    <mergeCell ref="AB1361:AC1361"/>
    <mergeCell ref="AE1352:AG1352"/>
    <mergeCell ref="R1255:U1255"/>
    <mergeCell ref="M990:R990"/>
    <mergeCell ref="M1154:R1154"/>
    <mergeCell ref="AE1277:AG1277"/>
    <mergeCell ref="AB1150:AC1150"/>
    <mergeCell ref="AB1232:AC1232"/>
    <mergeCell ref="Z1367:AA1367"/>
    <mergeCell ref="AE434:AG434"/>
    <mergeCell ref="AE1250:AG1250"/>
    <mergeCell ref="AB899:AC899"/>
    <mergeCell ref="AE1272:AG1272"/>
    <mergeCell ref="M735:R735"/>
    <mergeCell ref="M750:N750"/>
    <mergeCell ref="AJ1192:AK1192"/>
    <mergeCell ref="AJ968:AK968"/>
    <mergeCell ref="AJ1252:AK1252"/>
    <mergeCell ref="AE1243:AG1243"/>
    <mergeCell ref="M675:R675"/>
    <mergeCell ref="AB683:AC683"/>
    <mergeCell ref="Z716:AA716"/>
    <mergeCell ref="Z598:AA598"/>
    <mergeCell ref="Z608:AA608"/>
    <mergeCell ref="AB608:AC608"/>
    <mergeCell ref="AB536:AC536"/>
    <mergeCell ref="AE592:AG592"/>
    <mergeCell ref="M622:R622"/>
    <mergeCell ref="AE715:AG715"/>
    <mergeCell ref="M551:R551"/>
    <mergeCell ref="Z615:AA615"/>
    <mergeCell ref="AE1213:AG1213"/>
    <mergeCell ref="AE737:AG737"/>
    <mergeCell ref="M569:R569"/>
    <mergeCell ref="Z467:AA467"/>
    <mergeCell ref="AB493:AC493"/>
    <mergeCell ref="AB570:AC570"/>
    <mergeCell ref="AE522:AG522"/>
    <mergeCell ref="Z528:AA528"/>
    <mergeCell ref="AE814:AG814"/>
    <mergeCell ref="Q814:V814"/>
    <mergeCell ref="AE454:AG454"/>
    <mergeCell ref="AJ554:AK554"/>
    <mergeCell ref="Z548:AA548"/>
    <mergeCell ref="AJ526:AK526"/>
    <mergeCell ref="Z433:AA433"/>
    <mergeCell ref="AB440:AC440"/>
    <mergeCell ref="AB433:AC433"/>
    <mergeCell ref="AB1259:AC1259"/>
    <mergeCell ref="Z636:AA636"/>
    <mergeCell ref="Z614:AA614"/>
    <mergeCell ref="AB617:AC617"/>
    <mergeCell ref="AE1111:AG1111"/>
    <mergeCell ref="Z1193:AA1193"/>
    <mergeCell ref="Z1226:AA1226"/>
    <mergeCell ref="Z599:AA599"/>
    <mergeCell ref="Z847:AA847"/>
    <mergeCell ref="AB621:AC621"/>
    <mergeCell ref="Z920:AA920"/>
    <mergeCell ref="AE875:AG875"/>
    <mergeCell ref="Z1039:AA1039"/>
    <mergeCell ref="AE1043:AG1043"/>
    <mergeCell ref="AB1037:AC1037"/>
    <mergeCell ref="Z1171:AA1171"/>
    <mergeCell ref="Z1155:AA1155"/>
    <mergeCell ref="AE1140:AG1140"/>
    <mergeCell ref="AB1119:AC1119"/>
    <mergeCell ref="AB980:AC980"/>
    <mergeCell ref="AB1228:AC1228"/>
    <mergeCell ref="AE1099:AG1099"/>
    <mergeCell ref="AJ1083:AK1083"/>
    <mergeCell ref="AJ1072:AK1072"/>
    <mergeCell ref="AE1079:AG1079"/>
    <mergeCell ref="AJ1118:AK1118"/>
    <mergeCell ref="AJ1279:AK1279"/>
    <mergeCell ref="AJ521:AK521"/>
    <mergeCell ref="Z697:AA697"/>
    <mergeCell ref="AB557:AC557"/>
    <mergeCell ref="Z546:AA546"/>
    <mergeCell ref="Z539:AA539"/>
    <mergeCell ref="Z829:AA829"/>
    <mergeCell ref="AB534:AC534"/>
    <mergeCell ref="AE656:AG656"/>
    <mergeCell ref="AB1677:AC1677"/>
    <mergeCell ref="AB1370:AC1370"/>
    <mergeCell ref="AB1304:AC1304"/>
    <mergeCell ref="AB635:AC635"/>
    <mergeCell ref="M731:R731"/>
    <mergeCell ref="Z597:AA597"/>
    <mergeCell ref="AJ485:AK485"/>
    <mergeCell ref="AB1084:AC1084"/>
    <mergeCell ref="AB1091:AC1091"/>
    <mergeCell ref="AE1091:AG1091"/>
    <mergeCell ref="AE1141:AG1141"/>
    <mergeCell ref="AE1057:AG1057"/>
    <mergeCell ref="Z1507:AA1507"/>
    <mergeCell ref="Z1553:AA1553"/>
    <mergeCell ref="Z1536:AA1536"/>
    <mergeCell ref="Z1636:AA1636"/>
    <mergeCell ref="AE1603:AG1603"/>
    <mergeCell ref="Z1354:AA1354"/>
    <mergeCell ref="AB1316:AC1316"/>
    <mergeCell ref="AB549:AC549"/>
    <mergeCell ref="AB744:AC744"/>
    <mergeCell ref="AB1201:AC1201"/>
    <mergeCell ref="Z801:AA801"/>
    <mergeCell ref="AE808:AG808"/>
    <mergeCell ref="AJ427:AK427"/>
    <mergeCell ref="AJ579:AK579"/>
    <mergeCell ref="Z551:AA551"/>
    <mergeCell ref="AE1673:AG1673"/>
    <mergeCell ref="AE1722:AG1722"/>
    <mergeCell ref="AJ1507:AK1507"/>
    <mergeCell ref="AE729:AG729"/>
    <mergeCell ref="AJ1392:AK1392"/>
    <mergeCell ref="Z643:AA643"/>
    <mergeCell ref="AE835:AG835"/>
    <mergeCell ref="AE817:AG817"/>
    <mergeCell ref="AB669:AC669"/>
    <mergeCell ref="AE1215:AG1215"/>
    <mergeCell ref="AB1187:AC1187"/>
    <mergeCell ref="AE1189:AG1189"/>
    <mergeCell ref="AE1214:AG1214"/>
    <mergeCell ref="AJ1191:AK1191"/>
    <mergeCell ref="AJ1187:AK1187"/>
    <mergeCell ref="AJ1229:AK1229"/>
    <mergeCell ref="AJ1218:AK1218"/>
    <mergeCell ref="AJ1219:AK1219"/>
    <mergeCell ref="AJ1239:AK1239"/>
    <mergeCell ref="AE1230:AG1230"/>
    <mergeCell ref="AJ1109:AK1109"/>
    <mergeCell ref="AB497:AC497"/>
    <mergeCell ref="Z523:AA523"/>
    <mergeCell ref="AE462:AG462"/>
    <mergeCell ref="Z557:AA557"/>
    <mergeCell ref="AJ696:AK696"/>
    <mergeCell ref="AJ1113:AK1113"/>
    <mergeCell ref="AJ281:AK281"/>
    <mergeCell ref="AE297:AG297"/>
    <mergeCell ref="AB326:AC326"/>
    <mergeCell ref="AJ698:AK698"/>
    <mergeCell ref="AB584:AC584"/>
    <mergeCell ref="AB362:AC362"/>
    <mergeCell ref="AB373:AC373"/>
    <mergeCell ref="AE287:AG287"/>
    <mergeCell ref="AE262:AG262"/>
    <mergeCell ref="AB279:AC279"/>
    <mergeCell ref="AB295:AC295"/>
    <mergeCell ref="AJ379:AK379"/>
    <mergeCell ref="AE318:AG318"/>
    <mergeCell ref="Z526:AA526"/>
    <mergeCell ref="AB524:AC524"/>
    <mergeCell ref="AJ348:AK348"/>
    <mergeCell ref="AE340:AG340"/>
    <mergeCell ref="Z357:AA357"/>
    <mergeCell ref="AB332:AC332"/>
    <mergeCell ref="AE328:AG328"/>
    <mergeCell ref="AJ413:AK413"/>
    <mergeCell ref="AB420:AC420"/>
    <mergeCell ref="AE326:AG326"/>
    <mergeCell ref="AJ291:AK291"/>
    <mergeCell ref="AJ299:AK299"/>
    <mergeCell ref="AJ302:AK302"/>
    <mergeCell ref="AE308:AG308"/>
    <mergeCell ref="AB351:AC351"/>
    <mergeCell ref="AB461:AC461"/>
    <mergeCell ref="Z466:AA466"/>
    <mergeCell ref="Z481:AA481"/>
    <mergeCell ref="Z499:AA499"/>
    <mergeCell ref="AE277:AG277"/>
    <mergeCell ref="AB304:AC304"/>
    <mergeCell ref="AJ273:AK273"/>
    <mergeCell ref="AJ376:AK376"/>
    <mergeCell ref="AE367:AG367"/>
    <mergeCell ref="AE345:AG345"/>
    <mergeCell ref="AE390:AG390"/>
    <mergeCell ref="Z93:AA93"/>
    <mergeCell ref="AE126:AG126"/>
    <mergeCell ref="AE124:AG124"/>
    <mergeCell ref="Z706:AA706"/>
    <mergeCell ref="Z709:AA709"/>
    <mergeCell ref="Z498:AA498"/>
    <mergeCell ref="AB462:AC462"/>
    <mergeCell ref="AB469:AC469"/>
    <mergeCell ref="AE339:AG339"/>
    <mergeCell ref="Z411:AA411"/>
    <mergeCell ref="Z201:AA201"/>
    <mergeCell ref="Z150:AA150"/>
    <mergeCell ref="Z148:AA148"/>
    <mergeCell ref="AJ151:AK151"/>
    <mergeCell ref="AJ160:AK160"/>
    <mergeCell ref="Z144:AA144"/>
    <mergeCell ref="AJ167:AK167"/>
    <mergeCell ref="Z232:AA232"/>
    <mergeCell ref="AJ242:AK242"/>
    <mergeCell ref="AB303:AC303"/>
    <mergeCell ref="AE323:AG323"/>
    <mergeCell ref="AJ323:AK323"/>
    <mergeCell ref="Z353:AA353"/>
    <mergeCell ref="AB335:AC335"/>
    <mergeCell ref="AE344:AG344"/>
    <mergeCell ref="Z589:AA589"/>
    <mergeCell ref="Z302:AA302"/>
    <mergeCell ref="AJ288:AK288"/>
    <mergeCell ref="AJ296:AK296"/>
    <mergeCell ref="Z405:AA405"/>
    <mergeCell ref="AE631:AG631"/>
    <mergeCell ref="AE568:AG568"/>
    <mergeCell ref="AJ631:AK631"/>
    <mergeCell ref="AB637:AC637"/>
    <mergeCell ref="AB640:AC640"/>
    <mergeCell ref="AJ677:AK677"/>
    <mergeCell ref="AJ691:AK691"/>
    <mergeCell ref="AJ411:AK411"/>
    <mergeCell ref="AJ403:AK403"/>
    <mergeCell ref="Z403:AA403"/>
    <mergeCell ref="AB401:AC401"/>
    <mergeCell ref="AE402:AG402"/>
    <mergeCell ref="Z334:AA334"/>
    <mergeCell ref="Z295:AA295"/>
    <mergeCell ref="AE296:AG296"/>
    <mergeCell ref="AE295:AG295"/>
    <mergeCell ref="AE292:AG292"/>
    <mergeCell ref="AJ312:AK312"/>
    <mergeCell ref="AE322:AG322"/>
    <mergeCell ref="AJ328:AK328"/>
    <mergeCell ref="Z351:AA351"/>
    <mergeCell ref="AB347:AC347"/>
    <mergeCell ref="Z342:AA342"/>
    <mergeCell ref="Z306:AA306"/>
    <mergeCell ref="Z317:AA317"/>
    <mergeCell ref="AB317:AC317"/>
    <mergeCell ref="AE317:AG317"/>
    <mergeCell ref="AE54:AG54"/>
    <mergeCell ref="AJ310:AK310"/>
    <mergeCell ref="AJ311:AK311"/>
    <mergeCell ref="AB65:AC65"/>
    <mergeCell ref="AB240:AC240"/>
    <mergeCell ref="AE257:AG257"/>
    <mergeCell ref="AB215:AC215"/>
    <mergeCell ref="Z178:AA178"/>
    <mergeCell ref="AJ103:AK103"/>
    <mergeCell ref="AE117:AG117"/>
    <mergeCell ref="AB219:AC219"/>
    <mergeCell ref="AB226:AC226"/>
    <mergeCell ref="AJ80:AK80"/>
    <mergeCell ref="AJ86:AK86"/>
    <mergeCell ref="AB267:AC267"/>
    <mergeCell ref="AE378:AG378"/>
    <mergeCell ref="AE421:AG421"/>
    <mergeCell ref="AJ387:AK387"/>
    <mergeCell ref="AJ326:AK326"/>
    <mergeCell ref="AE250:AG250"/>
    <mergeCell ref="AJ250:AK250"/>
    <mergeCell ref="AE248:AG248"/>
    <mergeCell ref="AB211:AC211"/>
    <mergeCell ref="AE211:AG211"/>
    <mergeCell ref="AJ157:AK157"/>
    <mergeCell ref="Z126:AA126"/>
    <mergeCell ref="Z128:AA128"/>
    <mergeCell ref="Z130:AA130"/>
    <mergeCell ref="AB141:AC141"/>
    <mergeCell ref="Z277:AA277"/>
    <mergeCell ref="AB284:AC284"/>
    <mergeCell ref="AE269:AG269"/>
    <mergeCell ref="AE316:AG316"/>
    <mergeCell ref="AJ357:AK357"/>
    <mergeCell ref="AB296:AC296"/>
    <mergeCell ref="AJ341:AK341"/>
    <mergeCell ref="Z322:AA322"/>
    <mergeCell ref="Z288:AA288"/>
    <mergeCell ref="AB338:AC338"/>
    <mergeCell ref="Z336:AA336"/>
    <mergeCell ref="AJ337:AK337"/>
    <mergeCell ref="AE337:AG337"/>
    <mergeCell ref="AE334:AG334"/>
    <mergeCell ref="AJ338:AK338"/>
    <mergeCell ref="Z339:AA339"/>
    <mergeCell ref="Z338:AA338"/>
    <mergeCell ref="AB352:AC352"/>
    <mergeCell ref="AB306:AC306"/>
    <mergeCell ref="AJ322:AK322"/>
    <mergeCell ref="AJ317:AK317"/>
    <mergeCell ref="AJ309:AK309"/>
    <mergeCell ref="Z318:AA318"/>
    <mergeCell ref="AE290:AG290"/>
    <mergeCell ref="AE305:AG305"/>
    <mergeCell ref="AJ307:AK307"/>
    <mergeCell ref="AE289:AG289"/>
    <mergeCell ref="Z315:AA315"/>
    <mergeCell ref="AB315:AC315"/>
    <mergeCell ref="Z300:AA300"/>
    <mergeCell ref="AB300:AC300"/>
    <mergeCell ref="AE300:AG300"/>
    <mergeCell ref="AJ300:AK300"/>
    <mergeCell ref="AB400:AC400"/>
    <mergeCell ref="AJ397:AK397"/>
    <mergeCell ref="AB308:AC308"/>
    <mergeCell ref="AB299:AC299"/>
    <mergeCell ref="AB280:AC280"/>
    <mergeCell ref="Z365:AA365"/>
    <mergeCell ref="AJ390:AK390"/>
    <mergeCell ref="AE384:AG384"/>
    <mergeCell ref="AE286:AG286"/>
    <mergeCell ref="AJ284:AK284"/>
    <mergeCell ref="AB385:AC385"/>
    <mergeCell ref="AJ315:AK315"/>
    <mergeCell ref="AJ287:AK287"/>
    <mergeCell ref="AB314:AC314"/>
    <mergeCell ref="AE314:AG314"/>
    <mergeCell ref="AB354:AC354"/>
    <mergeCell ref="AE350:AG350"/>
    <mergeCell ref="AJ351:AK351"/>
    <mergeCell ref="AJ358:AK358"/>
    <mergeCell ref="Z298:AA298"/>
    <mergeCell ref="AJ303:AK303"/>
    <mergeCell ref="AE315:AG315"/>
    <mergeCell ref="AJ359:AK359"/>
    <mergeCell ref="AJ360:AK360"/>
    <mergeCell ref="AE359:AG359"/>
    <mergeCell ref="AB359:AC359"/>
    <mergeCell ref="AJ350:AK350"/>
    <mergeCell ref="Z362:AA362"/>
    <mergeCell ref="AJ344:AK344"/>
    <mergeCell ref="Z355:AA355"/>
    <mergeCell ref="Z350:AA350"/>
    <mergeCell ref="AE357:AG357"/>
    <mergeCell ref="AJ134:AK134"/>
    <mergeCell ref="Z133:AA133"/>
    <mergeCell ref="AJ152:AK152"/>
    <mergeCell ref="AB155:AC155"/>
    <mergeCell ref="AJ92:AK92"/>
    <mergeCell ref="Z92:AA92"/>
    <mergeCell ref="AE100:AG100"/>
    <mergeCell ref="AE387:AG387"/>
    <mergeCell ref="AJ385:AK385"/>
    <mergeCell ref="AJ349:AK349"/>
    <mergeCell ref="Z332:AA332"/>
    <mergeCell ref="AE352:AG352"/>
    <mergeCell ref="AE382:AG382"/>
    <mergeCell ref="AE234:AG234"/>
    <mergeCell ref="AB313:AC313"/>
    <mergeCell ref="AB168:AC168"/>
    <mergeCell ref="AJ267:AK267"/>
    <mergeCell ref="Z224:AA224"/>
    <mergeCell ref="AJ342:AK342"/>
    <mergeCell ref="AJ343:AK343"/>
    <mergeCell ref="AJ346:AK346"/>
    <mergeCell ref="AE351:AG351"/>
    <mergeCell ref="AB349:AC349"/>
    <mergeCell ref="AJ330:AK330"/>
    <mergeCell ref="AJ331:AK331"/>
    <mergeCell ref="AJ304:AK304"/>
    <mergeCell ref="AJ308:AK308"/>
    <mergeCell ref="AE313:AG313"/>
    <mergeCell ref="Z348:AA348"/>
    <mergeCell ref="AJ292:AK292"/>
    <mergeCell ref="AB305:AC305"/>
    <mergeCell ref="AB309:AC309"/>
    <mergeCell ref="AJ18:AK18"/>
    <mergeCell ref="AB54:AC54"/>
    <mergeCell ref="Z47:AA47"/>
    <mergeCell ref="Z54:AA54"/>
    <mergeCell ref="AB134:AC134"/>
    <mergeCell ref="AE134:AG134"/>
    <mergeCell ref="AJ131:AK131"/>
    <mergeCell ref="AJ125:AK125"/>
    <mergeCell ref="AE198:AG198"/>
    <mergeCell ref="AJ101:AK101"/>
    <mergeCell ref="O10:P10"/>
    <mergeCell ref="M93:R93"/>
    <mergeCell ref="AB242:AC242"/>
    <mergeCell ref="M10:N10"/>
    <mergeCell ref="Z282:AA282"/>
    <mergeCell ref="AE65:AG65"/>
    <mergeCell ref="AE194:AG194"/>
    <mergeCell ref="AB259:AC259"/>
    <mergeCell ref="AE190:AG190"/>
    <mergeCell ref="AE72:AG72"/>
    <mergeCell ref="Z163:AA163"/>
    <mergeCell ref="AB256:AC256"/>
    <mergeCell ref="AE176:AG176"/>
    <mergeCell ref="AE163:AG163"/>
    <mergeCell ref="AJ258:AK258"/>
    <mergeCell ref="AJ212:AK212"/>
    <mergeCell ref="Z240:AA240"/>
    <mergeCell ref="AE229:AG229"/>
    <mergeCell ref="AJ127:AK127"/>
    <mergeCell ref="AJ143:AK143"/>
    <mergeCell ref="AJ144:AK144"/>
    <mergeCell ref="AJ194:AK194"/>
    <mergeCell ref="AB39:AC39"/>
    <mergeCell ref="AJ93:AK93"/>
    <mergeCell ref="Z542:AA542"/>
    <mergeCell ref="AB459:AC459"/>
    <mergeCell ref="AB283:AC283"/>
    <mergeCell ref="AJ318:AK318"/>
    <mergeCell ref="AB47:AC47"/>
    <mergeCell ref="AJ277:AK277"/>
    <mergeCell ref="AE268:AG268"/>
    <mergeCell ref="Z267:AA267"/>
    <mergeCell ref="AE376:AG376"/>
    <mergeCell ref="AJ374:AK374"/>
    <mergeCell ref="AB176:AC176"/>
    <mergeCell ref="AE183:AG183"/>
    <mergeCell ref="AE393:AG393"/>
    <mergeCell ref="AE226:AG226"/>
    <mergeCell ref="AE404:AG404"/>
    <mergeCell ref="Z296:AA296"/>
    <mergeCell ref="AJ393:AK393"/>
    <mergeCell ref="AJ394:AK394"/>
    <mergeCell ref="Z383:AA383"/>
    <mergeCell ref="AE358:AG358"/>
    <mergeCell ref="AE335:AG335"/>
    <mergeCell ref="AJ382:AK382"/>
    <mergeCell ref="AJ195:AK195"/>
    <mergeCell ref="AE127:AG127"/>
    <mergeCell ref="Z117:AA117"/>
    <mergeCell ref="Z118:AA118"/>
    <mergeCell ref="AB118:AC118"/>
    <mergeCell ref="Z222:AA222"/>
    <mergeCell ref="AE201:AG201"/>
    <mergeCell ref="AE207:AG207"/>
    <mergeCell ref="M13:R13"/>
    <mergeCell ref="M31:R31"/>
    <mergeCell ref="AB17:AC17"/>
    <mergeCell ref="AJ180:AK180"/>
    <mergeCell ref="AB382:AC382"/>
    <mergeCell ref="AE299:AG299"/>
    <mergeCell ref="AB409:AC409"/>
    <mergeCell ref="AE406:AG406"/>
    <mergeCell ref="Z101:AA101"/>
    <mergeCell ref="AJ183:AK183"/>
    <mergeCell ref="Z177:AA177"/>
    <mergeCell ref="Z217:AA217"/>
    <mergeCell ref="AE204:AG204"/>
    <mergeCell ref="AB205:AC205"/>
    <mergeCell ref="Z208:AA208"/>
    <mergeCell ref="AB48:AC48"/>
    <mergeCell ref="AE435:AG435"/>
    <mergeCell ref="AJ123:AK123"/>
    <mergeCell ref="AJ35:AK35"/>
    <mergeCell ref="AE71:AG71"/>
    <mergeCell ref="AE178:AG178"/>
    <mergeCell ref="AJ313:AK313"/>
    <mergeCell ref="AE137:AG137"/>
    <mergeCell ref="Z179:AA179"/>
    <mergeCell ref="AE179:AG179"/>
    <mergeCell ref="AJ352:AK352"/>
    <mergeCell ref="AE329:AG329"/>
    <mergeCell ref="Z281:AA281"/>
    <mergeCell ref="AB316:AC316"/>
    <mergeCell ref="AB341:AC341"/>
    <mergeCell ref="AE217:AG217"/>
    <mergeCell ref="Z253:AA253"/>
    <mergeCell ref="AJ320:AK320"/>
    <mergeCell ref="AE319:AG319"/>
    <mergeCell ref="Q320:V320"/>
    <mergeCell ref="AJ33:AK33"/>
    <mergeCell ref="Z135:AA135"/>
    <mergeCell ref="AE278:AG278"/>
    <mergeCell ref="AE280:AG280"/>
    <mergeCell ref="AJ79:AK79"/>
    <mergeCell ref="AJ73:AK73"/>
    <mergeCell ref="AJ297:AK297"/>
    <mergeCell ref="Z141:AA141"/>
    <mergeCell ref="AB140:AC140"/>
    <mergeCell ref="AB227:AC227"/>
    <mergeCell ref="AB236:AC236"/>
    <mergeCell ref="AB225:AC225"/>
    <mergeCell ref="AJ225:AK225"/>
    <mergeCell ref="AB174:AC174"/>
    <mergeCell ref="AE221:AG221"/>
    <mergeCell ref="AE107:AG107"/>
    <mergeCell ref="AE102:AG102"/>
    <mergeCell ref="AE60:AG60"/>
    <mergeCell ref="AJ60:AK60"/>
    <mergeCell ref="AB67:AC67"/>
    <mergeCell ref="Z50:AA50"/>
    <mergeCell ref="AB207:AC207"/>
    <mergeCell ref="AE208:AG208"/>
    <mergeCell ref="AJ76:AK76"/>
    <mergeCell ref="AJ47:AK47"/>
    <mergeCell ref="Z84:AA84"/>
    <mergeCell ref="AB50:AC50"/>
    <mergeCell ref="AB42:AC42"/>
    <mergeCell ref="AE67:AG67"/>
    <mergeCell ref="AB342:AC342"/>
    <mergeCell ref="AE141:AG141"/>
    <mergeCell ref="AE186:AG186"/>
    <mergeCell ref="AJ156:AK156"/>
    <mergeCell ref="AJ158:AK158"/>
    <mergeCell ref="AB171:AC171"/>
    <mergeCell ref="R50:V50"/>
    <mergeCell ref="AK3:AS3"/>
    <mergeCell ref="AE31:AG31"/>
    <mergeCell ref="AE203:AG203"/>
    <mergeCell ref="AB237:AC237"/>
    <mergeCell ref="AB376:AC376"/>
    <mergeCell ref="M55:R55"/>
    <mergeCell ref="Z55:AA55"/>
    <mergeCell ref="AB55:AC55"/>
    <mergeCell ref="AE55:AG55"/>
    <mergeCell ref="M42:R42"/>
    <mergeCell ref="M78:R78"/>
    <mergeCell ref="AE75:AG75"/>
    <mergeCell ref="AJ81:AK81"/>
    <mergeCell ref="M70:R70"/>
    <mergeCell ref="AJ43:AK43"/>
    <mergeCell ref="AE68:AG68"/>
    <mergeCell ref="AJ263:AK263"/>
    <mergeCell ref="AE279:AG279"/>
    <mergeCell ref="Z264:AA264"/>
    <mergeCell ref="AJ270:AK270"/>
    <mergeCell ref="AJ272:AK272"/>
    <mergeCell ref="AE270:AG270"/>
    <mergeCell ref="Z274:AA274"/>
    <mergeCell ref="AB22:AC22"/>
    <mergeCell ref="AP5:AS5"/>
    <mergeCell ref="AE284:AG284"/>
    <mergeCell ref="AB91:AC91"/>
    <mergeCell ref="AB81:AC81"/>
    <mergeCell ref="AJ282:AK282"/>
    <mergeCell ref="Z170:AA170"/>
    <mergeCell ref="AE259:AG259"/>
    <mergeCell ref="AJ50:AK50"/>
    <mergeCell ref="AB44:AC44"/>
    <mergeCell ref="AJ48:AK48"/>
    <mergeCell ref="Z30:AA30"/>
    <mergeCell ref="Z35:AA35"/>
    <mergeCell ref="AB111:AC111"/>
    <mergeCell ref="AE22:AG22"/>
    <mergeCell ref="Z91:AA91"/>
    <mergeCell ref="AB60:AC60"/>
    <mergeCell ref="AJ203:AK203"/>
    <mergeCell ref="AE306:AG306"/>
    <mergeCell ref="AB149:AC149"/>
    <mergeCell ref="AE152:AG152"/>
    <mergeCell ref="Z158:AA158"/>
    <mergeCell ref="AB265:AC265"/>
    <mergeCell ref="Z263:AA263"/>
    <mergeCell ref="AJ280:AK280"/>
    <mergeCell ref="AJ85:AK85"/>
    <mergeCell ref="AE80:AG80"/>
    <mergeCell ref="AJ68:AK68"/>
    <mergeCell ref="Z67:AA67"/>
    <mergeCell ref="AJ100:AK100"/>
    <mergeCell ref="AE195:AG195"/>
    <mergeCell ref="AJ69:AK69"/>
    <mergeCell ref="AB70:AC70"/>
    <mergeCell ref="Z38:AA38"/>
    <mergeCell ref="M363:R363"/>
    <mergeCell ref="AB394:AC394"/>
    <mergeCell ref="AB38:AC38"/>
    <mergeCell ref="AJ161:AK161"/>
    <mergeCell ref="M41:R41"/>
    <mergeCell ref="AE35:AG35"/>
    <mergeCell ref="AJ27:AK27"/>
    <mergeCell ref="AK10:AL10"/>
    <mergeCell ref="AJ78:AK78"/>
    <mergeCell ref="AE42:AG42"/>
    <mergeCell ref="Z41:AA41"/>
    <mergeCell ref="AB59:AC59"/>
    <mergeCell ref="AE360:AG360"/>
    <mergeCell ref="AJ65:AK65"/>
    <mergeCell ref="AE379:AG379"/>
    <mergeCell ref="BD2:BE2"/>
    <mergeCell ref="AK5:AO5"/>
    <mergeCell ref="AE11:AG11"/>
    <mergeCell ref="AE19:AG19"/>
    <mergeCell ref="AJ37:AK37"/>
    <mergeCell ref="AJ22:AK22"/>
    <mergeCell ref="AJ32:AK32"/>
    <mergeCell ref="AE103:AG103"/>
    <mergeCell ref="AJ129:AK129"/>
    <mergeCell ref="AE123:AG123"/>
    <mergeCell ref="AE70:AG70"/>
    <mergeCell ref="AJ61:AK61"/>
    <mergeCell ref="AJ58:AK58"/>
    <mergeCell ref="AJ59:AK59"/>
    <mergeCell ref="AE59:AG59"/>
    <mergeCell ref="AJ106:AK106"/>
    <mergeCell ref="AE101:AG101"/>
    <mergeCell ref="AV3:BD3"/>
    <mergeCell ref="AE32:AG32"/>
    <mergeCell ref="AE15:AG15"/>
    <mergeCell ref="AJ12:AK12"/>
    <mergeCell ref="AB41:AC41"/>
    <mergeCell ref="AJ26:AK26"/>
    <mergeCell ref="AJ16:AK16"/>
    <mergeCell ref="AJ19:AK19"/>
    <mergeCell ref="AJ21:AK21"/>
    <mergeCell ref="AJ23:AK23"/>
    <mergeCell ref="AJ301:AK301"/>
    <mergeCell ref="AB193:AC193"/>
    <mergeCell ref="AJ38:AK38"/>
    <mergeCell ref="AB27:AC27"/>
    <mergeCell ref="AE27:AG27"/>
    <mergeCell ref="M56:R56"/>
    <mergeCell ref="AE26:AG26"/>
    <mergeCell ref="AE25:AG25"/>
    <mergeCell ref="Z43:AA43"/>
    <mergeCell ref="AB58:AC58"/>
    <mergeCell ref="AB222:AC222"/>
    <mergeCell ref="R221:U221"/>
    <mergeCell ref="AJ55:AK55"/>
    <mergeCell ref="AB110:AC110"/>
    <mergeCell ref="AJ31:AK31"/>
    <mergeCell ref="Z18:AA18"/>
    <mergeCell ref="Z29:AA29"/>
    <mergeCell ref="Z25:AA25"/>
    <mergeCell ref="AM10:AN10"/>
    <mergeCell ref="AJ111:AK111"/>
    <mergeCell ref="M45:R45"/>
    <mergeCell ref="M20:R20"/>
    <mergeCell ref="A22:G22"/>
    <mergeCell ref="I1:L1"/>
    <mergeCell ref="P2:X2"/>
    <mergeCell ref="P3:X3"/>
    <mergeCell ref="M37:R37"/>
    <mergeCell ref="Z75:AA75"/>
    <mergeCell ref="P4:X4"/>
    <mergeCell ref="Z64:AA64"/>
    <mergeCell ref="AE48:AG48"/>
    <mergeCell ref="M85:R85"/>
    <mergeCell ref="AJ15:AK15"/>
    <mergeCell ref="AB16:AC16"/>
    <mergeCell ref="AJ44:AK44"/>
    <mergeCell ref="AJ39:AK39"/>
    <mergeCell ref="M35:R35"/>
    <mergeCell ref="AB30:AC30"/>
    <mergeCell ref="AB49:AC49"/>
    <mergeCell ref="AB2:AE2"/>
    <mergeCell ref="M4:O4"/>
    <mergeCell ref="AE16:AG16"/>
    <mergeCell ref="AE12:AG12"/>
    <mergeCell ref="Z9:AC9"/>
    <mergeCell ref="M3:O3"/>
    <mergeCell ref="AJ67:AK67"/>
    <mergeCell ref="AB75:AC75"/>
    <mergeCell ref="AJ75:AK75"/>
    <mergeCell ref="Z78:AA78"/>
    <mergeCell ref="AB78:AC78"/>
    <mergeCell ref="AE78:AG78"/>
    <mergeCell ref="AK2:AR2"/>
    <mergeCell ref="AK7:AL7"/>
    <mergeCell ref="M26:R26"/>
    <mergeCell ref="AB31:AC31"/>
    <mergeCell ref="Z49:AA49"/>
    <mergeCell ref="M357:R357"/>
    <mergeCell ref="AE254:AG254"/>
    <mergeCell ref="M245:R245"/>
    <mergeCell ref="AE18:AG18"/>
    <mergeCell ref="AJ36:AK36"/>
    <mergeCell ref="AB98:AC98"/>
    <mergeCell ref="AJ89:AK89"/>
    <mergeCell ref="Z24:AA24"/>
    <mergeCell ref="AJ122:AK122"/>
    <mergeCell ref="AE120:AG120"/>
    <mergeCell ref="AB24:AC24"/>
    <mergeCell ref="M239:R239"/>
    <mergeCell ref="AB7:AG7"/>
    <mergeCell ref="R7:Z7"/>
    <mergeCell ref="Z27:AA27"/>
    <mergeCell ref="AJ13:AK13"/>
    <mergeCell ref="AB13:AC13"/>
    <mergeCell ref="AB343:AC343"/>
    <mergeCell ref="AB325:AC325"/>
    <mergeCell ref="AB350:AC350"/>
    <mergeCell ref="AB331:AC331"/>
    <mergeCell ref="AE346:AG346"/>
    <mergeCell ref="AE130:AG130"/>
    <mergeCell ref="AB104:AC104"/>
    <mergeCell ref="AJ107:AK107"/>
    <mergeCell ref="AE122:AG122"/>
    <mergeCell ref="Z120:AA120"/>
    <mergeCell ref="AJ121:AK121"/>
    <mergeCell ref="Z273:AA273"/>
    <mergeCell ref="AJ269:AK269"/>
    <mergeCell ref="AV1:AZ1"/>
    <mergeCell ref="P1:X1"/>
    <mergeCell ref="A4:B4"/>
    <mergeCell ref="A5:B5"/>
    <mergeCell ref="M5:O5"/>
    <mergeCell ref="AB21:AC21"/>
    <mergeCell ref="AK1:AR1"/>
    <mergeCell ref="AE185:AG185"/>
    <mergeCell ref="Z203:AA203"/>
    <mergeCell ref="Z70:AA70"/>
    <mergeCell ref="AB142:AC142"/>
    <mergeCell ref="AB337:AC337"/>
    <mergeCell ref="AE47:AG47"/>
    <mergeCell ref="AE49:AG49"/>
    <mergeCell ref="Z33:AA33"/>
    <mergeCell ref="M370:R370"/>
    <mergeCell ref="M326:R326"/>
    <mergeCell ref="M157:R157"/>
    <mergeCell ref="AE21:AG21"/>
    <mergeCell ref="AB32:AC32"/>
    <mergeCell ref="Z48:AA48"/>
    <mergeCell ref="AJ102:AK102"/>
    <mergeCell ref="Z102:AA102"/>
    <mergeCell ref="AB152:AC152"/>
    <mergeCell ref="AJ207:AK207"/>
    <mergeCell ref="AB158:AC158"/>
    <mergeCell ref="AE161:AG161"/>
    <mergeCell ref="M90:R90"/>
    <mergeCell ref="AJ87:AK87"/>
    <mergeCell ref="AJ90:AK90"/>
    <mergeCell ref="AB45:AC45"/>
    <mergeCell ref="AE84:AG84"/>
    <mergeCell ref="AE743:AG743"/>
    <mergeCell ref="M121:R121"/>
    <mergeCell ref="AB318:AC318"/>
    <mergeCell ref="Z320:AA320"/>
    <mergeCell ref="AB372:AC372"/>
    <mergeCell ref="M469:R469"/>
    <mergeCell ref="M546:R546"/>
    <mergeCell ref="Z140:AA140"/>
    <mergeCell ref="AB62:AC62"/>
    <mergeCell ref="Z297:AA297"/>
    <mergeCell ref="K800:L800"/>
    <mergeCell ref="M804:R804"/>
    <mergeCell ref="AB629:AC629"/>
    <mergeCell ref="K621:L621"/>
    <mergeCell ref="AB750:AC750"/>
    <mergeCell ref="Z73:AA73"/>
    <mergeCell ref="M76:R76"/>
    <mergeCell ref="AB301:AC301"/>
    <mergeCell ref="AE288:AG288"/>
    <mergeCell ref="AB392:AC392"/>
    <mergeCell ref="AE210:AG210"/>
    <mergeCell ref="Z244:AA244"/>
    <mergeCell ref="Z209:AA209"/>
    <mergeCell ref="AE222:AG222"/>
    <mergeCell ref="AE291:AG291"/>
    <mergeCell ref="Z175:AA175"/>
    <mergeCell ref="AE150:AG150"/>
    <mergeCell ref="Z90:AA90"/>
    <mergeCell ref="AE73:AG73"/>
    <mergeCell ref="Z80:AA80"/>
    <mergeCell ref="AB258:AC258"/>
    <mergeCell ref="AE397:AG397"/>
    <mergeCell ref="AJ72:AK72"/>
    <mergeCell ref="AB26:AC26"/>
    <mergeCell ref="AJ20:AK20"/>
    <mergeCell ref="AE33:AG33"/>
    <mergeCell ref="K31:L31"/>
    <mergeCell ref="K41:L41"/>
    <mergeCell ref="K23:L23"/>
    <mergeCell ref="AB29:AC29"/>
    <mergeCell ref="AJ84:AK84"/>
    <mergeCell ref="Z13:AA13"/>
    <mergeCell ref="Z112:AA112"/>
    <mergeCell ref="Z100:AA100"/>
    <mergeCell ref="AB107:AC107"/>
    <mergeCell ref="Z132:AA132"/>
    <mergeCell ref="Z193:AA193"/>
    <mergeCell ref="K726:L726"/>
    <mergeCell ref="M727:R727"/>
    <mergeCell ref="AB119:AC119"/>
    <mergeCell ref="AE61:AG61"/>
    <mergeCell ref="AE411:AG411"/>
    <mergeCell ref="AE249:AG249"/>
    <mergeCell ref="Z509:AA509"/>
    <mergeCell ref="AJ159:AK159"/>
    <mergeCell ref="Z86:AA86"/>
    <mergeCell ref="AB129:AC129"/>
    <mergeCell ref="K133:L133"/>
    <mergeCell ref="K127:L127"/>
    <mergeCell ref="AB548:AC548"/>
    <mergeCell ref="Z543:AA543"/>
    <mergeCell ref="AB423:AC423"/>
    <mergeCell ref="Z525:AA525"/>
    <mergeCell ref="AE521:AG521"/>
    <mergeCell ref="AE8:AM8"/>
    <mergeCell ref="M132:R132"/>
    <mergeCell ref="J47:L47"/>
    <mergeCell ref="AB80:AC80"/>
    <mergeCell ref="AE158:AG158"/>
    <mergeCell ref="K176:L176"/>
    <mergeCell ref="AB144:AC144"/>
    <mergeCell ref="AK4:AS4"/>
    <mergeCell ref="AM7:AN7"/>
    <mergeCell ref="AK9:AO9"/>
    <mergeCell ref="Z1:AE1"/>
    <mergeCell ref="AB40:AC40"/>
    <mergeCell ref="AD9:AG9"/>
    <mergeCell ref="AB3:AE3"/>
    <mergeCell ref="AB4:AE4"/>
    <mergeCell ref="M8:N8"/>
    <mergeCell ref="J8:L8"/>
    <mergeCell ref="AJ11:AK11"/>
    <mergeCell ref="AJ70:AK70"/>
    <mergeCell ref="AJ71:AK71"/>
    <mergeCell ref="K13:L13"/>
    <mergeCell ref="Z39:AA39"/>
    <mergeCell ref="AE56:AG56"/>
    <mergeCell ref="R25:U25"/>
    <mergeCell ref="AE85:AG85"/>
    <mergeCell ref="AB61:AC61"/>
    <mergeCell ref="AE76:AG76"/>
    <mergeCell ref="K20:L20"/>
    <mergeCell ref="K75:L75"/>
    <mergeCell ref="M38:R38"/>
    <mergeCell ref="Z16:AA16"/>
    <mergeCell ref="Z15:AA15"/>
    <mergeCell ref="AJ182:AK182"/>
    <mergeCell ref="AJ120:AK120"/>
    <mergeCell ref="AE333:AG333"/>
    <mergeCell ref="AB333:AC333"/>
    <mergeCell ref="AJ334:AK334"/>
    <mergeCell ref="AE332:AG332"/>
    <mergeCell ref="AE247:AG247"/>
    <mergeCell ref="AE244:AG244"/>
    <mergeCell ref="AJ253:AK253"/>
    <mergeCell ref="AB247:AC247"/>
    <mergeCell ref="AB121:AC121"/>
    <mergeCell ref="AB262:AC262"/>
    <mergeCell ref="AJ226:AK226"/>
    <mergeCell ref="AE219:AG219"/>
    <mergeCell ref="AE231:AG231"/>
    <mergeCell ref="Z272:AA272"/>
    <mergeCell ref="AE119:AG119"/>
    <mergeCell ref="AE125:AG125"/>
    <mergeCell ref="Z191:AA191"/>
    <mergeCell ref="AB120:AC120"/>
    <mergeCell ref="AB161:AC161"/>
    <mergeCell ref="AE173:AG173"/>
    <mergeCell ref="Z258:AA258"/>
    <mergeCell ref="Z313:AA313"/>
    <mergeCell ref="AB178:AC178"/>
    <mergeCell ref="AB165:AC165"/>
    <mergeCell ref="AE165:AG165"/>
    <mergeCell ref="AJ275:AK275"/>
    <mergeCell ref="AE273:AG273"/>
    <mergeCell ref="AJ278:AK278"/>
    <mergeCell ref="AE330:AG330"/>
    <mergeCell ref="AE281:AG281"/>
    <mergeCell ref="G1:H1"/>
    <mergeCell ref="O8:Z8"/>
    <mergeCell ref="AJ29:AK29"/>
    <mergeCell ref="AE17:AG17"/>
    <mergeCell ref="Z21:AA21"/>
    <mergeCell ref="M17:R17"/>
    <mergeCell ref="AJ41:AK41"/>
    <mergeCell ref="AJ64:AK64"/>
    <mergeCell ref="AJ40:AK40"/>
    <mergeCell ref="AJ42:AK42"/>
    <mergeCell ref="AJ34:AK34"/>
    <mergeCell ref="P5:X5"/>
    <mergeCell ref="AB11:AC11"/>
    <mergeCell ref="AB12:AC12"/>
    <mergeCell ref="R16:U16"/>
    <mergeCell ref="AB154:AC154"/>
    <mergeCell ref="AJ126:AK126"/>
    <mergeCell ref="AJ130:AK130"/>
    <mergeCell ref="Z152:AA152"/>
    <mergeCell ref="AB150:AC150"/>
    <mergeCell ref="AE139:AG139"/>
    <mergeCell ref="Z131:AA131"/>
    <mergeCell ref="M75:R75"/>
    <mergeCell ref="K74:L74"/>
    <mergeCell ref="Z74:AA74"/>
    <mergeCell ref="Z71:AA71"/>
    <mergeCell ref="AB74:AC74"/>
    <mergeCell ref="AA5:AC5"/>
    <mergeCell ref="R65:U65"/>
    <mergeCell ref="AB72:AC72"/>
    <mergeCell ref="M57:R57"/>
    <mergeCell ref="K57:L57"/>
    <mergeCell ref="AE968:AG968"/>
    <mergeCell ref="AB1050:AC1050"/>
    <mergeCell ref="AE1082:AG1082"/>
    <mergeCell ref="AB1107:AC1107"/>
    <mergeCell ref="AE1107:AG1107"/>
    <mergeCell ref="AE1127:AG1127"/>
    <mergeCell ref="AE1087:AG1087"/>
    <mergeCell ref="AB571:AC571"/>
    <mergeCell ref="Z477:AA477"/>
    <mergeCell ref="AE589:AG589"/>
    <mergeCell ref="R303:U303"/>
    <mergeCell ref="AB23:AC23"/>
    <mergeCell ref="AE38:AG38"/>
    <mergeCell ref="AE24:AG24"/>
    <mergeCell ref="AE646:AG646"/>
    <mergeCell ref="AE638:AG638"/>
    <mergeCell ref="Z459:AA459"/>
    <mergeCell ref="Z329:AA329"/>
    <mergeCell ref="Z765:AA765"/>
    <mergeCell ref="Z392:AA392"/>
    <mergeCell ref="Z391:AA391"/>
    <mergeCell ref="Z397:AA397"/>
    <mergeCell ref="AE745:AG745"/>
    <mergeCell ref="AB835:AC835"/>
    <mergeCell ref="AB844:AC844"/>
    <mergeCell ref="AE831:AG831"/>
    <mergeCell ref="M375:R375"/>
    <mergeCell ref="M452:R452"/>
    <mergeCell ref="M500:R500"/>
    <mergeCell ref="Z511:AA511"/>
    <mergeCell ref="M444:R444"/>
    <mergeCell ref="AB444:AC444"/>
    <mergeCell ref="K565:L565"/>
    <mergeCell ref="AB581:AC581"/>
    <mergeCell ref="K385:L385"/>
    <mergeCell ref="Z429:AA429"/>
    <mergeCell ref="Z11:AA11"/>
    <mergeCell ref="M12:R12"/>
    <mergeCell ref="AE639:AG639"/>
    <mergeCell ref="AB278:AC278"/>
    <mergeCell ref="Z12:AA12"/>
    <mergeCell ref="R11:U11"/>
    <mergeCell ref="K10:L10"/>
    <mergeCell ref="AB68:AC68"/>
    <mergeCell ref="K331:L331"/>
    <mergeCell ref="Z341:AA341"/>
    <mergeCell ref="K329:L329"/>
    <mergeCell ref="M421:R421"/>
    <mergeCell ref="Z412:AA412"/>
    <mergeCell ref="M432:R432"/>
    <mergeCell ref="AE272:AG272"/>
    <mergeCell ref="AE58:AG58"/>
    <mergeCell ref="AE62:AG62"/>
    <mergeCell ref="R101:U101"/>
    <mergeCell ref="AE401:AG401"/>
    <mergeCell ref="AE403:AG403"/>
    <mergeCell ref="AE410:AG410"/>
    <mergeCell ref="M405:R405"/>
    <mergeCell ref="K17:L17"/>
    <mergeCell ref="AE267:AG267"/>
    <mergeCell ref="Z26:AA26"/>
    <mergeCell ref="K45:L45"/>
    <mergeCell ref="K49:L49"/>
    <mergeCell ref="AB391:AC391"/>
    <mergeCell ref="Z6:AG6"/>
    <mergeCell ref="K26:L26"/>
    <mergeCell ref="K37:L37"/>
    <mergeCell ref="M46:R46"/>
    <mergeCell ref="K27:L27"/>
    <mergeCell ref="M27:R27"/>
    <mergeCell ref="K287:L287"/>
    <mergeCell ref="AE40:AG40"/>
    <mergeCell ref="AJ150:AK150"/>
    <mergeCell ref="AE151:AG151"/>
    <mergeCell ref="Z62:AA62"/>
    <mergeCell ref="AE69:AG69"/>
    <mergeCell ref="M32:R32"/>
    <mergeCell ref="K35:L35"/>
    <mergeCell ref="M233:R233"/>
    <mergeCell ref="J50:L50"/>
    <mergeCell ref="AJ30:AK30"/>
    <mergeCell ref="AJ24:AK24"/>
    <mergeCell ref="AJ17:AK17"/>
    <mergeCell ref="AJ62:AK62"/>
    <mergeCell ref="AJ25:AK25"/>
    <mergeCell ref="Z23:AA23"/>
    <mergeCell ref="Z20:AA20"/>
    <mergeCell ref="AB20:AC20"/>
    <mergeCell ref="AE20:AG20"/>
    <mergeCell ref="AE41:AG41"/>
    <mergeCell ref="AE191:AG191"/>
    <mergeCell ref="Z245:AA245"/>
    <mergeCell ref="Z280:AA280"/>
    <mergeCell ref="AB103:AC103"/>
    <mergeCell ref="Z85:AA85"/>
    <mergeCell ref="Z58:AA58"/>
    <mergeCell ref="AJ54:AK54"/>
    <mergeCell ref="AJ240:AK240"/>
    <mergeCell ref="AJ259:AK259"/>
    <mergeCell ref="AJ169:AK169"/>
    <mergeCell ref="M23:R23"/>
    <mergeCell ref="AB208:AC208"/>
    <mergeCell ref="M71:R71"/>
    <mergeCell ref="M74:R74"/>
    <mergeCell ref="R307:U307"/>
    <mergeCell ref="P321:U321"/>
    <mergeCell ref="M308:R308"/>
    <mergeCell ref="R59:U59"/>
    <mergeCell ref="AB320:AC320"/>
    <mergeCell ref="Z65:AA65"/>
    <mergeCell ref="AB122:AC122"/>
    <mergeCell ref="AJ108:AK108"/>
    <mergeCell ref="AD10:AG10"/>
    <mergeCell ref="AB264:AC264"/>
    <mergeCell ref="AB302:AC302"/>
    <mergeCell ref="AB213:AC213"/>
    <mergeCell ref="AB170:AC170"/>
    <mergeCell ref="AB15:AC15"/>
    <mergeCell ref="Z76:AA76"/>
    <mergeCell ref="Z22:AA22"/>
    <mergeCell ref="AB43:AC43"/>
    <mergeCell ref="AB64:AC64"/>
    <mergeCell ref="AB270:AC270"/>
    <mergeCell ref="AB220:AC220"/>
    <mergeCell ref="M316:R316"/>
    <mergeCell ref="M321:O321"/>
    <mergeCell ref="AB189:AC189"/>
    <mergeCell ref="M49:R49"/>
    <mergeCell ref="AB19:AC19"/>
    <mergeCell ref="AE30:AG30"/>
    <mergeCell ref="Z19:AA19"/>
    <mergeCell ref="AB148:AC148"/>
    <mergeCell ref="Z45:AA45"/>
    <mergeCell ref="Z233:AA233"/>
    <mergeCell ref="AE282:AG282"/>
    <mergeCell ref="Z279:AA279"/>
    <mergeCell ref="AB73:AC73"/>
    <mergeCell ref="M299:R299"/>
    <mergeCell ref="M372:R372"/>
    <mergeCell ref="AB353:AC353"/>
    <mergeCell ref="AE324:AG324"/>
    <mergeCell ref="Z345:AA345"/>
    <mergeCell ref="AE343:AG343"/>
    <mergeCell ref="M140:R140"/>
    <mergeCell ref="M178:R178"/>
    <mergeCell ref="M277:R277"/>
    <mergeCell ref="Z160:AA160"/>
    <mergeCell ref="AB257:AC257"/>
    <mergeCell ref="AB85:AC85"/>
    <mergeCell ref="AE74:AG74"/>
    <mergeCell ref="AB57:AC57"/>
    <mergeCell ref="AB340:AC340"/>
    <mergeCell ref="Z127:AA127"/>
    <mergeCell ref="AB33:AC33"/>
    <mergeCell ref="AE36:AG36"/>
    <mergeCell ref="AE64:AG64"/>
    <mergeCell ref="AB71:AC71"/>
    <mergeCell ref="M73:R73"/>
    <mergeCell ref="N320:O320"/>
    <mergeCell ref="AB339:AC339"/>
    <mergeCell ref="AJ332:AK332"/>
    <mergeCell ref="AE29:AG29"/>
    <mergeCell ref="AE23:AG23"/>
    <mergeCell ref="AB18:AC18"/>
    <mergeCell ref="AJ105:AK105"/>
    <mergeCell ref="AJ74:AK74"/>
    <mergeCell ref="AJ56:AK56"/>
    <mergeCell ref="Z31:AA31"/>
    <mergeCell ref="Z230:AA230"/>
    <mergeCell ref="R325:U325"/>
    <mergeCell ref="Z255:AA255"/>
    <mergeCell ref="AE255:AG255"/>
    <mergeCell ref="AB175:AC175"/>
    <mergeCell ref="AJ174:AK174"/>
    <mergeCell ref="Z171:AA171"/>
    <mergeCell ref="AJ189:AK189"/>
    <mergeCell ref="AJ210:AK210"/>
    <mergeCell ref="AE205:AG205"/>
    <mergeCell ref="AE50:AG50"/>
    <mergeCell ref="AE148:AG148"/>
    <mergeCell ref="AE143:AG143"/>
    <mergeCell ref="Z110:AA110"/>
    <mergeCell ref="AB76:AC76"/>
    <mergeCell ref="Z286:AA286"/>
    <mergeCell ref="Z324:AA324"/>
    <mergeCell ref="Z285:AA285"/>
    <mergeCell ref="AE121:AG121"/>
    <mergeCell ref="Z249:AA249"/>
    <mergeCell ref="Z225:AA225"/>
    <mergeCell ref="AE104:AG104"/>
    <mergeCell ref="Z98:AA98"/>
    <mergeCell ref="AB101:AC101"/>
    <mergeCell ref="AE309:AG309"/>
    <mergeCell ref="K202:L202"/>
    <mergeCell ref="K207:L207"/>
    <mergeCell ref="K250:L250"/>
    <mergeCell ref="K241:L241"/>
    <mergeCell ref="AE327:AG327"/>
    <mergeCell ref="M317:R317"/>
    <mergeCell ref="Z444:AA444"/>
    <mergeCell ref="M216:R216"/>
    <mergeCell ref="Z154:AA154"/>
    <mergeCell ref="AE301:AG301"/>
    <mergeCell ref="M129:R129"/>
    <mergeCell ref="Z378:AA378"/>
    <mergeCell ref="Z195:AA195"/>
    <mergeCell ref="R369:U369"/>
    <mergeCell ref="M151:R151"/>
    <mergeCell ref="Z121:AA121"/>
    <mergeCell ref="Z443:AA443"/>
    <mergeCell ref="K435:L435"/>
    <mergeCell ref="K396:L396"/>
    <mergeCell ref="K199:L199"/>
    <mergeCell ref="AE240:AG240"/>
    <mergeCell ref="K394:L394"/>
    <mergeCell ref="Z374:AA374"/>
    <mergeCell ref="AB126:AC126"/>
    <mergeCell ref="K297:L297"/>
    <mergeCell ref="Z399:AA399"/>
    <mergeCell ref="AB399:AC399"/>
    <mergeCell ref="K281:L281"/>
    <mergeCell ref="K245:L245"/>
    <mergeCell ref="M394:R394"/>
    <mergeCell ref="K128:L128"/>
    <mergeCell ref="AE828:AG828"/>
    <mergeCell ref="K870:L870"/>
    <mergeCell ref="AE606:AG606"/>
    <mergeCell ref="AE600:AG600"/>
    <mergeCell ref="AE664:AG664"/>
    <mergeCell ref="AE703:AG703"/>
    <mergeCell ref="AE685:AG685"/>
    <mergeCell ref="K634:L634"/>
    <mergeCell ref="AB725:AC725"/>
    <mergeCell ref="M663:R663"/>
    <mergeCell ref="M702:R702"/>
    <mergeCell ref="M489:R489"/>
    <mergeCell ref="Z104:AA104"/>
    <mergeCell ref="M336:R336"/>
    <mergeCell ref="R346:U346"/>
    <mergeCell ref="M347:R347"/>
    <mergeCell ref="M493:R493"/>
    <mergeCell ref="K201:L201"/>
    <mergeCell ref="M212:R212"/>
    <mergeCell ref="J208:L208"/>
    <mergeCell ref="K230:L230"/>
    <mergeCell ref="K205:L205"/>
    <mergeCell ref="M156:R156"/>
    <mergeCell ref="Z109:AA109"/>
    <mergeCell ref="AB109:AC109"/>
    <mergeCell ref="AE109:AG109"/>
    <mergeCell ref="K363:L363"/>
    <mergeCell ref="AE446:AG446"/>
    <mergeCell ref="Z422:AA422"/>
    <mergeCell ref="AB419:AC419"/>
    <mergeCell ref="AE423:AG423"/>
    <mergeCell ref="M344:R344"/>
    <mergeCell ref="Z333:AA333"/>
    <mergeCell ref="Z335:AA335"/>
    <mergeCell ref="R322:U322"/>
    <mergeCell ref="K418:L418"/>
    <mergeCell ref="R411:U411"/>
    <mergeCell ref="K257:L257"/>
    <mergeCell ref="K258:L258"/>
    <mergeCell ref="AB241:AC241"/>
    <mergeCell ref="Q242:V242"/>
    <mergeCell ref="Z254:AA254"/>
    <mergeCell ref="AE246:AG246"/>
    <mergeCell ref="AE202:AG202"/>
    <mergeCell ref="M240:R240"/>
    <mergeCell ref="Z229:AA229"/>
    <mergeCell ref="M235:R235"/>
    <mergeCell ref="AB550:AC550"/>
    <mergeCell ref="AE811:AG811"/>
    <mergeCell ref="Q341:V341"/>
    <mergeCell ref="AE264:AG264"/>
    <mergeCell ref="Z268:AA268"/>
    <mergeCell ref="AB268:AC268"/>
    <mergeCell ref="AB263:AC263"/>
    <mergeCell ref="AB490:AC490"/>
    <mergeCell ref="AE430:AG430"/>
    <mergeCell ref="AE427:AG427"/>
    <mergeCell ref="AE474:AG474"/>
    <mergeCell ref="Z409:AA409"/>
    <mergeCell ref="K211:L211"/>
    <mergeCell ref="M211:R211"/>
    <mergeCell ref="Z289:AA289"/>
    <mergeCell ref="AE310:AG310"/>
    <mergeCell ref="Z301:AA301"/>
    <mergeCell ref="J572:L572"/>
    <mergeCell ref="M571:R571"/>
    <mergeCell ref="H2:J2"/>
    <mergeCell ref="AE807:AG807"/>
    <mergeCell ref="K330:L330"/>
    <mergeCell ref="K1298:L1298"/>
    <mergeCell ref="AE501:AG501"/>
    <mergeCell ref="K378:L378"/>
    <mergeCell ref="K796:L796"/>
    <mergeCell ref="K817:L817"/>
    <mergeCell ref="K1335:L1335"/>
    <mergeCell ref="K1126:L1126"/>
    <mergeCell ref="Z469:AA469"/>
    <mergeCell ref="AE847:AG847"/>
    <mergeCell ref="Z468:AA468"/>
    <mergeCell ref="Z536:AA536"/>
    <mergeCell ref="AE993:AG993"/>
    <mergeCell ref="AE86:AG86"/>
    <mergeCell ref="Z134:AA134"/>
    <mergeCell ref="AE391:AG391"/>
    <mergeCell ref="AE13:AG13"/>
    <mergeCell ref="Z151:AA151"/>
    <mergeCell ref="Z61:AA61"/>
    <mergeCell ref="AE39:AG39"/>
    <mergeCell ref="Z726:AA726"/>
    <mergeCell ref="AB728:AC728"/>
    <mergeCell ref="Q697:V697"/>
    <mergeCell ref="K725:L725"/>
    <mergeCell ref="Z723:AA723"/>
    <mergeCell ref="K570:L570"/>
    <mergeCell ref="J445:L445"/>
    <mergeCell ref="K277:L277"/>
    <mergeCell ref="Z575:AA575"/>
    <mergeCell ref="Z693:AA693"/>
    <mergeCell ref="AB697:AC697"/>
    <mergeCell ref="M646:R646"/>
    <mergeCell ref="K607:L607"/>
    <mergeCell ref="Z719:AA719"/>
    <mergeCell ref="K659:L659"/>
    <mergeCell ref="M649:R649"/>
    <mergeCell ref="M592:R592"/>
    <mergeCell ref="AB245:AC245"/>
    <mergeCell ref="AE245:AG245"/>
    <mergeCell ref="AB412:AC412"/>
    <mergeCell ref="M278:R278"/>
    <mergeCell ref="Z265:AA265"/>
    <mergeCell ref="AE392:AG392"/>
    <mergeCell ref="K55:L55"/>
    <mergeCell ref="Z137:AA137"/>
    <mergeCell ref="Z534:AA534"/>
    <mergeCell ref="M229:R229"/>
    <mergeCell ref="K240:L240"/>
    <mergeCell ref="K244:L244"/>
    <mergeCell ref="M244:R244"/>
    <mergeCell ref="K198:L198"/>
    <mergeCell ref="AB719:AC719"/>
    <mergeCell ref="K496:L496"/>
    <mergeCell ref="K497:L497"/>
    <mergeCell ref="Z478:AA478"/>
    <mergeCell ref="AB492:AC492"/>
    <mergeCell ref="M667:R667"/>
    <mergeCell ref="R543:U543"/>
    <mergeCell ref="AE307:AG307"/>
    <mergeCell ref="K464:L464"/>
    <mergeCell ref="M634:R634"/>
    <mergeCell ref="M700:R700"/>
    <mergeCell ref="AB593:AC593"/>
    <mergeCell ref="K381:L381"/>
    <mergeCell ref="R462:U462"/>
    <mergeCell ref="M384:R384"/>
    <mergeCell ref="K521:L521"/>
    <mergeCell ref="AE623:AG623"/>
    <mergeCell ref="AB1060:AC1060"/>
    <mergeCell ref="AE1051:AG1051"/>
    <mergeCell ref="M1171:R1171"/>
    <mergeCell ref="Z1163:AA1163"/>
    <mergeCell ref="K885:L885"/>
    <mergeCell ref="M1162:R1162"/>
    <mergeCell ref="K2:L2"/>
    <mergeCell ref="AB672:AC672"/>
    <mergeCell ref="AE461:AG461"/>
    <mergeCell ref="Z618:AA618"/>
    <mergeCell ref="AB442:AC442"/>
    <mergeCell ref="K304:L304"/>
    <mergeCell ref="Z592:AA592"/>
    <mergeCell ref="AB591:AC591"/>
    <mergeCell ref="M701:R701"/>
    <mergeCell ref="M734:R734"/>
    <mergeCell ref="N697:O697"/>
    <mergeCell ref="AB691:AC691"/>
    <mergeCell ref="K612:L612"/>
    <mergeCell ref="Z570:AA570"/>
    <mergeCell ref="AB641:AC641"/>
    <mergeCell ref="Z640:AA640"/>
    <mergeCell ref="AB671:AC671"/>
    <mergeCell ref="AB592:AC592"/>
    <mergeCell ref="Z621:AA621"/>
    <mergeCell ref="K370:L370"/>
    <mergeCell ref="AB334:AC334"/>
    <mergeCell ref="AB566:AC566"/>
    <mergeCell ref="AB561:AC561"/>
    <mergeCell ref="AB1141:AC1141"/>
    <mergeCell ref="K642:L642"/>
    <mergeCell ref="AB660:AC660"/>
    <mergeCell ref="Z1366:AA1366"/>
    <mergeCell ref="M398:R398"/>
    <mergeCell ref="AB212:AC212"/>
    <mergeCell ref="M409:R409"/>
    <mergeCell ref="K259:L259"/>
    <mergeCell ref="AB711:AC711"/>
    <mergeCell ref="J638:L638"/>
    <mergeCell ref="M501:R501"/>
    <mergeCell ref="K526:L526"/>
    <mergeCell ref="AB589:AC589"/>
    <mergeCell ref="AB587:AC587"/>
    <mergeCell ref="AB582:AC582"/>
    <mergeCell ref="M506:R506"/>
    <mergeCell ref="K283:L283"/>
    <mergeCell ref="K580:L580"/>
    <mergeCell ref="M580:R580"/>
    <mergeCell ref="K472:L472"/>
    <mergeCell ref="Q1328:V1328"/>
    <mergeCell ref="M1301:R1301"/>
    <mergeCell ref="K1145:L1145"/>
    <mergeCell ref="M472:R472"/>
    <mergeCell ref="K1089:L1089"/>
    <mergeCell ref="Z1110:AA1110"/>
    <mergeCell ref="Z1076:AA1076"/>
    <mergeCell ref="AB588:AC588"/>
    <mergeCell ref="K747:L747"/>
    <mergeCell ref="K372:L372"/>
    <mergeCell ref="AB415:AC415"/>
    <mergeCell ref="K611:L611"/>
    <mergeCell ref="AB596:AC596"/>
    <mergeCell ref="Z771:AA771"/>
    <mergeCell ref="M1375:R1375"/>
    <mergeCell ref="Z1246:AA1246"/>
    <mergeCell ref="K1257:L1257"/>
    <mergeCell ref="Z1197:AA1197"/>
    <mergeCell ref="AB631:AC631"/>
    <mergeCell ref="M611:R611"/>
    <mergeCell ref="M1577:R1577"/>
    <mergeCell ref="R1587:U1587"/>
    <mergeCell ref="M806:R806"/>
    <mergeCell ref="K1269:L1269"/>
    <mergeCell ref="K720:L720"/>
    <mergeCell ref="AB830:AC830"/>
    <mergeCell ref="K844:L844"/>
    <mergeCell ref="K1418:L1418"/>
    <mergeCell ref="M1519:R1519"/>
    <mergeCell ref="K1511:L1511"/>
    <mergeCell ref="K675:L675"/>
    <mergeCell ref="Q518:V518"/>
    <mergeCell ref="AB558:AC558"/>
    <mergeCell ref="Z559:AA559"/>
    <mergeCell ref="K548:L548"/>
    <mergeCell ref="M674:R674"/>
    <mergeCell ref="Z689:AA689"/>
    <mergeCell ref="AB578:AC578"/>
    <mergeCell ref="AB601:AC601"/>
    <mergeCell ref="AE408:AG408"/>
    <mergeCell ref="AE413:AG413"/>
    <mergeCell ref="AE388:AG388"/>
    <mergeCell ref="Z389:AA389"/>
    <mergeCell ref="AB389:AC389"/>
    <mergeCell ref="Q353:V353"/>
    <mergeCell ref="K371:L371"/>
    <mergeCell ref="K336:L336"/>
    <mergeCell ref="K430:L430"/>
    <mergeCell ref="Z521:AA521"/>
    <mergeCell ref="K493:L493"/>
    <mergeCell ref="K482:L482"/>
    <mergeCell ref="AE412:AG412"/>
    <mergeCell ref="Z464:AA464"/>
    <mergeCell ref="Z503:AA503"/>
    <mergeCell ref="Z490:AA490"/>
    <mergeCell ref="Z554:AA554"/>
    <mergeCell ref="K537:L537"/>
    <mergeCell ref="AB381:AC381"/>
    <mergeCell ref="Z394:AA394"/>
    <mergeCell ref="AB407:AC407"/>
    <mergeCell ref="Z495:AA495"/>
    <mergeCell ref="AB426:AC426"/>
    <mergeCell ref="K460:L460"/>
    <mergeCell ref="AE460:AG460"/>
    <mergeCell ref="M521:R521"/>
    <mergeCell ref="AB387:AC387"/>
    <mergeCell ref="AE348:AG348"/>
    <mergeCell ref="AB344:AC344"/>
    <mergeCell ref="Z354:AA354"/>
    <mergeCell ref="Z344:AA344"/>
    <mergeCell ref="AB367:AC367"/>
    <mergeCell ref="AE443:AG443"/>
    <mergeCell ref="AE614:AG614"/>
    <mergeCell ref="K734:L734"/>
    <mergeCell ref="K683:L683"/>
    <mergeCell ref="AB542:AC542"/>
    <mergeCell ref="Z628:AA628"/>
    <mergeCell ref="M680:R680"/>
    <mergeCell ref="M677:R677"/>
    <mergeCell ref="Z566:AA566"/>
    <mergeCell ref="AB565:AC565"/>
    <mergeCell ref="Z591:AA591"/>
    <mergeCell ref="Z590:AA590"/>
    <mergeCell ref="Z576:AA576"/>
    <mergeCell ref="M710:R710"/>
    <mergeCell ref="AB574:AC574"/>
    <mergeCell ref="AB694:AC694"/>
    <mergeCell ref="K695:L695"/>
    <mergeCell ref="M695:R695"/>
    <mergeCell ref="Z695:AA695"/>
    <mergeCell ref="AB695:AC695"/>
    <mergeCell ref="Z696:AA696"/>
    <mergeCell ref="Z567:AA567"/>
    <mergeCell ref="M566:R566"/>
    <mergeCell ref="R573:U573"/>
    <mergeCell ref="M686:R686"/>
    <mergeCell ref="Z634:AA634"/>
    <mergeCell ref="Z623:AA623"/>
    <mergeCell ref="K641:L641"/>
    <mergeCell ref="M526:R526"/>
    <mergeCell ref="M598:R598"/>
    <mergeCell ref="Z670:AA670"/>
    <mergeCell ref="K667:L667"/>
    <mergeCell ref="K627:L627"/>
    <mergeCell ref="AB633:AC633"/>
    <mergeCell ref="AE733:AG733"/>
    <mergeCell ref="K640:L640"/>
    <mergeCell ref="K617:L617"/>
    <mergeCell ref="Z563:AA563"/>
    <mergeCell ref="Z578:AA578"/>
    <mergeCell ref="Z822:AA822"/>
    <mergeCell ref="Z821:AA821"/>
    <mergeCell ref="Z830:AA830"/>
    <mergeCell ref="AB1372:AC1372"/>
    <mergeCell ref="M703:R703"/>
    <mergeCell ref="Z584:AA584"/>
    <mergeCell ref="M614:R614"/>
    <mergeCell ref="Z653:AA653"/>
    <mergeCell ref="Z603:AA603"/>
    <mergeCell ref="K746:L746"/>
    <mergeCell ref="K670:L670"/>
    <mergeCell ref="K1309:L1309"/>
    <mergeCell ref="AB642:AC642"/>
    <mergeCell ref="Z875:AA875"/>
    <mergeCell ref="M745:R745"/>
    <mergeCell ref="M698:O698"/>
    <mergeCell ref="AE666:AG666"/>
    <mergeCell ref="AE669:AG669"/>
    <mergeCell ref="AE670:AG670"/>
    <mergeCell ref="AE583:AG583"/>
    <mergeCell ref="K686:L686"/>
    <mergeCell ref="AE686:AG686"/>
    <mergeCell ref="Z1184:AA1184"/>
    <mergeCell ref="Z1233:AA1233"/>
    <mergeCell ref="AB763:AC763"/>
    <mergeCell ref="K12:L12"/>
    <mergeCell ref="AB307:AC307"/>
    <mergeCell ref="Z218:AA218"/>
    <mergeCell ref="Z465:AA465"/>
    <mergeCell ref="AB374:AC374"/>
    <mergeCell ref="AE564:AG564"/>
    <mergeCell ref="AB363:AC363"/>
    <mergeCell ref="AE420:AG420"/>
    <mergeCell ref="AE510:AG510"/>
    <mergeCell ref="Z17:AA17"/>
    <mergeCell ref="Z40:AA40"/>
    <mergeCell ref="Z32:AA32"/>
    <mergeCell ref="AE440:AG440"/>
    <mergeCell ref="AE425:AG425"/>
    <mergeCell ref="Z81:AA81"/>
    <mergeCell ref="Z870:AA870"/>
    <mergeCell ref="Z644:AA644"/>
    <mergeCell ref="Q632:V632"/>
    <mergeCell ref="AB661:AC661"/>
    <mergeCell ref="AB564:AC564"/>
    <mergeCell ref="AE747:AG747"/>
    <mergeCell ref="AE523:AG523"/>
    <mergeCell ref="M532:R532"/>
    <mergeCell ref="AB569:AC569"/>
    <mergeCell ref="M723:R723"/>
    <mergeCell ref="M722:R722"/>
    <mergeCell ref="R705:U705"/>
    <mergeCell ref="K592:L592"/>
    <mergeCell ref="AB693:AC693"/>
    <mergeCell ref="AB628:AC628"/>
    <mergeCell ref="K710:L710"/>
    <mergeCell ref="M552:R552"/>
    <mergeCell ref="K1791:L1791"/>
    <mergeCell ref="K1211:L1211"/>
    <mergeCell ref="Z1309:AA1309"/>
    <mergeCell ref="Z1278:AA1278"/>
    <mergeCell ref="K1536:L1536"/>
    <mergeCell ref="A1747:G1747"/>
    <mergeCell ref="AB1213:AC1213"/>
    <mergeCell ref="M1509:N1509"/>
    <mergeCell ref="M167:R167"/>
    <mergeCell ref="Z167:AA167"/>
    <mergeCell ref="AB167:AC167"/>
    <mergeCell ref="AE162:AG162"/>
    <mergeCell ref="AB162:AC162"/>
    <mergeCell ref="Z161:AA161"/>
    <mergeCell ref="M171:R171"/>
    <mergeCell ref="AB480:AC480"/>
    <mergeCell ref="AE132:AG132"/>
    <mergeCell ref="AB395:AC395"/>
    <mergeCell ref="Z657:AA657"/>
    <mergeCell ref="K655:L655"/>
    <mergeCell ref="K663:L663"/>
    <mergeCell ref="K733:L733"/>
    <mergeCell ref="AB577:AC577"/>
    <mergeCell ref="K355:L355"/>
    <mergeCell ref="Z404:AA404"/>
    <mergeCell ref="K469:L469"/>
    <mergeCell ref="Z552:AA552"/>
    <mergeCell ref="AB552:AC552"/>
    <mergeCell ref="Z744:AA744"/>
    <mergeCell ref="AB692:AC692"/>
    <mergeCell ref="Z698:AA698"/>
    <mergeCell ref="AB689:AC689"/>
    <mergeCell ref="Z1780:AG1780"/>
    <mergeCell ref="Z1593:AA1593"/>
    <mergeCell ref="Z1708:AA1708"/>
    <mergeCell ref="Z1608:AA1608"/>
    <mergeCell ref="Z1585:AA1585"/>
    <mergeCell ref="AE1548:AG1548"/>
    <mergeCell ref="AE1659:AG1659"/>
    <mergeCell ref="Z1716:AA1716"/>
    <mergeCell ref="K1577:L1577"/>
    <mergeCell ref="M1526:R1526"/>
    <mergeCell ref="AE1050:AG1050"/>
    <mergeCell ref="M1501:R1501"/>
    <mergeCell ref="K1399:L1399"/>
    <mergeCell ref="AB1379:AC1379"/>
    <mergeCell ref="AB1395:AC1395"/>
    <mergeCell ref="K1375:L1375"/>
    <mergeCell ref="K1356:L1356"/>
    <mergeCell ref="AB1153:AC1153"/>
    <mergeCell ref="M1778:N1778"/>
    <mergeCell ref="K1680:L1680"/>
    <mergeCell ref="M1668:R1668"/>
    <mergeCell ref="K1585:L1585"/>
    <mergeCell ref="K1694:L1694"/>
    <mergeCell ref="K1563:L1563"/>
    <mergeCell ref="R1521:U1521"/>
    <mergeCell ref="M1493:R1493"/>
    <mergeCell ref="AB1741:AC1741"/>
    <mergeCell ref="Z1339:AA1339"/>
    <mergeCell ref="Z1321:AA1321"/>
    <mergeCell ref="Z1235:AA1235"/>
    <mergeCell ref="Z1244:AA1244"/>
    <mergeCell ref="AB1317:AC1317"/>
    <mergeCell ref="Z633:AA633"/>
    <mergeCell ref="K727:L727"/>
    <mergeCell ref="AB746:AC746"/>
    <mergeCell ref="A905:G905"/>
    <mergeCell ref="A896:G896"/>
    <mergeCell ref="K1073:L1073"/>
    <mergeCell ref="M1073:R1073"/>
    <mergeCell ref="M1110:R1110"/>
    <mergeCell ref="K1175:L1175"/>
    <mergeCell ref="K1122:L1122"/>
    <mergeCell ref="K1185:L1185"/>
    <mergeCell ref="K1110:L1110"/>
    <mergeCell ref="K1052:L1052"/>
    <mergeCell ref="K1058:L1058"/>
    <mergeCell ref="K898:L898"/>
    <mergeCell ref="K731:L731"/>
    <mergeCell ref="K1513:L1513"/>
    <mergeCell ref="M1513:R1513"/>
    <mergeCell ref="K1497:L1497"/>
    <mergeCell ref="A1499:G1499"/>
    <mergeCell ref="K722:L722"/>
    <mergeCell ref="K724:L724"/>
    <mergeCell ref="AB651:AC651"/>
    <mergeCell ref="AB647:AC647"/>
    <mergeCell ref="AB780:AC780"/>
    <mergeCell ref="AB825:AC825"/>
    <mergeCell ref="AB808:AC808"/>
    <mergeCell ref="Z804:AA804"/>
    <mergeCell ref="Z837:AA837"/>
    <mergeCell ref="AB837:AC837"/>
    <mergeCell ref="AB704:AC704"/>
    <mergeCell ref="AB745:AC745"/>
    <mergeCell ref="M1217:R1217"/>
    <mergeCell ref="M1178:R1178"/>
    <mergeCell ref="Z1156:AA1156"/>
    <mergeCell ref="Z1080:AA1080"/>
    <mergeCell ref="M981:R981"/>
    <mergeCell ref="M870:R870"/>
    <mergeCell ref="M856:N856"/>
    <mergeCell ref="AB1144:AC1144"/>
    <mergeCell ref="AB914:AC914"/>
    <mergeCell ref="AB1087:AC1087"/>
    <mergeCell ref="M788:R788"/>
    <mergeCell ref="Z1165:AA1165"/>
    <mergeCell ref="A1216:G1216"/>
    <mergeCell ref="AB700:AC700"/>
    <mergeCell ref="R790:U790"/>
    <mergeCell ref="Z639:AA639"/>
    <mergeCell ref="K1158:L1158"/>
    <mergeCell ref="AB1095:AC1095"/>
    <mergeCell ref="AB770:AC770"/>
    <mergeCell ref="Z758:AA758"/>
    <mergeCell ref="Z800:AA800"/>
    <mergeCell ref="Z912:AA912"/>
    <mergeCell ref="M1082:R1082"/>
    <mergeCell ref="K1161:L1161"/>
    <mergeCell ref="Z737:AA737"/>
    <mergeCell ref="M914:R914"/>
    <mergeCell ref="K889:L889"/>
    <mergeCell ref="Z738:AA738"/>
    <mergeCell ref="AB843:AC843"/>
    <mergeCell ref="Z760:AA760"/>
    <mergeCell ref="Z777:AA777"/>
    <mergeCell ref="AB774:AC774"/>
    <mergeCell ref="AB597:AC597"/>
    <mergeCell ref="P698:U698"/>
    <mergeCell ref="Z616:AA616"/>
    <mergeCell ref="Z768:AA768"/>
    <mergeCell ref="A698:E698"/>
    <mergeCell ref="K646:L646"/>
    <mergeCell ref="Z600:AA600"/>
    <mergeCell ref="AB782:AC782"/>
    <mergeCell ref="AB650:AC650"/>
    <mergeCell ref="Z646:AA646"/>
    <mergeCell ref="AB622:AC622"/>
    <mergeCell ref="M769:R769"/>
    <mergeCell ref="AB607:AC607"/>
    <mergeCell ref="M607:R607"/>
    <mergeCell ref="AB615:AC615"/>
    <mergeCell ref="M658:R658"/>
    <mergeCell ref="AB625:AC625"/>
    <mergeCell ref="AB636:AC636"/>
    <mergeCell ref="Z654:AA654"/>
    <mergeCell ref="J668:L668"/>
    <mergeCell ref="A744:G744"/>
    <mergeCell ref="A669:G669"/>
    <mergeCell ref="K689:L689"/>
    <mergeCell ref="Z692:AA692"/>
    <mergeCell ref="Z757:AA757"/>
    <mergeCell ref="AB667:AC667"/>
    <mergeCell ref="AB632:AC632"/>
    <mergeCell ref="K777:L777"/>
    <mergeCell ref="Q605:V605"/>
    <mergeCell ref="AB761:AC761"/>
    <mergeCell ref="A737:G737"/>
    <mergeCell ref="M749:R749"/>
    <mergeCell ref="K589:L589"/>
    <mergeCell ref="Z632:AA632"/>
    <mergeCell ref="Z784:AA784"/>
    <mergeCell ref="Z585:AA585"/>
    <mergeCell ref="AB610:AC610"/>
    <mergeCell ref="A597:G597"/>
    <mergeCell ref="Z704:AA704"/>
    <mergeCell ref="K706:L706"/>
    <mergeCell ref="AB1431:AC1431"/>
    <mergeCell ref="Z1753:AA1753"/>
    <mergeCell ref="Z1697:AA1697"/>
    <mergeCell ref="M811:R811"/>
    <mergeCell ref="AB801:AC801"/>
    <mergeCell ref="K637:L637"/>
    <mergeCell ref="M640:R640"/>
    <mergeCell ref="M642:R642"/>
    <mergeCell ref="K595:L595"/>
    <mergeCell ref="Z650:AA650"/>
    <mergeCell ref="M777:R777"/>
    <mergeCell ref="K598:L598"/>
    <mergeCell ref="Z1268:AA1268"/>
    <mergeCell ref="AB1427:AC1427"/>
    <mergeCell ref="Z1438:AA1438"/>
    <mergeCell ref="Z815:AA815"/>
    <mergeCell ref="R643:U643"/>
    <mergeCell ref="Z683:AA683"/>
    <mergeCell ref="M774:R774"/>
    <mergeCell ref="Z671:AA671"/>
    <mergeCell ref="AB794:AC794"/>
    <mergeCell ref="K614:L614"/>
    <mergeCell ref="AB1195:AC1195"/>
    <mergeCell ref="AB664:AC664"/>
    <mergeCell ref="Z803:AA803"/>
    <mergeCell ref="Z724:AA724"/>
    <mergeCell ref="AB796:AC796"/>
    <mergeCell ref="M746:R746"/>
    <mergeCell ref="Z796:AA796"/>
    <mergeCell ref="A825:G825"/>
    <mergeCell ref="M1615:R1615"/>
    <mergeCell ref="K1347:L1347"/>
    <mergeCell ref="M784:R784"/>
    <mergeCell ref="A1758:L1758"/>
    <mergeCell ref="A1732:G1732"/>
    <mergeCell ref="A1334:G1334"/>
    <mergeCell ref="A1587:G1587"/>
    <mergeCell ref="K1681:L1681"/>
    <mergeCell ref="M1697:R1697"/>
    <mergeCell ref="K1487:L1487"/>
    <mergeCell ref="A1480:G1480"/>
    <mergeCell ref="J1452:L1452"/>
    <mergeCell ref="AB803:AC803"/>
    <mergeCell ref="K1532:L1532"/>
    <mergeCell ref="M1578:R1578"/>
    <mergeCell ref="M898:R898"/>
    <mergeCell ref="A839:G839"/>
    <mergeCell ref="K1012:L1012"/>
    <mergeCell ref="K1049:L1049"/>
    <mergeCell ref="Z1087:AA1087"/>
    <mergeCell ref="AB1117:AC1117"/>
    <mergeCell ref="M1065:R1065"/>
    <mergeCell ref="M808:R808"/>
    <mergeCell ref="Z799:AA799"/>
    <mergeCell ref="K1318:L1318"/>
    <mergeCell ref="K1326:L1326"/>
    <mergeCell ref="Q530:V530"/>
    <mergeCell ref="Z564:AA564"/>
    <mergeCell ref="Z572:AA572"/>
    <mergeCell ref="AB619:AC619"/>
    <mergeCell ref="AE645:AG645"/>
    <mergeCell ref="AE783:AG783"/>
    <mergeCell ref="R539:U539"/>
    <mergeCell ref="AB539:AC539"/>
    <mergeCell ref="AB543:AC543"/>
    <mergeCell ref="AE620:AG620"/>
    <mergeCell ref="K645:L645"/>
    <mergeCell ref="M641:R641"/>
    <mergeCell ref="K1739:L1739"/>
    <mergeCell ref="R1661:U1661"/>
    <mergeCell ref="R1570:U1570"/>
    <mergeCell ref="R1645:U1645"/>
    <mergeCell ref="A1492:G1492"/>
    <mergeCell ref="M1243:R1243"/>
    <mergeCell ref="K1218:L1218"/>
    <mergeCell ref="M1591:R1591"/>
    <mergeCell ref="M1724:R1724"/>
    <mergeCell ref="A868:G868"/>
    <mergeCell ref="A1521:G1521"/>
    <mergeCell ref="K1615:L1615"/>
    <mergeCell ref="K1365:L1365"/>
    <mergeCell ref="A1346:G1346"/>
    <mergeCell ref="R1156:U1156"/>
    <mergeCell ref="M1149:R1149"/>
    <mergeCell ref="M1236:R1236"/>
    <mergeCell ref="M1273:R1273"/>
    <mergeCell ref="M757:R757"/>
    <mergeCell ref="M707:R707"/>
    <mergeCell ref="B1843:I1843"/>
    <mergeCell ref="A1060:G1060"/>
    <mergeCell ref="M831:R831"/>
    <mergeCell ref="AB788:AC788"/>
    <mergeCell ref="A756:G756"/>
    <mergeCell ref="K1448:L1448"/>
    <mergeCell ref="K1529:L1529"/>
    <mergeCell ref="K1552:L1552"/>
    <mergeCell ref="K1462:L1462"/>
    <mergeCell ref="K1341:L1341"/>
    <mergeCell ref="K1370:L1370"/>
    <mergeCell ref="A591:G591"/>
    <mergeCell ref="A1349:G1349"/>
    <mergeCell ref="A576:G576"/>
    <mergeCell ref="A834:G834"/>
    <mergeCell ref="A780:G780"/>
    <mergeCell ref="K700:L700"/>
    <mergeCell ref="M1448:R1448"/>
    <mergeCell ref="K1438:L1438"/>
    <mergeCell ref="A1081:G1081"/>
    <mergeCell ref="M1555:R1555"/>
    <mergeCell ref="M1646:R1646"/>
    <mergeCell ref="K1784:L1784"/>
    <mergeCell ref="K1478:L1478"/>
    <mergeCell ref="M1541:R1541"/>
    <mergeCell ref="M1487:R1487"/>
    <mergeCell ref="M1462:R1462"/>
    <mergeCell ref="A1483:G1483"/>
    <mergeCell ref="A1750:G1750"/>
    <mergeCell ref="A1696:G1696"/>
    <mergeCell ref="A682:G682"/>
    <mergeCell ref="Z649:AA649"/>
    <mergeCell ref="A374:G374"/>
    <mergeCell ref="K318:L318"/>
    <mergeCell ref="Z290:AA290"/>
    <mergeCell ref="AB329:AC329"/>
    <mergeCell ref="Z1224:AA1224"/>
    <mergeCell ref="AB1262:AC1262"/>
    <mergeCell ref="AB1231:AC1231"/>
    <mergeCell ref="AB1363:AC1363"/>
    <mergeCell ref="AB1450:AC1450"/>
    <mergeCell ref="Z1270:AA1270"/>
    <mergeCell ref="Z1271:AA1271"/>
    <mergeCell ref="AB1388:AC1388"/>
    <mergeCell ref="AB1437:AC1437"/>
    <mergeCell ref="AB1336:AC1336"/>
    <mergeCell ref="Z1328:AA1328"/>
    <mergeCell ref="AB1420:AC1420"/>
    <mergeCell ref="AB1369:AC1369"/>
    <mergeCell ref="Z1325:AA1325"/>
    <mergeCell ref="Z1227:AA1227"/>
    <mergeCell ref="Z1228:AA1228"/>
    <mergeCell ref="AB1207:AC1207"/>
    <mergeCell ref="Z1272:AA1272"/>
    <mergeCell ref="Z1206:AA1206"/>
    <mergeCell ref="AB1271:AC1271"/>
    <mergeCell ref="AB1306:AC1306"/>
    <mergeCell ref="AB1218:AC1218"/>
    <mergeCell ref="A1265:G1265"/>
    <mergeCell ref="AB605:AC605"/>
    <mergeCell ref="AB1127:AC1127"/>
    <mergeCell ref="M604:R604"/>
    <mergeCell ref="Z641:AA641"/>
    <mergeCell ref="Z620:AA620"/>
    <mergeCell ref="B1819:I1819"/>
    <mergeCell ref="K1755:L1755"/>
    <mergeCell ref="Q1612:V1612"/>
    <mergeCell ref="K1685:L1685"/>
    <mergeCell ref="B1831:I1831"/>
    <mergeCell ref="M1565:R1565"/>
    <mergeCell ref="M1597:R1597"/>
    <mergeCell ref="M1678:R1678"/>
    <mergeCell ref="M1694:R1694"/>
    <mergeCell ref="K1597:L1597"/>
    <mergeCell ref="N1795:U1795"/>
    <mergeCell ref="K1691:L1691"/>
    <mergeCell ref="K1677:L1677"/>
    <mergeCell ref="I1790:J1790"/>
    <mergeCell ref="A1576:G1576"/>
    <mergeCell ref="A1648:G1648"/>
    <mergeCell ref="A1642:G1642"/>
    <mergeCell ref="A1776:C1776"/>
    <mergeCell ref="K1658:L1658"/>
    <mergeCell ref="M1769:R1769"/>
    <mergeCell ref="M1766:R1766"/>
    <mergeCell ref="K1718:L1718"/>
    <mergeCell ref="A1720:G1720"/>
    <mergeCell ref="A1744:G1744"/>
    <mergeCell ref="A1699:G1699"/>
    <mergeCell ref="N1781:U1781"/>
    <mergeCell ref="K1711:L1711"/>
    <mergeCell ref="K1669:L1669"/>
    <mergeCell ref="A1664:G1664"/>
    <mergeCell ref="E1784:G1784"/>
    <mergeCell ref="K1820:M1822"/>
    <mergeCell ref="K1790:L1790"/>
    <mergeCell ref="A1800:B1800"/>
    <mergeCell ref="K1528:L1528"/>
    <mergeCell ref="M1684:R1684"/>
    <mergeCell ref="M1685:R1685"/>
    <mergeCell ref="B1784:D1784"/>
    <mergeCell ref="K1540:L1540"/>
    <mergeCell ref="M1540:R1540"/>
    <mergeCell ref="K1571:L1571"/>
    <mergeCell ref="A1352:G1352"/>
    <mergeCell ref="K1393:L1393"/>
    <mergeCell ref="M1284:R1284"/>
    <mergeCell ref="N1784:U1792"/>
    <mergeCell ref="A1795:E1795"/>
    <mergeCell ref="K1704:L1704"/>
    <mergeCell ref="A1358:G1358"/>
    <mergeCell ref="K1429:L1429"/>
    <mergeCell ref="K1810:M1815"/>
    <mergeCell ref="A1781:D1781"/>
    <mergeCell ref="Q1557:V1557"/>
    <mergeCell ref="A1652:G1652"/>
    <mergeCell ref="G1791:J1791"/>
    <mergeCell ref="D1797:L1797"/>
    <mergeCell ref="M1402:R1402"/>
    <mergeCell ref="A1792:E1792"/>
    <mergeCell ref="K1500:L1500"/>
    <mergeCell ref="R1667:U1667"/>
    <mergeCell ref="M1639:R1639"/>
    <mergeCell ref="M1516:R1516"/>
    <mergeCell ref="M1714:R1714"/>
    <mergeCell ref="K1700:L1700"/>
    <mergeCell ref="A1313:G1313"/>
    <mergeCell ref="A1290:G1290"/>
    <mergeCell ref="N1794:U1794"/>
    <mergeCell ref="M1608:R1608"/>
    <mergeCell ref="A1596:G1596"/>
    <mergeCell ref="M1658:R1658"/>
    <mergeCell ref="M1745:R1745"/>
    <mergeCell ref="A1638:G1638"/>
    <mergeCell ref="K1591:L1591"/>
    <mergeCell ref="M1341:R1341"/>
    <mergeCell ref="O1778:P1778"/>
    <mergeCell ref="K1444:L1444"/>
    <mergeCell ref="K1436:L1436"/>
    <mergeCell ref="M1610:R1610"/>
    <mergeCell ref="K1625:L1625"/>
    <mergeCell ref="K1657:L1657"/>
    <mergeCell ref="K1459:L1459"/>
    <mergeCell ref="A1473:G1473"/>
    <mergeCell ref="M1436:R1436"/>
    <mergeCell ref="N1471:O1471"/>
    <mergeCell ref="M1481:R1481"/>
    <mergeCell ref="M1689:R1689"/>
    <mergeCell ref="K1466:L1466"/>
    <mergeCell ref="M1466:R1466"/>
    <mergeCell ref="K1607:L1607"/>
    <mergeCell ref="M1607:R1607"/>
    <mergeCell ref="K1474:L1474"/>
    <mergeCell ref="K1545:L1545"/>
    <mergeCell ref="M1545:R1545"/>
    <mergeCell ref="A1717:G1717"/>
    <mergeCell ref="M1649:R1649"/>
    <mergeCell ref="A1656:G1656"/>
    <mergeCell ref="A1590:G1590"/>
    <mergeCell ref="A1693:G1693"/>
    <mergeCell ref="M1760:R1760"/>
    <mergeCell ref="K1727:L1727"/>
    <mergeCell ref="K1522:L1522"/>
    <mergeCell ref="K1600:L1600"/>
    <mergeCell ref="A1702:G1702"/>
    <mergeCell ref="M1556:R1556"/>
    <mergeCell ref="A1667:G1667"/>
    <mergeCell ref="K1714:L1714"/>
    <mergeCell ref="M1584:R1584"/>
    <mergeCell ref="M1739:R1739"/>
    <mergeCell ref="K1733:L1733"/>
    <mergeCell ref="K1636:L1636"/>
    <mergeCell ref="F1775:H1775"/>
    <mergeCell ref="M1253:R1253"/>
    <mergeCell ref="M1588:R1588"/>
    <mergeCell ref="K1588:L1588"/>
    <mergeCell ref="A1573:G1573"/>
    <mergeCell ref="A1679:G1679"/>
    <mergeCell ref="M1676:R1676"/>
    <mergeCell ref="Q1757:V1757"/>
    <mergeCell ref="A1661:G1661"/>
    <mergeCell ref="K1684:L1684"/>
    <mergeCell ref="P1613:U1613"/>
    <mergeCell ref="A1624:G1624"/>
    <mergeCell ref="M1529:R1529"/>
    <mergeCell ref="K1772:L1772"/>
    <mergeCell ref="K1736:L1736"/>
    <mergeCell ref="A1741:G1741"/>
    <mergeCell ref="M1613:O1613"/>
    <mergeCell ref="M1441:R1441"/>
    <mergeCell ref="K1301:L1301"/>
    <mergeCell ref="M1650:R1650"/>
    <mergeCell ref="Q1853:R1853"/>
    <mergeCell ref="A1645:G1645"/>
    <mergeCell ref="M1733:R1733"/>
    <mergeCell ref="K1560:L1560"/>
    <mergeCell ref="K1690:L1690"/>
    <mergeCell ref="A1465:G1465"/>
    <mergeCell ref="M1708:R1708"/>
    <mergeCell ref="K1779:L1779"/>
    <mergeCell ref="K1689:L1689"/>
    <mergeCell ref="A1385:E1385"/>
    <mergeCell ref="A1420:G1420"/>
    <mergeCell ref="A1461:G1461"/>
    <mergeCell ref="A1468:G1468"/>
    <mergeCell ref="J1470:L1470"/>
    <mergeCell ref="K1463:L1463"/>
    <mergeCell ref="M1463:R1463"/>
    <mergeCell ref="K1742:L1742"/>
    <mergeCell ref="K1668:L1668"/>
    <mergeCell ref="A1515:G1515"/>
    <mergeCell ref="K1621:L1621"/>
    <mergeCell ref="A1620:G1620"/>
    <mergeCell ref="K1559:L1559"/>
    <mergeCell ref="A1793:E1793"/>
    <mergeCell ref="M1746:R1746"/>
    <mergeCell ref="K1618:L1618"/>
    <mergeCell ref="M1618:R1618"/>
    <mergeCell ref="A1583:G1583"/>
    <mergeCell ref="A1780:B1780"/>
    <mergeCell ref="A1794:E1794"/>
    <mergeCell ref="Q1651:V1651"/>
    <mergeCell ref="K1697:L1697"/>
    <mergeCell ref="K1672:L1672"/>
    <mergeCell ref="K1842:L1842"/>
    <mergeCell ref="K1724:L1724"/>
    <mergeCell ref="K1574:L1574"/>
    <mergeCell ref="M1451:R1451"/>
    <mergeCell ref="M1405:R1405"/>
    <mergeCell ref="K1549:L1549"/>
    <mergeCell ref="K1757:L1757"/>
    <mergeCell ref="M1621:R1621"/>
    <mergeCell ref="AB1599:AC1599"/>
    <mergeCell ref="K1635:L1635"/>
    <mergeCell ref="M1643:R1643"/>
    <mergeCell ref="E1791:F1791"/>
    <mergeCell ref="A1580:G1580"/>
    <mergeCell ref="K1564:L1564"/>
    <mergeCell ref="K1721:L1721"/>
    <mergeCell ref="A1687:G1687"/>
    <mergeCell ref="K1516:L1516"/>
    <mergeCell ref="M1497:R1497"/>
    <mergeCell ref="A1506:G1506"/>
    <mergeCell ref="K1501:L1501"/>
    <mergeCell ref="M1721:R1721"/>
    <mergeCell ref="A1726:G1726"/>
    <mergeCell ref="K1556:L1556"/>
    <mergeCell ref="K1568:L1568"/>
    <mergeCell ref="K1541:L1541"/>
    <mergeCell ref="K1703:L1703"/>
    <mergeCell ref="A1562:G1562"/>
    <mergeCell ref="M1635:R1635"/>
    <mergeCell ref="K1730:L1730"/>
    <mergeCell ref="M1535:R1535"/>
    <mergeCell ref="K1609:L1609"/>
    <mergeCell ref="K1803:L1803"/>
    <mergeCell ref="A1160:G1160"/>
    <mergeCell ref="M1609:R1609"/>
    <mergeCell ref="M1560:R1560"/>
    <mergeCell ref="A1300:G1300"/>
    <mergeCell ref="M1659:R1659"/>
    <mergeCell ref="A1534:G1534"/>
    <mergeCell ref="A1710:G1710"/>
    <mergeCell ref="A1723:G1723"/>
    <mergeCell ref="B1837:I1837"/>
    <mergeCell ref="R1567:U1567"/>
    <mergeCell ref="A1531:G1531"/>
    <mergeCell ref="M1426:R1426"/>
    <mergeCell ref="M1423:R1423"/>
    <mergeCell ref="A1593:G1593"/>
    <mergeCell ref="K1455:L1455"/>
    <mergeCell ref="I1781:L1781"/>
    <mergeCell ref="K1507:L1507"/>
    <mergeCell ref="M1691:R1691"/>
    <mergeCell ref="P1472:U1472"/>
    <mergeCell ref="A1510:G1510"/>
    <mergeCell ref="M1654:R1654"/>
    <mergeCell ref="K1493:L1493"/>
    <mergeCell ref="A1738:G1738"/>
    <mergeCell ref="M1507:R1507"/>
    <mergeCell ref="K1402:L1402"/>
    <mergeCell ref="M1736:R1736"/>
    <mergeCell ref="K1390:L1390"/>
    <mergeCell ref="M1622:R1622"/>
    <mergeCell ref="K1754:L1754"/>
    <mergeCell ref="K1405:L1405"/>
    <mergeCell ref="K1578:L1578"/>
    <mergeCell ref="A1683:G1683"/>
    <mergeCell ref="A1398:G1398"/>
    <mergeCell ref="M1411:R1411"/>
    <mergeCell ref="K1601:L1601"/>
    <mergeCell ref="M1296:R1296"/>
    <mergeCell ref="A1367:G1367"/>
    <mergeCell ref="K1787:L1787"/>
    <mergeCell ref="A1458:G1458"/>
    <mergeCell ref="M1537:R1537"/>
    <mergeCell ref="A1554:G1554"/>
    <mergeCell ref="K1646:L1646"/>
    <mergeCell ref="K1649:L1649"/>
    <mergeCell ref="M1730:R1730"/>
    <mergeCell ref="M1636:R1636"/>
    <mergeCell ref="A1786:C1786"/>
    <mergeCell ref="K1606:L1606"/>
    <mergeCell ref="M1606:R1606"/>
    <mergeCell ref="M1594:R1594"/>
    <mergeCell ref="M1600:R1600"/>
    <mergeCell ref="Q1604:V1604"/>
    <mergeCell ref="M1673:R1673"/>
    <mergeCell ref="K1778:L1778"/>
    <mergeCell ref="R1562:U1562"/>
    <mergeCell ref="K1527:L1527"/>
    <mergeCell ref="M1625:R1625"/>
    <mergeCell ref="K1519:L1519"/>
    <mergeCell ref="K1378:L1378"/>
    <mergeCell ref="M1690:R1690"/>
    <mergeCell ref="A1675:G1675"/>
    <mergeCell ref="K1785:L1785"/>
    <mergeCell ref="K1783:L1783"/>
    <mergeCell ref="A1617:G1617"/>
    <mergeCell ref="K1555:L1555"/>
    <mergeCell ref="M1571:R1571"/>
    <mergeCell ref="AB1739:AC1739"/>
    <mergeCell ref="M1657:R1657"/>
    <mergeCell ref="Z1514:AA1514"/>
    <mergeCell ref="M1755:R1755"/>
    <mergeCell ref="K1676:L1676"/>
    <mergeCell ref="M1680:R1680"/>
    <mergeCell ref="Z1760:AA1760"/>
    <mergeCell ref="AB1723:AC1723"/>
    <mergeCell ref="K1665:L1665"/>
    <mergeCell ref="M1665:R1665"/>
    <mergeCell ref="AE1617:AG1617"/>
    <mergeCell ref="Z1618:AA1618"/>
    <mergeCell ref="AE1569:AG1569"/>
    <mergeCell ref="AB1689:AC1689"/>
    <mergeCell ref="AE1746:AG1746"/>
    <mergeCell ref="Z1811:AG1811"/>
    <mergeCell ref="AE1690:AG1690"/>
    <mergeCell ref="AB1701:AC1701"/>
    <mergeCell ref="AB1725:AC1725"/>
    <mergeCell ref="Z1733:AA1733"/>
    <mergeCell ref="M1772:R1772"/>
    <mergeCell ref="AB1781:AI1781"/>
    <mergeCell ref="M1751:R1751"/>
    <mergeCell ref="K1707:L1707"/>
    <mergeCell ref="Z1611:AA1611"/>
    <mergeCell ref="AB1578:AC1578"/>
    <mergeCell ref="AB1565:AC1565"/>
    <mergeCell ref="AB1554:AC1554"/>
    <mergeCell ref="AB1625:AC1625"/>
    <mergeCell ref="Z1752:AA1752"/>
    <mergeCell ref="AB1549:AC1549"/>
    <mergeCell ref="Z1809:AG1809"/>
    <mergeCell ref="AB1699:AC1699"/>
    <mergeCell ref="AE1708:AG1708"/>
    <mergeCell ref="AE1689:AG1689"/>
    <mergeCell ref="AE1694:AG1694"/>
    <mergeCell ref="AB1682:AC1682"/>
    <mergeCell ref="Z1617:AA1617"/>
    <mergeCell ref="AB1617:AC1617"/>
    <mergeCell ref="Z1481:AA1481"/>
    <mergeCell ref="Z1485:AA1485"/>
    <mergeCell ref="Z1522:AA1522"/>
    <mergeCell ref="Z1635:AA1635"/>
    <mergeCell ref="AB1571:AC1571"/>
    <mergeCell ref="Z122:AA122"/>
    <mergeCell ref="K501:L501"/>
    <mergeCell ref="AB579:AC579"/>
    <mergeCell ref="Z1595:AA1595"/>
    <mergeCell ref="AB959:AC959"/>
    <mergeCell ref="Z1109:AA1109"/>
    <mergeCell ref="Z817:AA817"/>
    <mergeCell ref="Z885:AA885"/>
    <mergeCell ref="AB919:AC919"/>
    <mergeCell ref="Z1314:AA1314"/>
    <mergeCell ref="AB648:AC648"/>
    <mergeCell ref="Z1149:AA1149"/>
    <mergeCell ref="AB699:AC699"/>
    <mergeCell ref="AB872:AC872"/>
    <mergeCell ref="AB1067:AC1067"/>
    <mergeCell ref="Z619:AA619"/>
    <mergeCell ref="Z682:AA682"/>
    <mergeCell ref="M1669:R1669"/>
    <mergeCell ref="K1760:L1760"/>
    <mergeCell ref="K1792:L1792"/>
    <mergeCell ref="J1692:L1692"/>
    <mergeCell ref="AE1542:AG1542"/>
    <mergeCell ref="AE1544:AG1544"/>
    <mergeCell ref="AB1567:AC1567"/>
    <mergeCell ref="AB1533:AC1533"/>
    <mergeCell ref="AB1480:AC1480"/>
    <mergeCell ref="AB1555:AC1555"/>
    <mergeCell ref="AB1457:AC1457"/>
    <mergeCell ref="K1437:L1437"/>
    <mergeCell ref="Z1496:AA1496"/>
    <mergeCell ref="M1385:O1385"/>
    <mergeCell ref="R1432:U1432"/>
    <mergeCell ref="K1662:L1662"/>
    <mergeCell ref="K1584:L1584"/>
    <mergeCell ref="K1581:L1581"/>
    <mergeCell ref="M1581:R1581"/>
    <mergeCell ref="M1700:R1700"/>
    <mergeCell ref="M1715:R1715"/>
    <mergeCell ref="K1688:L1688"/>
    <mergeCell ref="AB1761:AC1761"/>
    <mergeCell ref="M1421:R1421"/>
    <mergeCell ref="K1441:L1441"/>
    <mergeCell ref="AE1717:AG1717"/>
    <mergeCell ref="AE1712:AG1712"/>
    <mergeCell ref="AE1677:AG1677"/>
    <mergeCell ref="AE1769:AG1769"/>
    <mergeCell ref="AB1754:AC1754"/>
    <mergeCell ref="Z1744:AA1744"/>
    <mergeCell ref="Z1696:AA1696"/>
    <mergeCell ref="Z1588:AA1588"/>
    <mergeCell ref="Z1575:AA1575"/>
    <mergeCell ref="K1789:L1789"/>
    <mergeCell ref="K1708:L1708"/>
    <mergeCell ref="AB1494:AC1494"/>
    <mergeCell ref="AE1680:AG1680"/>
    <mergeCell ref="Z1649:AA1649"/>
    <mergeCell ref="AB1649:AC1649"/>
    <mergeCell ref="AE1522:AG1522"/>
    <mergeCell ref="Z1428:AA1428"/>
    <mergeCell ref="AE1229:AG1229"/>
    <mergeCell ref="R1428:U1428"/>
    <mergeCell ref="AE1714:AG1714"/>
    <mergeCell ref="M1559:R1559"/>
    <mergeCell ref="K1640:L1640"/>
    <mergeCell ref="K1603:L1603"/>
    <mergeCell ref="AB1707:AC1707"/>
    <mergeCell ref="AB1736:AC1736"/>
    <mergeCell ref="AB1737:AC1737"/>
    <mergeCell ref="AB1684:AC1684"/>
    <mergeCell ref="Z1479:AA1479"/>
    <mergeCell ref="K1535:L1535"/>
    <mergeCell ref="Z1442:AA1442"/>
    <mergeCell ref="Z1579:AA1579"/>
    <mergeCell ref="Z1661:AA1661"/>
    <mergeCell ref="AA1784:AD1784"/>
    <mergeCell ref="Z1637:AA1637"/>
    <mergeCell ref="Z1663:AA1663"/>
    <mergeCell ref="AB1765:AC1765"/>
    <mergeCell ref="AB1762:AC1762"/>
    <mergeCell ref="Z1594:AA1594"/>
    <mergeCell ref="M1602:R1602"/>
    <mergeCell ref="K1610:L1610"/>
    <mergeCell ref="Z1547:AA1547"/>
    <mergeCell ref="AE1760:AG1760"/>
    <mergeCell ref="AE1342:AG1342"/>
    <mergeCell ref="Z1215:AA1215"/>
    <mergeCell ref="Z1292:AA1292"/>
    <mergeCell ref="Z1727:AA1727"/>
    <mergeCell ref="AB1143:AC1143"/>
    <mergeCell ref="AE1290:AG1290"/>
    <mergeCell ref="AE1261:AG1261"/>
    <mergeCell ref="AE1286:AG1286"/>
    <mergeCell ref="Z1274:AA1274"/>
    <mergeCell ref="AB1212:AC1212"/>
    <mergeCell ref="Z1167:AA1167"/>
    <mergeCell ref="Z1183:AA1183"/>
    <mergeCell ref="Z1682:AA1682"/>
    <mergeCell ref="AB1590:AC1590"/>
    <mergeCell ref="M1707:R1707"/>
    <mergeCell ref="K1490:L1490"/>
    <mergeCell ref="Z1470:AA1470"/>
    <mergeCell ref="Z1648:AA1648"/>
    <mergeCell ref="Z1604:AA1604"/>
    <mergeCell ref="AB1591:AC1591"/>
    <mergeCell ref="Z1591:AA1591"/>
    <mergeCell ref="Z1671:AA1671"/>
    <mergeCell ref="Z1646:AA1646"/>
    <mergeCell ref="Z1715:AA1715"/>
    <mergeCell ref="Z1675:AA1675"/>
    <mergeCell ref="M1549:R1549"/>
    <mergeCell ref="Z1660:AA1660"/>
    <mergeCell ref="M1759:R1759"/>
    <mergeCell ref="Z1719:AA1719"/>
    <mergeCell ref="Z1707:AA1707"/>
    <mergeCell ref="Z1741:AA1741"/>
    <mergeCell ref="AB1683:AC1683"/>
    <mergeCell ref="Z1598:AA1598"/>
    <mergeCell ref="AB1112:AC1112"/>
    <mergeCell ref="AE1109:AG1109"/>
    <mergeCell ref="AB1442:AC1442"/>
    <mergeCell ref="Z1725:AA1725"/>
    <mergeCell ref="AB1710:AC1710"/>
    <mergeCell ref="AB1752:AC1752"/>
    <mergeCell ref="AB1734:AC1734"/>
    <mergeCell ref="AB1291:AC1291"/>
    <mergeCell ref="AB1356:AC1356"/>
    <mergeCell ref="Z1385:AA1385"/>
    <mergeCell ref="AB1267:AC1267"/>
    <mergeCell ref="Z1373:AA1373"/>
    <mergeCell ref="AE1226:AG1226"/>
    <mergeCell ref="AE1231:AG1231"/>
    <mergeCell ref="AE1727:AG1727"/>
    <mergeCell ref="AE1666:AG1666"/>
    <mergeCell ref="AE1703:AG1703"/>
    <mergeCell ref="AB1708:AC1708"/>
    <mergeCell ref="Z1502:AA1502"/>
    <mergeCell ref="AB1534:AC1534"/>
    <mergeCell ref="AB1532:AC1532"/>
    <mergeCell ref="AB1585:AC1585"/>
    <mergeCell ref="AB1633:AC1633"/>
    <mergeCell ref="Z1529:AA1529"/>
    <mergeCell ref="Z1306:AA1306"/>
    <mergeCell ref="AB1244:AC1244"/>
    <mergeCell ref="AE1136:AG1136"/>
    <mergeCell ref="AB1300:AC1300"/>
    <mergeCell ref="AE1203:AG1203"/>
    <mergeCell ref="Z1406:AA1406"/>
    <mergeCell ref="AA1799:AF1799"/>
    <mergeCell ref="AE1719:AG1719"/>
    <mergeCell ref="Z1768:AA1768"/>
    <mergeCell ref="Z1730:AA1730"/>
    <mergeCell ref="Z1633:AA1633"/>
    <mergeCell ref="Z1019:AA1019"/>
    <mergeCell ref="AB1043:AC1043"/>
    <mergeCell ref="AB1080:AC1080"/>
    <mergeCell ref="AB1190:AC1190"/>
    <mergeCell ref="AB1148:AC1148"/>
    <mergeCell ref="Z1191:AA1191"/>
    <mergeCell ref="AB1191:AC1191"/>
    <mergeCell ref="Z1232:AA1232"/>
    <mergeCell ref="Z1220:AA1220"/>
    <mergeCell ref="AB1562:AC1562"/>
    <mergeCell ref="AB1530:AC1530"/>
    <mergeCell ref="Z1555:AA1555"/>
    <mergeCell ref="AB1537:AC1537"/>
    <mergeCell ref="AB1548:AC1548"/>
    <mergeCell ref="AB1209:AC1209"/>
    <mergeCell ref="Z1297:AA1297"/>
    <mergeCell ref="AB1305:AC1305"/>
    <mergeCell ref="Z1240:AA1240"/>
    <mergeCell ref="Z1315:AA1315"/>
    <mergeCell ref="AE1267:AG1267"/>
    <mergeCell ref="AE1318:AG1318"/>
    <mergeCell ref="Z1621:AA1621"/>
    <mergeCell ref="AE1446:AG1446"/>
    <mergeCell ref="AE1427:AG1427"/>
    <mergeCell ref="AB1423:AC1423"/>
    <mergeCell ref="Z1619:AA1619"/>
    <mergeCell ref="Z1423:AA1423"/>
    <mergeCell ref="Z1767:AA1767"/>
    <mergeCell ref="Z1757:AA1757"/>
    <mergeCell ref="AE1454:AG1454"/>
    <mergeCell ref="AE1506:AG1506"/>
    <mergeCell ref="AE1510:AG1510"/>
    <mergeCell ref="AB1597:AC1597"/>
    <mergeCell ref="AE1512:AG1512"/>
    <mergeCell ref="Z1418:AA1418"/>
    <mergeCell ref="Z1282:AA1282"/>
    <mergeCell ref="AE1260:AG1260"/>
    <mergeCell ref="AE1247:AG1247"/>
    <mergeCell ref="Z1458:AA1458"/>
    <mergeCell ref="AB1371:AC1371"/>
    <mergeCell ref="AB1249:AC1249"/>
    <mergeCell ref="AE1336:AG1336"/>
    <mergeCell ref="AB1732:AC1732"/>
    <mergeCell ref="Z1525:AA1525"/>
    <mergeCell ref="AB1538:AC1538"/>
    <mergeCell ref="AB1444:AC1444"/>
    <mergeCell ref="AE1460:AG1460"/>
    <mergeCell ref="AE1423:AG1423"/>
    <mergeCell ref="AB1366:AC1366"/>
    <mergeCell ref="Z1731:AA1731"/>
    <mergeCell ref="AE1400:AG1400"/>
    <mergeCell ref="AB1380:AC1380"/>
    <mergeCell ref="AB1347:AC1347"/>
    <mergeCell ref="Z1739:AA1739"/>
    <mergeCell ref="AE1518:AG1518"/>
    <mergeCell ref="Z1473:AA1473"/>
    <mergeCell ref="Z1520:AA1520"/>
    <mergeCell ref="Z1638:AA1638"/>
    <mergeCell ref="AE1620:AG1620"/>
    <mergeCell ref="AB1252:AC1252"/>
    <mergeCell ref="AB1261:AC1261"/>
    <mergeCell ref="Z1426:AA1426"/>
    <mergeCell ref="AB1099:AC1099"/>
    <mergeCell ref="Z1164:AA1164"/>
    <mergeCell ref="Z1130:AA1130"/>
    <mergeCell ref="AB911:AC911"/>
    <mergeCell ref="K717:L717"/>
    <mergeCell ref="Z1176:AA1176"/>
    <mergeCell ref="Z1674:AA1674"/>
    <mergeCell ref="AB1539:AC1539"/>
    <mergeCell ref="R909:U909"/>
    <mergeCell ref="K1217:L1217"/>
    <mergeCell ref="K1195:L1195"/>
    <mergeCell ref="AE1467:AG1467"/>
    <mergeCell ref="AE1390:AG1390"/>
    <mergeCell ref="AE1470:AG1470"/>
    <mergeCell ref="AE1421:AG1421"/>
    <mergeCell ref="AE1439:AG1439"/>
    <mergeCell ref="AE1429:AG1429"/>
    <mergeCell ref="M1512:R1512"/>
    <mergeCell ref="Z1603:AA1603"/>
    <mergeCell ref="Z1550:AA1550"/>
    <mergeCell ref="AB1500:AC1500"/>
    <mergeCell ref="AB1656:AC1656"/>
    <mergeCell ref="AE1540:AG1540"/>
    <mergeCell ref="AE1647:AG1647"/>
    <mergeCell ref="AB1672:AC1672"/>
    <mergeCell ref="AB1636:AC1636"/>
    <mergeCell ref="AE1648:AG1648"/>
    <mergeCell ref="AB1661:AC1661"/>
    <mergeCell ref="AE1564:AG1564"/>
    <mergeCell ref="K1125:L1125"/>
    <mergeCell ref="K1127:L1127"/>
    <mergeCell ref="K1036:L1036"/>
    <mergeCell ref="K926:L926"/>
    <mergeCell ref="Z889:AA889"/>
    <mergeCell ref="Z825:AA825"/>
    <mergeCell ref="Z791:AA791"/>
    <mergeCell ref="Z789:AA789"/>
    <mergeCell ref="AB1046:AC1046"/>
    <mergeCell ref="Z976:AA976"/>
    <mergeCell ref="Z729:AA729"/>
    <mergeCell ref="Z1129:AA1129"/>
    <mergeCell ref="AB814:AC814"/>
    <mergeCell ref="K728:L728"/>
    <mergeCell ref="K748:L748"/>
    <mergeCell ref="K761:L761"/>
    <mergeCell ref="Z747:AA747"/>
    <mergeCell ref="Z792:AA792"/>
    <mergeCell ref="K745:L745"/>
    <mergeCell ref="M866:R866"/>
    <mergeCell ref="M879:R879"/>
    <mergeCell ref="K788:L788"/>
    <mergeCell ref="K765:L765"/>
    <mergeCell ref="Z802:AA802"/>
    <mergeCell ref="M733:R733"/>
    <mergeCell ref="Z888:AA888"/>
    <mergeCell ref="M840:R840"/>
    <mergeCell ref="Z827:AA827"/>
    <mergeCell ref="K808:L808"/>
    <mergeCell ref="M758:R758"/>
    <mergeCell ref="AB789:AC789"/>
    <mergeCell ref="M792:R792"/>
    <mergeCell ref="Z1745:AA1745"/>
    <mergeCell ref="AB1744:AC1744"/>
    <mergeCell ref="AB1594:AC1594"/>
    <mergeCell ref="AB1685:AC1685"/>
    <mergeCell ref="AB1673:AC1673"/>
    <mergeCell ref="Z1687:AA1687"/>
    <mergeCell ref="Z1658:AA1658"/>
    <mergeCell ref="AB1767:AC1767"/>
    <mergeCell ref="M878:R878"/>
    <mergeCell ref="K989:L989"/>
    <mergeCell ref="M902:R902"/>
    <mergeCell ref="Z891:AA891"/>
    <mergeCell ref="AB868:AC868"/>
    <mergeCell ref="K845:L845"/>
    <mergeCell ref="Z1558:AA1558"/>
    <mergeCell ref="AB1229:AC1229"/>
    <mergeCell ref="Z1173:AA1173"/>
    <mergeCell ref="AB1574:AC1574"/>
    <mergeCell ref="AB1766:AC1766"/>
    <mergeCell ref="Z1568:AA1568"/>
    <mergeCell ref="Z1512:AA1512"/>
    <mergeCell ref="Z1677:AA1677"/>
    <mergeCell ref="Z1487:AA1487"/>
    <mergeCell ref="AB1429:AC1429"/>
    <mergeCell ref="AB1359:AC1359"/>
    <mergeCell ref="R854:U854"/>
    <mergeCell ref="M865:R865"/>
    <mergeCell ref="M906:R906"/>
    <mergeCell ref="M858:R858"/>
    <mergeCell ref="M1192:R1192"/>
    <mergeCell ref="M1012:R1012"/>
    <mergeCell ref="AB904:AC904"/>
    <mergeCell ref="Z1814:AG1814"/>
    <mergeCell ref="R1381:U1381"/>
    <mergeCell ref="AB1648:AC1648"/>
    <mergeCell ref="K1165:L1165"/>
    <mergeCell ref="Z1251:AA1251"/>
    <mergeCell ref="M1269:R1269"/>
    <mergeCell ref="Z1432:AA1432"/>
    <mergeCell ref="R1458:U1458"/>
    <mergeCell ref="AB1223:AC1223"/>
    <mergeCell ref="AB988:AC988"/>
    <mergeCell ref="K893:L893"/>
    <mergeCell ref="K894:L894"/>
    <mergeCell ref="K890:L890"/>
    <mergeCell ref="M890:R890"/>
    <mergeCell ref="M1742:R1742"/>
    <mergeCell ref="M1703:R1703"/>
    <mergeCell ref="AB1575:AC1575"/>
    <mergeCell ref="AB1557:AC1557"/>
    <mergeCell ref="Z1360:AA1360"/>
    <mergeCell ref="AB1378:AC1378"/>
    <mergeCell ref="AB1360:AC1360"/>
    <mergeCell ref="AB1385:AC1385"/>
    <mergeCell ref="Z1494:AA1494"/>
    <mergeCell ref="Z1264:AA1264"/>
    <mergeCell ref="M954:R954"/>
    <mergeCell ref="Z1295:AA1295"/>
    <mergeCell ref="AB1528:AC1528"/>
    <mergeCell ref="Z1355:AA1355"/>
    <mergeCell ref="Z1329:AA1329"/>
    <mergeCell ref="Q991:V991"/>
    <mergeCell ref="O935:T935"/>
    <mergeCell ref="AB1731:AC1731"/>
    <mergeCell ref="Z1205:AA1205"/>
    <mergeCell ref="Z1211:AA1211"/>
    <mergeCell ref="Z569:AA569"/>
    <mergeCell ref="Z594:AA594"/>
    <mergeCell ref="Z596:AA596"/>
    <mergeCell ref="A636:G636"/>
    <mergeCell ref="Z637:AA637"/>
    <mergeCell ref="A610:G610"/>
    <mergeCell ref="Z756:AA756"/>
    <mergeCell ref="AB769:AC769"/>
    <mergeCell ref="Z763:AA763"/>
    <mergeCell ref="Z1343:AA1343"/>
    <mergeCell ref="AB1281:AC1281"/>
    <mergeCell ref="AB1009:AC1009"/>
    <mergeCell ref="AB1318:AC1318"/>
    <mergeCell ref="Z1079:AA1079"/>
    <mergeCell ref="AB1074:AC1074"/>
    <mergeCell ref="Z878:AA878"/>
    <mergeCell ref="M583:R583"/>
    <mergeCell ref="A616:G616"/>
    <mergeCell ref="A639:G639"/>
    <mergeCell ref="M835:R835"/>
    <mergeCell ref="K852:L852"/>
    <mergeCell ref="AB840:AC840"/>
    <mergeCell ref="K783:L783"/>
    <mergeCell ref="K784:L784"/>
    <mergeCell ref="Z722:AA722"/>
    <mergeCell ref="K803:L803"/>
    <mergeCell ref="K797:L797"/>
    <mergeCell ref="Z823:AA823"/>
    <mergeCell ref="Z807:AA807"/>
    <mergeCell ref="M800:R800"/>
    <mergeCell ref="A325:G325"/>
    <mergeCell ref="A564:G564"/>
    <mergeCell ref="A333:G333"/>
    <mergeCell ref="R1223:U1223"/>
    <mergeCell ref="Z1178:AA1178"/>
    <mergeCell ref="Z1088:AA1088"/>
    <mergeCell ref="Z1117:AA1117"/>
    <mergeCell ref="Z1243:AA1243"/>
    <mergeCell ref="M1161:R1161"/>
    <mergeCell ref="AB1005:AC1005"/>
    <mergeCell ref="M1039:R1039"/>
    <mergeCell ref="Z1236:AA1236"/>
    <mergeCell ref="AB1239:AC1239"/>
    <mergeCell ref="AB365:AC365"/>
    <mergeCell ref="R333:U333"/>
    <mergeCell ref="M343:R343"/>
    <mergeCell ref="Z1016:AA1016"/>
    <mergeCell ref="M1040:R1040"/>
    <mergeCell ref="AB483:AC483"/>
    <mergeCell ref="AB531:AC531"/>
    <mergeCell ref="AB1216:AC1216"/>
    <mergeCell ref="Z1212:AA1212"/>
    <mergeCell ref="M1170:R1170"/>
    <mergeCell ref="Z1189:AA1189"/>
    <mergeCell ref="Z1180:AA1180"/>
    <mergeCell ref="AB1173:AC1173"/>
    <mergeCell ref="Z531:AA531"/>
    <mergeCell ref="K990:L990"/>
    <mergeCell ref="K841:L841"/>
    <mergeCell ref="K836:L836"/>
    <mergeCell ref="Z838:AA838"/>
    <mergeCell ref="M845:R845"/>
    <mergeCell ref="R383:U383"/>
    <mergeCell ref="AB379:AC379"/>
    <mergeCell ref="Z839:AA839"/>
    <mergeCell ref="Z857:AA857"/>
    <mergeCell ref="Z835:AA835"/>
    <mergeCell ref="K874:L874"/>
    <mergeCell ref="Z854:AA854"/>
    <mergeCell ref="M864:R864"/>
    <mergeCell ref="Z856:AA856"/>
    <mergeCell ref="AB861:AC861"/>
    <mergeCell ref="J886:L886"/>
    <mergeCell ref="AB847:AC847"/>
    <mergeCell ref="M1763:R1763"/>
    <mergeCell ref="Z783:AA783"/>
    <mergeCell ref="Z788:AA788"/>
    <mergeCell ref="K701:L701"/>
    <mergeCell ref="K787:L787"/>
    <mergeCell ref="M803:R803"/>
    <mergeCell ref="Z1049:AA1049"/>
    <mergeCell ref="R451:U451"/>
    <mergeCell ref="M422:R422"/>
    <mergeCell ref="M477:R477"/>
    <mergeCell ref="Z530:AA530"/>
    <mergeCell ref="M547:R547"/>
    <mergeCell ref="AB418:AC418"/>
    <mergeCell ref="M586:R586"/>
    <mergeCell ref="K556:L556"/>
    <mergeCell ref="M1393:R1393"/>
    <mergeCell ref="M1326:R1326"/>
    <mergeCell ref="Z669:AA669"/>
    <mergeCell ref="K738:L738"/>
    <mergeCell ref="K721:L721"/>
    <mergeCell ref="M1640:R1640"/>
    <mergeCell ref="Z1335:AA1335"/>
    <mergeCell ref="Z1249:AA1249"/>
    <mergeCell ref="Z1590:AA1590"/>
    <mergeCell ref="M1688:R1688"/>
    <mergeCell ref="M1224:R1224"/>
    <mergeCell ref="R1141:U1141"/>
    <mergeCell ref="M1332:R1332"/>
    <mergeCell ref="Z474:AA474"/>
    <mergeCell ref="K495:L495"/>
    <mergeCell ref="A417:G417"/>
    <mergeCell ref="Z461:AA461"/>
    <mergeCell ref="Z1072:AA1072"/>
    <mergeCell ref="K436:L436"/>
    <mergeCell ref="M436:R436"/>
    <mergeCell ref="Z436:AA436"/>
    <mergeCell ref="AB436:AC436"/>
    <mergeCell ref="A544:G544"/>
    <mergeCell ref="A540:G540"/>
    <mergeCell ref="A535:G535"/>
    <mergeCell ref="A524:G524"/>
    <mergeCell ref="A466:G466"/>
    <mergeCell ref="M761:R761"/>
    <mergeCell ref="K749:L749"/>
    <mergeCell ref="Z652:AA652"/>
    <mergeCell ref="Z714:AA714"/>
    <mergeCell ref="Z711:AA711"/>
    <mergeCell ref="Z778:AA778"/>
    <mergeCell ref="Z772:AA772"/>
    <mergeCell ref="Z1266:AA1266"/>
    <mergeCell ref="Z1245:AA1245"/>
    <mergeCell ref="Z1332:AA1332"/>
    <mergeCell ref="N1328:O1328"/>
    <mergeCell ref="Z1387:AA1387"/>
    <mergeCell ref="Z1584:AA1584"/>
    <mergeCell ref="Z1599:AA1599"/>
    <mergeCell ref="Z1242:AA1242"/>
    <mergeCell ref="AB1323:AC1323"/>
    <mergeCell ref="M717:R717"/>
    <mergeCell ref="M764:R764"/>
    <mergeCell ref="M748:R748"/>
    <mergeCell ref="M713:R713"/>
    <mergeCell ref="AB717:AC717"/>
    <mergeCell ref="Z736:AA736"/>
    <mergeCell ref="M732:R732"/>
    <mergeCell ref="A715:G715"/>
    <mergeCell ref="Z743:AA743"/>
    <mergeCell ref="Z717:AA717"/>
    <mergeCell ref="M725:R725"/>
    <mergeCell ref="Z725:AA725"/>
    <mergeCell ref="Z1344:AA1344"/>
    <mergeCell ref="Z1358:AA1358"/>
    <mergeCell ref="Z1002:AA1002"/>
    <mergeCell ref="Z983:AA983"/>
    <mergeCell ref="M1076:R1076"/>
    <mergeCell ref="AB1066:AC1066"/>
    <mergeCell ref="AB1061:AC1061"/>
    <mergeCell ref="Z1073:AA1073"/>
    <mergeCell ref="Z1147:AA1147"/>
    <mergeCell ref="Z1159:AA1159"/>
    <mergeCell ref="Z1135:AA1135"/>
    <mergeCell ref="M1044:N1044"/>
    <mergeCell ref="Z1089:AA1089"/>
    <mergeCell ref="Z1168:AA1168"/>
    <mergeCell ref="K481:L481"/>
    <mergeCell ref="K489:L489"/>
    <mergeCell ref="M520:R520"/>
    <mergeCell ref="A776:G776"/>
    <mergeCell ref="K666:L666"/>
    <mergeCell ref="M666:R666"/>
    <mergeCell ref="K713:L713"/>
    <mergeCell ref="Z745:AA745"/>
    <mergeCell ref="K807:L807"/>
    <mergeCell ref="M813:R813"/>
    <mergeCell ref="A346:G346"/>
    <mergeCell ref="A369:G369"/>
    <mergeCell ref="R392:U392"/>
    <mergeCell ref="M1291:R1291"/>
    <mergeCell ref="M988:R988"/>
    <mergeCell ref="K1273:L1273"/>
    <mergeCell ref="AB1083:AC1083"/>
    <mergeCell ref="A665:G665"/>
    <mergeCell ref="A719:G719"/>
    <mergeCell ref="A651:G651"/>
    <mergeCell ref="A603:G603"/>
    <mergeCell ref="K811:L811"/>
    <mergeCell ref="Z774:AA774"/>
    <mergeCell ref="M823:R823"/>
    <mergeCell ref="K849:L849"/>
    <mergeCell ref="K830:L830"/>
    <mergeCell ref="K851:L851"/>
    <mergeCell ref="K1040:L1040"/>
    <mergeCell ref="AB1174:AC1174"/>
    <mergeCell ref="M862:R862"/>
    <mergeCell ref="M939:R939"/>
    <mergeCell ref="M851:R851"/>
    <mergeCell ref="M449:R449"/>
    <mergeCell ref="K452:L452"/>
    <mergeCell ref="K429:L429"/>
    <mergeCell ref="Z426:AA426"/>
    <mergeCell ref="K826:L826"/>
    <mergeCell ref="Z764:AA764"/>
    <mergeCell ref="Z735:AA735"/>
    <mergeCell ref="Z740:AA740"/>
    <mergeCell ref="Z746:AA746"/>
    <mergeCell ref="Q743:V743"/>
    <mergeCell ref="M747:R747"/>
    <mergeCell ref="AB726:AC726"/>
    <mergeCell ref="A359:G359"/>
    <mergeCell ref="K677:L677"/>
    <mergeCell ref="K586:L586"/>
    <mergeCell ref="K723:L723"/>
    <mergeCell ref="K649:L649"/>
    <mergeCell ref="A588:G588"/>
    <mergeCell ref="A763:G763"/>
    <mergeCell ref="M601:R601"/>
    <mergeCell ref="AB646:AC646"/>
    <mergeCell ref="K412:L412"/>
    <mergeCell ref="M389:R389"/>
    <mergeCell ref="M460:R460"/>
    <mergeCell ref="M805:R805"/>
    <mergeCell ref="A661:G661"/>
    <mergeCell ref="K758:L758"/>
    <mergeCell ref="AB762:AC762"/>
    <mergeCell ref="A629:G629"/>
    <mergeCell ref="A633:G633"/>
    <mergeCell ref="A600:G600"/>
    <mergeCell ref="A794:G794"/>
    <mergeCell ref="A554:G554"/>
    <mergeCell ref="A519:G519"/>
    <mergeCell ref="A644:G644"/>
    <mergeCell ref="A606:G606"/>
    <mergeCell ref="A585:G585"/>
    <mergeCell ref="M595:R595"/>
    <mergeCell ref="Z595:AA595"/>
    <mergeCell ref="AB595:AC595"/>
    <mergeCell ref="K757:L757"/>
    <mergeCell ref="A558:G558"/>
    <mergeCell ref="K735:L735"/>
    <mergeCell ref="Z501:AA501"/>
    <mergeCell ref="AB499:AC499"/>
    <mergeCell ref="A424:G424"/>
    <mergeCell ref="A362:G362"/>
    <mergeCell ref="K352:L352"/>
    <mergeCell ref="M425:R425"/>
    <mergeCell ref="AB408:AC408"/>
    <mergeCell ref="AB494:AC494"/>
    <mergeCell ref="Z401:AA401"/>
    <mergeCell ref="Z438:AA438"/>
    <mergeCell ref="Z432:AA432"/>
    <mergeCell ref="A401:G401"/>
    <mergeCell ref="M720:R720"/>
    <mergeCell ref="Z658:AA658"/>
    <mergeCell ref="AB476:AC476"/>
    <mergeCell ref="Q382:V382"/>
    <mergeCell ref="K541:L541"/>
    <mergeCell ref="M541:R541"/>
    <mergeCell ref="Z541:AA541"/>
    <mergeCell ref="AB541:AC541"/>
    <mergeCell ref="K551:L551"/>
    <mergeCell ref="K542:L542"/>
    <mergeCell ref="M542:R542"/>
    <mergeCell ref="A434:G434"/>
    <mergeCell ref="A474:G474"/>
    <mergeCell ref="M400:N400"/>
    <mergeCell ref="A620:G620"/>
    <mergeCell ref="A705:G705"/>
    <mergeCell ref="A672:G672"/>
    <mergeCell ref="K566:L566"/>
    <mergeCell ref="K601:L601"/>
    <mergeCell ref="AB687:AC687"/>
    <mergeCell ref="M655:R655"/>
    <mergeCell ref="Z655:AA655"/>
    <mergeCell ref="A654:G654"/>
    <mergeCell ref="K676:L676"/>
    <mergeCell ref="Z691:AA691"/>
    <mergeCell ref="M754:R754"/>
    <mergeCell ref="AB657:AC657"/>
    <mergeCell ref="M721:R721"/>
    <mergeCell ref="K594:L594"/>
    <mergeCell ref="M612:R612"/>
    <mergeCell ref="Z612:AA612"/>
    <mergeCell ref="AB643:AC643"/>
    <mergeCell ref="A691:G691"/>
    <mergeCell ref="Z666:AA666"/>
    <mergeCell ref="AB666:AC666"/>
    <mergeCell ref="Z720:AA720"/>
    <mergeCell ref="A508:G508"/>
    <mergeCell ref="A568:G568"/>
    <mergeCell ref="A491:G491"/>
    <mergeCell ref="A582:G582"/>
    <mergeCell ref="A573:G573"/>
    <mergeCell ref="Z385:AA385"/>
    <mergeCell ref="A876:G876"/>
    <mergeCell ref="M742:R742"/>
    <mergeCell ref="M726:R726"/>
    <mergeCell ref="Z785:AA785"/>
    <mergeCell ref="AB747:AC747"/>
    <mergeCell ref="M659:R659"/>
    <mergeCell ref="M888:R888"/>
    <mergeCell ref="M959:R959"/>
    <mergeCell ref="AB902:AC902"/>
    <mergeCell ref="AB903:AC903"/>
    <mergeCell ref="Z849:AA849"/>
    <mergeCell ref="Z949:AA949"/>
    <mergeCell ref="A499:G499"/>
    <mergeCell ref="A459:G459"/>
    <mergeCell ref="K652:L652"/>
    <mergeCell ref="A773:G773"/>
    <mergeCell ref="A740:G740"/>
    <mergeCell ref="M724:R724"/>
    <mergeCell ref="A712:G712"/>
    <mergeCell ref="A709:G709"/>
    <mergeCell ref="K707:L707"/>
    <mergeCell ref="A730:G730"/>
    <mergeCell ref="A768:G768"/>
    <mergeCell ref="Z472:AA472"/>
    <mergeCell ref="Z665:AA665"/>
    <mergeCell ref="Z700:AA700"/>
    <mergeCell ref="AB702:AC702"/>
    <mergeCell ref="A648:G648"/>
    <mergeCell ref="AB690:AC690"/>
    <mergeCell ref="AB733:AC733"/>
    <mergeCell ref="Z690:AA690"/>
    <mergeCell ref="A815:G815"/>
    <mergeCell ref="A802:G802"/>
    <mergeCell ref="M738:R738"/>
    <mergeCell ref="M797:R797"/>
    <mergeCell ref="M783:R783"/>
    <mergeCell ref="K795:L795"/>
    <mergeCell ref="Z819:AA819"/>
    <mergeCell ref="M796:R796"/>
    <mergeCell ref="K918:L918"/>
    <mergeCell ref="M836:R836"/>
    <mergeCell ref="K997:L997"/>
    <mergeCell ref="K673:L673"/>
    <mergeCell ref="AB817:AC817"/>
    <mergeCell ref="A694:G694"/>
    <mergeCell ref="Z694:AA694"/>
    <mergeCell ref="Z786:AA786"/>
    <mergeCell ref="M791:R791"/>
    <mergeCell ref="K792:L792"/>
    <mergeCell ref="AB797:AC797"/>
    <mergeCell ref="Z790:AA790"/>
    <mergeCell ref="M795:R795"/>
    <mergeCell ref="AB831:AC831"/>
    <mergeCell ref="M844:R844"/>
    <mergeCell ref="Q847:V847"/>
    <mergeCell ref="K864:L864"/>
    <mergeCell ref="K862:L862"/>
    <mergeCell ref="K865:L865"/>
    <mergeCell ref="K860:L860"/>
    <mergeCell ref="M863:R863"/>
    <mergeCell ref="M871:R871"/>
    <mergeCell ref="M993:R993"/>
    <mergeCell ref="AB944:AC944"/>
    <mergeCell ref="Z593:AA593"/>
    <mergeCell ref="A350:G350"/>
    <mergeCell ref="K357:L357"/>
    <mergeCell ref="K408:L408"/>
    <mergeCell ref="K351:L351"/>
    <mergeCell ref="K360:L360"/>
    <mergeCell ref="A528:G528"/>
    <mergeCell ref="A699:H699"/>
    <mergeCell ref="K468:L468"/>
    <mergeCell ref="M468:R468"/>
    <mergeCell ref="M390:R390"/>
    <mergeCell ref="A377:G377"/>
    <mergeCell ref="A411:G411"/>
    <mergeCell ref="Z418:AA418"/>
    <mergeCell ref="AB417:AC417"/>
    <mergeCell ref="Q391:V391"/>
    <mergeCell ref="M355:R355"/>
    <mergeCell ref="Z364:AA364"/>
    <mergeCell ref="AB355:AC355"/>
    <mergeCell ref="AB388:AC388"/>
    <mergeCell ref="A392:G392"/>
    <mergeCell ref="AB366:AC366"/>
    <mergeCell ref="K437:L437"/>
    <mergeCell ref="Z463:AA463"/>
    <mergeCell ref="AB463:AC463"/>
    <mergeCell ref="A485:G485"/>
    <mergeCell ref="A511:G511"/>
    <mergeCell ref="AB696:AC696"/>
    <mergeCell ref="Z402:AA402"/>
    <mergeCell ref="R401:U401"/>
    <mergeCell ref="AB402:AC402"/>
    <mergeCell ref="Z382:AA382"/>
    <mergeCell ref="AB790:AC790"/>
    <mergeCell ref="AB779:AC779"/>
    <mergeCell ref="K766:L766"/>
    <mergeCell ref="K816:L816"/>
    <mergeCell ref="K823:L823"/>
    <mergeCell ref="K782:L782"/>
    <mergeCell ref="K577:L577"/>
    <mergeCell ref="K593:L593"/>
    <mergeCell ref="M623:R623"/>
    <mergeCell ref="K552:L552"/>
    <mergeCell ref="Z808:AA808"/>
    <mergeCell ref="K559:L559"/>
    <mergeCell ref="M613:R613"/>
    <mergeCell ref="K547:L547"/>
    <mergeCell ref="K533:L533"/>
    <mergeCell ref="A471:G471"/>
    <mergeCell ref="A685:G685"/>
    <mergeCell ref="K806:L806"/>
    <mergeCell ref="AB804:AC804"/>
    <mergeCell ref="K658:L658"/>
    <mergeCell ref="K583:L583"/>
    <mergeCell ref="AB482:AC482"/>
    <mergeCell ref="AB533:AC533"/>
    <mergeCell ref="Z661:AA661"/>
    <mergeCell ref="Z793:AA793"/>
    <mergeCell ref="AB800:AC800"/>
    <mergeCell ref="M509:R509"/>
    <mergeCell ref="M517:R517"/>
    <mergeCell ref="K517:L517"/>
    <mergeCell ref="AB653:AC653"/>
    <mergeCell ref="AB684:AC684"/>
    <mergeCell ref="M645:R645"/>
    <mergeCell ref="Z702:AA702"/>
    <mergeCell ref="K467:L467"/>
    <mergeCell ref="AB467:AC467"/>
    <mergeCell ref="Z667:AA667"/>
    <mergeCell ref="Z748:AA748"/>
    <mergeCell ref="M826:R826"/>
    <mergeCell ref="M817:R817"/>
    <mergeCell ref="A456:G456"/>
    <mergeCell ref="A760:G760"/>
    <mergeCell ref="AB722:AC722"/>
    <mergeCell ref="A822:G822"/>
    <mergeCell ref="AB778:AC778"/>
    <mergeCell ref="Z728:AA728"/>
    <mergeCell ref="Z705:AA705"/>
    <mergeCell ref="Z676:AA676"/>
    <mergeCell ref="AB701:AC701"/>
    <mergeCell ref="Z781:AA781"/>
    <mergeCell ref="Z673:AA673"/>
    <mergeCell ref="AB820:AC820"/>
    <mergeCell ref="Z809:AA809"/>
    <mergeCell ref="Z820:AA820"/>
    <mergeCell ref="A790:G790"/>
    <mergeCell ref="A810:G810"/>
    <mergeCell ref="Z759:AA759"/>
    <mergeCell ref="M770:R770"/>
    <mergeCell ref="Z769:AA769"/>
    <mergeCell ref="K770:L770"/>
    <mergeCell ref="Z770:AA770"/>
    <mergeCell ref="Z782:AA782"/>
    <mergeCell ref="Z780:AA780"/>
    <mergeCell ref="M778:R778"/>
    <mergeCell ref="M782:R782"/>
    <mergeCell ref="AB1717:AC1717"/>
    <mergeCell ref="AB1544:AC1544"/>
    <mergeCell ref="AB1521:AC1521"/>
    <mergeCell ref="M933:R933"/>
    <mergeCell ref="AB1197:AC1197"/>
    <mergeCell ref="K958:L958"/>
    <mergeCell ref="AB1180:AC1180"/>
    <mergeCell ref="K1139:L1139"/>
    <mergeCell ref="Z1069:AA1069"/>
    <mergeCell ref="M1001:R1001"/>
    <mergeCell ref="Z718:AA718"/>
    <mergeCell ref="A843:G843"/>
    <mergeCell ref="A848:G848"/>
    <mergeCell ref="A799:G799"/>
    <mergeCell ref="A819:G819"/>
    <mergeCell ref="AB870:AC870"/>
    <mergeCell ref="AB758:AC758"/>
    <mergeCell ref="M852:R852"/>
    <mergeCell ref="A892:G892"/>
    <mergeCell ref="K781:L781"/>
    <mergeCell ref="Z824:AA824"/>
    <mergeCell ref="Z850:AA850"/>
    <mergeCell ref="Z868:AA868"/>
    <mergeCell ref="Q881:V881"/>
    <mergeCell ref="Z886:AA886"/>
    <mergeCell ref="M901:R901"/>
    <mergeCell ref="K742:L742"/>
    <mergeCell ref="K840:L840"/>
    <mergeCell ref="AB834:AC834"/>
    <mergeCell ref="Z848:AA848"/>
    <mergeCell ref="K764:L764"/>
    <mergeCell ref="Z766:AA766"/>
    <mergeCell ref="Z1712:AA1712"/>
    <mergeCell ref="Z1642:AA1642"/>
    <mergeCell ref="Z1626:AA1626"/>
    <mergeCell ref="Z1612:AA1612"/>
    <mergeCell ref="Z1625:AA1625"/>
    <mergeCell ref="M1532:R1532"/>
    <mergeCell ref="M1472:O1472"/>
    <mergeCell ref="Z1097:AA1097"/>
    <mergeCell ref="AB1072:AC1072"/>
    <mergeCell ref="AB931:AC931"/>
    <mergeCell ref="K837:L837"/>
    <mergeCell ref="Z924:AA924"/>
    <mergeCell ref="Z921:AA921"/>
    <mergeCell ref="A688:G688"/>
    <mergeCell ref="A679:G679"/>
    <mergeCell ref="AB740:AC740"/>
    <mergeCell ref="K732:L732"/>
    <mergeCell ref="A786:G786"/>
    <mergeCell ref="K769:L769"/>
    <mergeCell ref="K772:L772"/>
    <mergeCell ref="Z776:AA776"/>
    <mergeCell ref="K702:L702"/>
    <mergeCell ref="K774:L774"/>
    <mergeCell ref="Z794:AA794"/>
    <mergeCell ref="K911:L911"/>
    <mergeCell ref="M910:R910"/>
    <mergeCell ref="Z1098:AA1098"/>
    <mergeCell ref="R1109:U1109"/>
    <mergeCell ref="Z1187:AA1187"/>
    <mergeCell ref="AB1114:AC1114"/>
    <mergeCell ref="AB1129:AC1129"/>
    <mergeCell ref="AB742:AC742"/>
    <mergeCell ref="A828:G828"/>
    <mergeCell ref="M830:R830"/>
    <mergeCell ref="Z831:AA831"/>
    <mergeCell ref="Z832:AA832"/>
    <mergeCell ref="AB987:AC987"/>
    <mergeCell ref="Z971:AA971"/>
    <mergeCell ref="AB1035:AC1035"/>
    <mergeCell ref="AB1038:AC1038"/>
    <mergeCell ref="Z956:AA956"/>
    <mergeCell ref="AB967:AC967"/>
    <mergeCell ref="Z986:AA986"/>
    <mergeCell ref="Z1054:AA1054"/>
    <mergeCell ref="AB1053:AC1053"/>
    <mergeCell ref="M859:R859"/>
    <mergeCell ref="AB828:AC828"/>
    <mergeCell ref="AB849:AC849"/>
    <mergeCell ref="AB848:AC848"/>
    <mergeCell ref="M911:R911"/>
    <mergeCell ref="AB948:AC948"/>
    <mergeCell ref="M841:R841"/>
    <mergeCell ref="K998:L998"/>
    <mergeCell ref="AB1012:AC1012"/>
    <mergeCell ref="M1023:R1023"/>
    <mergeCell ref="Z1026:AA1026"/>
    <mergeCell ref="Z984:AA984"/>
    <mergeCell ref="K871:L871"/>
    <mergeCell ref="K959:L959"/>
    <mergeCell ref="K878:L878"/>
    <mergeCell ref="M877:R877"/>
    <mergeCell ref="K948:L948"/>
    <mergeCell ref="A882:G882"/>
    <mergeCell ref="A887:G887"/>
    <mergeCell ref="K1015:L1015"/>
    <mergeCell ref="K988:L988"/>
    <mergeCell ref="M937:R937"/>
    <mergeCell ref="AB972:AC972"/>
    <mergeCell ref="Z957:AA957"/>
    <mergeCell ref="K907:L907"/>
    <mergeCell ref="K866:L866"/>
    <mergeCell ref="K914:L914"/>
    <mergeCell ref="K934:L934"/>
    <mergeCell ref="M965:R965"/>
    <mergeCell ref="K846:L846"/>
    <mergeCell ref="AB966:AC966"/>
    <mergeCell ref="AB882:AC882"/>
    <mergeCell ref="Z880:AA880"/>
    <mergeCell ref="AB1133:AC1133"/>
    <mergeCell ref="Z1285:AA1285"/>
    <mergeCell ref="M952:R952"/>
    <mergeCell ref="K1048:L1048"/>
    <mergeCell ref="AB933:AC933"/>
    <mergeCell ref="M989:R989"/>
    <mergeCell ref="M998:R998"/>
    <mergeCell ref="M979:R979"/>
    <mergeCell ref="AB881:AC881"/>
    <mergeCell ref="Z1056:AA1056"/>
    <mergeCell ref="AB1034:AC1034"/>
    <mergeCell ref="M962:R962"/>
    <mergeCell ref="K1090:L1090"/>
    <mergeCell ref="Z975:AA975"/>
    <mergeCell ref="AB954:AC954"/>
    <mergeCell ref="Z966:AA966"/>
    <mergeCell ref="M1049:R1049"/>
    <mergeCell ref="Z946:AA946"/>
    <mergeCell ref="A1045:G1045"/>
    <mergeCell ref="M1066:R1066"/>
    <mergeCell ref="M997:R997"/>
    <mergeCell ref="A947:G947"/>
    <mergeCell ref="M1086:R1086"/>
    <mergeCell ref="R1129:U1129"/>
    <mergeCell ref="M1020:R1020"/>
    <mergeCell ref="K1069:L1069"/>
    <mergeCell ref="A992:G992"/>
    <mergeCell ref="M991:N991"/>
    <mergeCell ref="Z1124:AA1124"/>
    <mergeCell ref="M927:R927"/>
    <mergeCell ref="AB1027:AC1027"/>
    <mergeCell ref="Z947:AA947"/>
    <mergeCell ref="M940:R940"/>
    <mergeCell ref="Z948:AA948"/>
    <mergeCell ref="K771:L771"/>
    <mergeCell ref="AB907:AC907"/>
    <mergeCell ref="Z810:AA810"/>
    <mergeCell ref="K791:L791"/>
    <mergeCell ref="M945:R945"/>
    <mergeCell ref="K829:L829"/>
    <mergeCell ref="Z826:AA826"/>
    <mergeCell ref="K910:L910"/>
    <mergeCell ref="Z969:AA969"/>
    <mergeCell ref="Z911:AA911"/>
    <mergeCell ref="Z1000:AA1000"/>
    <mergeCell ref="Z877:AA877"/>
    <mergeCell ref="AB846:AC846"/>
    <mergeCell ref="AB850:AC850"/>
    <mergeCell ref="AB1014:AC1014"/>
    <mergeCell ref="M953:R953"/>
    <mergeCell ref="A1105:G1105"/>
    <mergeCell ref="A1068:G1068"/>
    <mergeCell ref="AB1058:AC1058"/>
    <mergeCell ref="AB1151:AC1151"/>
    <mergeCell ref="Z1108:AA1108"/>
    <mergeCell ref="AB995:AC995"/>
    <mergeCell ref="Z1024:AA1024"/>
    <mergeCell ref="AB977:AC977"/>
    <mergeCell ref="AB1000:AC1000"/>
    <mergeCell ref="Z1126:AA1126"/>
    <mergeCell ref="AB871:AC871"/>
    <mergeCell ref="Z916:AA916"/>
    <mergeCell ref="AB885:AC885"/>
    <mergeCell ref="AB901:AC901"/>
    <mergeCell ref="M966:R966"/>
    <mergeCell ref="Z973:AA973"/>
    <mergeCell ref="Z978:AA978"/>
    <mergeCell ref="Z945:AA945"/>
    <mergeCell ref="Z970:AA970"/>
    <mergeCell ref="M994:R994"/>
    <mergeCell ref="Z1014:AA1014"/>
    <mergeCell ref="Z980:AA980"/>
    <mergeCell ref="K967:L967"/>
    <mergeCell ref="K1097:L1097"/>
    <mergeCell ref="Z993:AA993"/>
    <mergeCell ref="K1025:L1025"/>
    <mergeCell ref="Z997:AA997"/>
    <mergeCell ref="M922:R922"/>
    <mergeCell ref="Z922:AA922"/>
    <mergeCell ref="Z881:AA881"/>
    <mergeCell ref="M996:R996"/>
    <mergeCell ref="K979:L979"/>
    <mergeCell ref="K447:L447"/>
    <mergeCell ref="K569:L569"/>
    <mergeCell ref="Z876:AA876"/>
    <mergeCell ref="Z987:AA987"/>
    <mergeCell ref="K903:L903"/>
    <mergeCell ref="M846:R846"/>
    <mergeCell ref="K835:L835"/>
    <mergeCell ref="Z872:AA872"/>
    <mergeCell ref="M482:R482"/>
    <mergeCell ref="K505:L505"/>
    <mergeCell ref="M505:R505"/>
    <mergeCell ref="K859:L859"/>
    <mergeCell ref="AB875:AC875"/>
    <mergeCell ref="Z882:AA882"/>
    <mergeCell ref="M812:R812"/>
    <mergeCell ref="AB974:AC974"/>
    <mergeCell ref="AB926:AC926"/>
    <mergeCell ref="K877:L877"/>
    <mergeCell ref="K832:L832"/>
    <mergeCell ref="K813:L813"/>
    <mergeCell ref="K850:L850"/>
    <mergeCell ref="J653:L653"/>
    <mergeCell ref="M976:R976"/>
    <mergeCell ref="Z958:AA958"/>
    <mergeCell ref="Z910:AA910"/>
    <mergeCell ref="AB952:AC952"/>
    <mergeCell ref="M883:R883"/>
    <mergeCell ref="Z960:AA960"/>
    <mergeCell ref="M670:R670"/>
    <mergeCell ref="Q671:V671"/>
    <mergeCell ref="AB670:AC670"/>
    <mergeCell ref="AB680:AC680"/>
    <mergeCell ref="AB1686:AC1686"/>
    <mergeCell ref="AB1353:AC1353"/>
    <mergeCell ref="AB1354:AC1354"/>
    <mergeCell ref="Z1275:AA1275"/>
    <mergeCell ref="Z1455:AA1455"/>
    <mergeCell ref="AB1449:AC1449"/>
    <mergeCell ref="AB1665:AC1665"/>
    <mergeCell ref="AB915:AC915"/>
    <mergeCell ref="Z899:AA899"/>
    <mergeCell ref="AB917:AC917"/>
    <mergeCell ref="Z914:AA914"/>
    <mergeCell ref="Z1031:AA1031"/>
    <mergeCell ref="M1474:R1474"/>
    <mergeCell ref="AB940:AC940"/>
    <mergeCell ref="Z1371:AA1371"/>
    <mergeCell ref="R1683:U1683"/>
    <mergeCell ref="M1672:R1672"/>
    <mergeCell ref="Z1405:AA1405"/>
    <mergeCell ref="Z1257:AA1257"/>
    <mergeCell ref="Z1065:AA1065"/>
    <mergeCell ref="AB1156:AC1156"/>
    <mergeCell ref="Z1279:AA1279"/>
    <mergeCell ref="AB1279:AC1279"/>
    <mergeCell ref="AB1266:AC1266"/>
    <mergeCell ref="Z1258:AA1258"/>
    <mergeCell ref="M919:R919"/>
    <mergeCell ref="Z967:AA967"/>
    <mergeCell ref="M1052:R1052"/>
    <mergeCell ref="Z1042:AA1042"/>
    <mergeCell ref="Z1060:AA1060"/>
    <mergeCell ref="AB1022:AC1022"/>
    <mergeCell ref="Z1041:AA1041"/>
    <mergeCell ref="AB1292:AC1292"/>
    <mergeCell ref="AB1298:AC1298"/>
    <mergeCell ref="AB1695:AC1695"/>
    <mergeCell ref="AB1592:AC1592"/>
    <mergeCell ref="Z1570:AA1570"/>
    <mergeCell ref="AB1711:AC1711"/>
    <mergeCell ref="AB357:AC357"/>
    <mergeCell ref="K879:L879"/>
    <mergeCell ref="K901:L901"/>
    <mergeCell ref="Z1688:AA1688"/>
    <mergeCell ref="AB1289:AC1289"/>
    <mergeCell ref="Z1247:AA1247"/>
    <mergeCell ref="Z1307:AA1307"/>
    <mergeCell ref="Z1308:AA1308"/>
    <mergeCell ref="AB1056:AC1056"/>
    <mergeCell ref="AB1088:AC1088"/>
    <mergeCell ref="AB1168:AC1168"/>
    <mergeCell ref="Z1170:AA1170"/>
    <mergeCell ref="Z1058:AA1058"/>
    <mergeCell ref="Z1096:AA1096"/>
    <mergeCell ref="Z1005:AA1005"/>
    <mergeCell ref="AB1029:AC1029"/>
    <mergeCell ref="Z1288:AA1288"/>
    <mergeCell ref="M1263:R1263"/>
    <mergeCell ref="Z1319:AA1319"/>
    <mergeCell ref="R1590:U1590"/>
    <mergeCell ref="Z959:AA959"/>
    <mergeCell ref="K1426:L1426"/>
    <mergeCell ref="Q1299:V1299"/>
    <mergeCell ref="M1335:R1335"/>
    <mergeCell ref="M1304:R1304"/>
    <mergeCell ref="AB1275:AC1275"/>
    <mergeCell ref="A479:G479"/>
    <mergeCell ref="A913:G913"/>
    <mergeCell ref="K442:L442"/>
    <mergeCell ref="AB821:AC821"/>
    <mergeCell ref="K1019:L1019"/>
    <mergeCell ref="K1130:L1130"/>
    <mergeCell ref="J856:L856"/>
    <mergeCell ref="Q1215:V1215"/>
    <mergeCell ref="A503:G503"/>
    <mergeCell ref="A531:G531"/>
    <mergeCell ref="K536:L536"/>
    <mergeCell ref="M536:R536"/>
    <mergeCell ref="AB688:AC688"/>
    <mergeCell ref="M593:R593"/>
    <mergeCell ref="K623:L623"/>
    <mergeCell ref="J605:L605"/>
    <mergeCell ref="M594:R594"/>
    <mergeCell ref="A657:G657"/>
    <mergeCell ref="M453:R453"/>
    <mergeCell ref="M480:R480"/>
    <mergeCell ref="AB446:AC446"/>
    <mergeCell ref="Z905:AA905"/>
    <mergeCell ref="M832:R832"/>
    <mergeCell ref="K483:L483"/>
    <mergeCell ref="K546:L546"/>
    <mergeCell ref="J908:L908"/>
    <mergeCell ref="M483:R483"/>
    <mergeCell ref="Z483:AA483"/>
    <mergeCell ref="K930:L930"/>
    <mergeCell ref="AB878:AC878"/>
    <mergeCell ref="M457:R457"/>
    <mergeCell ref="M625:R625"/>
    <mergeCell ref="A857:G857"/>
    <mergeCell ref="A854:G854"/>
    <mergeCell ref="AB1011:AC1011"/>
    <mergeCell ref="M995:R995"/>
    <mergeCell ref="AB818:AC818"/>
    <mergeCell ref="K966:L966"/>
    <mergeCell ref="Z1195:AA1195"/>
    <mergeCell ref="AB1147:AC1147"/>
    <mergeCell ref="Z836:AA836"/>
    <mergeCell ref="Z814:AA814"/>
    <mergeCell ref="A561:G561"/>
    <mergeCell ref="K340:L340"/>
    <mergeCell ref="K316:L316"/>
    <mergeCell ref="K477:L477"/>
    <mergeCell ref="Z1645:AA1645"/>
    <mergeCell ref="AB1109:AC1109"/>
    <mergeCell ref="Z1231:AA1231"/>
    <mergeCell ref="AB1277:AC1277"/>
    <mergeCell ref="Z1203:AA1203"/>
    <mergeCell ref="AB1419:AC1419"/>
    <mergeCell ref="Z1419:AA1419"/>
    <mergeCell ref="Q638:V638"/>
    <mergeCell ref="M497:R497"/>
    <mergeCell ref="AB540:AC540"/>
    <mergeCell ref="A462:G462"/>
    <mergeCell ref="Z372:AA372"/>
    <mergeCell ref="Z337:AA337"/>
    <mergeCell ref="AB495:AC495"/>
    <mergeCell ref="A550:G550"/>
    <mergeCell ref="K545:L545"/>
    <mergeCell ref="M545:R545"/>
    <mergeCell ref="M1174:R1174"/>
    <mergeCell ref="A313:G313"/>
    <mergeCell ref="A322:G322"/>
    <mergeCell ref="AB290:AC290"/>
    <mergeCell ref="M1437:R1437"/>
    <mergeCell ref="AB383:AC383"/>
    <mergeCell ref="Z457:AA457"/>
    <mergeCell ref="M1382:R1382"/>
    <mergeCell ref="P1385:U1385"/>
    <mergeCell ref="M1363:R1363"/>
    <mergeCell ref="Z962:AA962"/>
    <mergeCell ref="Z1066:AA1066"/>
    <mergeCell ref="AB1070:AC1070"/>
    <mergeCell ref="AB879:AC879"/>
    <mergeCell ref="K880:L880"/>
    <mergeCell ref="Z841:AA841"/>
    <mergeCell ref="Z1361:AA1361"/>
    <mergeCell ref="AB1263:AC1263"/>
    <mergeCell ref="AB1299:AC1299"/>
    <mergeCell ref="AB1138:AC1138"/>
    <mergeCell ref="K804:L804"/>
    <mergeCell ref="K888:L888"/>
    <mergeCell ref="A303:G303"/>
    <mergeCell ref="A328:G328"/>
    <mergeCell ref="K443:L443"/>
    <mergeCell ref="M443:R443"/>
    <mergeCell ref="K444:L444"/>
    <mergeCell ref="K506:L506"/>
    <mergeCell ref="K560:L560"/>
    <mergeCell ref="K626:L626"/>
    <mergeCell ref="M626:R626"/>
    <mergeCell ref="Z626:AA626"/>
    <mergeCell ref="AB809:AC809"/>
    <mergeCell ref="A414:G414"/>
    <mergeCell ref="K421:L421"/>
    <mergeCell ref="A428:G428"/>
    <mergeCell ref="Z1289:AA1289"/>
    <mergeCell ref="Z419:AA419"/>
    <mergeCell ref="Z428:AA428"/>
    <mergeCell ref="K422:L422"/>
    <mergeCell ref="M525:R525"/>
    <mergeCell ref="K315:L315"/>
    <mergeCell ref="M315:R315"/>
    <mergeCell ref="AB938:AC938"/>
    <mergeCell ref="AB390:AC390"/>
    <mergeCell ref="Z400:AA400"/>
    <mergeCell ref="M440:R440"/>
    <mergeCell ref="A439:G439"/>
    <mergeCell ref="A451:G451"/>
    <mergeCell ref="K805:L805"/>
    <mergeCell ref="A446:G446"/>
    <mergeCell ref="AB396:AC396"/>
    <mergeCell ref="R975:U975"/>
    <mergeCell ref="M946:N946"/>
    <mergeCell ref="AB924:AC924"/>
    <mergeCell ref="M948:R948"/>
    <mergeCell ref="Z917:AA917"/>
    <mergeCell ref="AB823:AC823"/>
    <mergeCell ref="AB822:AC822"/>
    <mergeCell ref="AB819:AC819"/>
    <mergeCell ref="M816:R816"/>
    <mergeCell ref="Z816:AA816"/>
    <mergeCell ref="AB585:AC585"/>
    <mergeCell ref="AB602:AC602"/>
    <mergeCell ref="Z601:AA601"/>
    <mergeCell ref="AE243:AG243"/>
    <mergeCell ref="AE227:AG227"/>
    <mergeCell ref="AE216:AG216"/>
    <mergeCell ref="K141:L141"/>
    <mergeCell ref="A65:G65"/>
    <mergeCell ref="K139:L139"/>
    <mergeCell ref="AE129:AG129"/>
    <mergeCell ref="A48:G48"/>
    <mergeCell ref="Z44:AA44"/>
    <mergeCell ref="AB90:AC90"/>
    <mergeCell ref="K67:L67"/>
    <mergeCell ref="M127:R127"/>
    <mergeCell ref="K38:L38"/>
    <mergeCell ref="K249:L249"/>
    <mergeCell ref="A256:G256"/>
    <mergeCell ref="AB232:AC232"/>
    <mergeCell ref="A262:G262"/>
    <mergeCell ref="A247:G247"/>
    <mergeCell ref="J255:L255"/>
    <mergeCell ref="K121:L121"/>
    <mergeCell ref="Z237:AA237"/>
    <mergeCell ref="AB201:AC201"/>
    <mergeCell ref="AE228:AG228"/>
    <mergeCell ref="K147:L147"/>
    <mergeCell ref="K181:L181"/>
    <mergeCell ref="AE111:AG111"/>
    <mergeCell ref="M118:R118"/>
    <mergeCell ref="M115:R115"/>
    <mergeCell ref="Z79:AA79"/>
    <mergeCell ref="AE87:AG87"/>
    <mergeCell ref="K42:L42"/>
    <mergeCell ref="K46:L46"/>
    <mergeCell ref="Z46:AA46"/>
    <mergeCell ref="AB46:AC46"/>
    <mergeCell ref="K84:L84"/>
    <mergeCell ref="K36:L36"/>
    <mergeCell ref="M36:R36"/>
    <mergeCell ref="Z36:AA36"/>
    <mergeCell ref="AB36:AC36"/>
    <mergeCell ref="AE43:AG43"/>
    <mergeCell ref="K73:L73"/>
    <mergeCell ref="Z56:AA56"/>
    <mergeCell ref="AB56:AC56"/>
    <mergeCell ref="Z72:AA72"/>
    <mergeCell ref="AB184:AC184"/>
    <mergeCell ref="Z207:AA207"/>
    <mergeCell ref="K96:L96"/>
    <mergeCell ref="K56:L56"/>
    <mergeCell ref="A59:G59"/>
    <mergeCell ref="K134:L134"/>
    <mergeCell ref="AB100:AC100"/>
    <mergeCell ref="Z116:AA116"/>
    <mergeCell ref="Z123:AA123"/>
    <mergeCell ref="Z87:AA87"/>
    <mergeCell ref="K81:L81"/>
    <mergeCell ref="M98:R98"/>
    <mergeCell ref="AB132:AC132"/>
    <mergeCell ref="AE133:AG133"/>
    <mergeCell ref="K124:L124"/>
    <mergeCell ref="K76:L76"/>
    <mergeCell ref="Z69:AA69"/>
    <mergeCell ref="M186:R186"/>
    <mergeCell ref="M168:R168"/>
    <mergeCell ref="AE57:AG57"/>
    <mergeCell ref="A420:G420"/>
    <mergeCell ref="Z380:AA380"/>
    <mergeCell ref="K254:L254"/>
    <mergeCell ref="A290:G290"/>
    <mergeCell ref="K232:L232"/>
    <mergeCell ref="Z454:AA454"/>
    <mergeCell ref="Z287:AA287"/>
    <mergeCell ref="AB298:AC298"/>
    <mergeCell ref="AB249:AC249"/>
    <mergeCell ref="A243:G243"/>
    <mergeCell ref="Z307:AA307"/>
    <mergeCell ref="K34:L34"/>
    <mergeCell ref="M34:R34"/>
    <mergeCell ref="Z34:AA34"/>
    <mergeCell ref="AB34:AC34"/>
    <mergeCell ref="AE34:AG34"/>
    <mergeCell ref="Z125:AA125"/>
    <mergeCell ref="M96:R96"/>
    <mergeCell ref="M81:R81"/>
    <mergeCell ref="AE79:AG79"/>
    <mergeCell ref="AB124:AC124"/>
    <mergeCell ref="Z124:AA124"/>
    <mergeCell ref="A191:G191"/>
    <mergeCell ref="A265:G265"/>
    <mergeCell ref="A270:G270"/>
    <mergeCell ref="A69:G69"/>
    <mergeCell ref="A54:G54"/>
    <mergeCell ref="A62:G62"/>
    <mergeCell ref="K78:L78"/>
    <mergeCell ref="AB102:AC102"/>
    <mergeCell ref="AE131:AG131"/>
    <mergeCell ref="M128:R128"/>
    <mergeCell ref="A144:G144"/>
    <mergeCell ref="K154:L154"/>
    <mergeCell ref="A150:G150"/>
    <mergeCell ref="K140:L140"/>
    <mergeCell ref="K158:L158"/>
    <mergeCell ref="Z136:AA136"/>
    <mergeCell ref="AB137:AC137"/>
    <mergeCell ref="Z212:AA212"/>
    <mergeCell ref="A296:G296"/>
    <mergeCell ref="A214:G214"/>
    <mergeCell ref="A131:G131"/>
    <mergeCell ref="A221:G221"/>
    <mergeCell ref="A209:G209"/>
    <mergeCell ref="M304:R304"/>
    <mergeCell ref="Z219:AA219"/>
    <mergeCell ref="Z155:AA155"/>
    <mergeCell ref="K235:L235"/>
    <mergeCell ref="K301:L301"/>
    <mergeCell ref="K278:L278"/>
    <mergeCell ref="K288:L288"/>
    <mergeCell ref="A286:G286"/>
    <mergeCell ref="A280:G280"/>
    <mergeCell ref="Z303:AA303"/>
    <mergeCell ref="K298:L298"/>
    <mergeCell ref="AB281:AC281"/>
    <mergeCell ref="AB254:AC254"/>
    <mergeCell ref="AB214:AC214"/>
    <mergeCell ref="Q217:V217"/>
    <mergeCell ref="AB217:AC217"/>
    <mergeCell ref="Z216:AA216"/>
    <mergeCell ref="Z213:AA213"/>
    <mergeCell ref="M226:R226"/>
    <mergeCell ref="Z68:AA68"/>
    <mergeCell ref="Z173:AA173"/>
    <mergeCell ref="K177:L177"/>
    <mergeCell ref="Z462:AA462"/>
    <mergeCell ref="AB427:AC427"/>
    <mergeCell ref="M447:R447"/>
    <mergeCell ref="Z447:AA447"/>
    <mergeCell ref="AB447:AC447"/>
    <mergeCell ref="AB466:AC466"/>
    <mergeCell ref="K441:L441"/>
    <mergeCell ref="K426:L426"/>
    <mergeCell ref="AB380:AC380"/>
    <mergeCell ref="A137:G137"/>
    <mergeCell ref="M95:R95"/>
    <mergeCell ref="Z95:AA95"/>
    <mergeCell ref="AB95:AC95"/>
    <mergeCell ref="AE95:AG95"/>
    <mergeCell ref="A164:G164"/>
    <mergeCell ref="A160:G160"/>
    <mergeCell ref="A218:G218"/>
    <mergeCell ref="M329:R329"/>
    <mergeCell ref="Z308:AA308"/>
    <mergeCell ref="AB424:AC424"/>
    <mergeCell ref="A404:G404"/>
    <mergeCell ref="K405:L405"/>
    <mergeCell ref="K167:L167"/>
    <mergeCell ref="Z431:AA431"/>
    <mergeCell ref="AB431:AC431"/>
    <mergeCell ref="A123:G123"/>
    <mergeCell ref="A180:G180"/>
    <mergeCell ref="A170:G170"/>
    <mergeCell ref="M154:R154"/>
    <mergeCell ref="M67:R67"/>
    <mergeCell ref="A92:G92"/>
    <mergeCell ref="M139:R139"/>
    <mergeCell ref="Z1500:AA1500"/>
    <mergeCell ref="Z1486:AA1486"/>
    <mergeCell ref="AB1477:AC1477"/>
    <mergeCell ref="AB218:AC218"/>
    <mergeCell ref="K162:L162"/>
    <mergeCell ref="K148:L148"/>
    <mergeCell ref="A407:G407"/>
    <mergeCell ref="M335:R335"/>
    <mergeCell ref="K398:L398"/>
    <mergeCell ref="AB328:AC328"/>
    <mergeCell ref="R366:U366"/>
    <mergeCell ref="Z275:AA275"/>
    <mergeCell ref="A354:G354"/>
    <mergeCell ref="K375:L375"/>
    <mergeCell ref="A338:G338"/>
    <mergeCell ref="A120:G120"/>
    <mergeCell ref="A185:G185"/>
    <mergeCell ref="K196:L196"/>
    <mergeCell ref="K195:L195"/>
    <mergeCell ref="K219:L219"/>
    <mergeCell ref="Z183:AA183"/>
    <mergeCell ref="AB234:AC234"/>
    <mergeCell ref="Z204:AA204"/>
    <mergeCell ref="K282:L282"/>
    <mergeCell ref="AB273:AC273"/>
    <mergeCell ref="K263:L263"/>
    <mergeCell ref="K347:L347"/>
    <mergeCell ref="K409:L409"/>
    <mergeCell ref="AB348:AC348"/>
    <mergeCell ref="A101:G101"/>
    <mergeCell ref="AB321:AC321"/>
    <mergeCell ref="K397:L397"/>
    <mergeCell ref="K384:L384"/>
    <mergeCell ref="K390:L390"/>
    <mergeCell ref="M396:R396"/>
    <mergeCell ref="Z386:AA386"/>
    <mergeCell ref="K431:L431"/>
    <mergeCell ref="A87:G87"/>
    <mergeCell ref="M103:R103"/>
    <mergeCell ref="AB160:AC160"/>
    <mergeCell ref="A126:G126"/>
    <mergeCell ref="A274:G274"/>
    <mergeCell ref="A307:G307"/>
    <mergeCell ref="A310:G310"/>
    <mergeCell ref="A72:G72"/>
    <mergeCell ref="K272:L272"/>
    <mergeCell ref="A237:G237"/>
    <mergeCell ref="A366:G366"/>
    <mergeCell ref="A342:G342"/>
    <mergeCell ref="K343:L343"/>
    <mergeCell ref="A388:G388"/>
    <mergeCell ref="Z352:AA352"/>
    <mergeCell ref="A383:G383"/>
    <mergeCell ref="Z425:AA425"/>
    <mergeCell ref="K399:L399"/>
    <mergeCell ref="M331:R331"/>
    <mergeCell ref="M429:R429"/>
    <mergeCell ref="M418:R418"/>
    <mergeCell ref="A105:G105"/>
    <mergeCell ref="A108:G108"/>
    <mergeCell ref="AB133:AC133"/>
    <mergeCell ref="K831:L831"/>
    <mergeCell ref="Z951:AA951"/>
    <mergeCell ref="Z340:AA340"/>
    <mergeCell ref="K618:L618"/>
    <mergeCell ref="K344:L344"/>
    <mergeCell ref="M334:R334"/>
    <mergeCell ref="M340:R340"/>
    <mergeCell ref="K529:L529"/>
    <mergeCell ref="K937:L937"/>
    <mergeCell ref="K982:L982"/>
    <mergeCell ref="K883:L883"/>
    <mergeCell ref="K512:L512"/>
    <mergeCell ref="M512:R512"/>
    <mergeCell ref="Z512:AA512"/>
    <mergeCell ref="AB512:AC512"/>
    <mergeCell ref="M305:R305"/>
    <mergeCell ref="Z797:AA797"/>
    <mergeCell ref="J853:L853"/>
    <mergeCell ref="M860:R860"/>
    <mergeCell ref="K855:L855"/>
    <mergeCell ref="AB860:AC860"/>
    <mergeCell ref="AB685:AC685"/>
    <mergeCell ref="Z687:AA687"/>
    <mergeCell ref="AB668:AC668"/>
    <mergeCell ref="Z377:AA377"/>
    <mergeCell ref="AB377:AC377"/>
    <mergeCell ref="Z456:AA456"/>
    <mergeCell ref="Z950:AA950"/>
    <mergeCell ref="Z981:AA981"/>
    <mergeCell ref="AB368:AC368"/>
    <mergeCell ref="M402:R402"/>
    <mergeCell ref="Z545:AA545"/>
    <mergeCell ref="K292:L292"/>
    <mergeCell ref="Z367:AA367"/>
    <mergeCell ref="AB698:AC698"/>
    <mergeCell ref="M706:R706"/>
    <mergeCell ref="K703:L703"/>
    <mergeCell ref="K432:L432"/>
    <mergeCell ref="M435:R435"/>
    <mergeCell ref="M820:R820"/>
    <mergeCell ref="K367:L367"/>
    <mergeCell ref="AB386:AC386"/>
    <mergeCell ref="M399:R399"/>
    <mergeCell ref="M393:R393"/>
    <mergeCell ref="Z393:AA393"/>
    <mergeCell ref="AB393:AC393"/>
    <mergeCell ref="Z423:AA423"/>
    <mergeCell ref="Z439:AA439"/>
    <mergeCell ref="M442:R442"/>
    <mergeCell ref="K326:L326"/>
    <mergeCell ref="Z806:AA806"/>
    <mergeCell ref="AB806:AC806"/>
    <mergeCell ref="K812:L812"/>
    <mergeCell ref="K299:L299"/>
    <mergeCell ref="K348:L348"/>
    <mergeCell ref="K449:L449"/>
    <mergeCell ref="M430:R430"/>
    <mergeCell ref="Z577:AA577"/>
    <mergeCell ref="AB507:AC507"/>
    <mergeCell ref="Z571:AA571"/>
    <mergeCell ref="AB575:AC575"/>
    <mergeCell ref="Z574:AA574"/>
    <mergeCell ref="AB471:AC471"/>
    <mergeCell ref="K454:L454"/>
    <mergeCell ref="Z1290:AA1290"/>
    <mergeCell ref="Z1322:AA1322"/>
    <mergeCell ref="Z1440:AA1440"/>
    <mergeCell ref="AB1426:AC1426"/>
    <mergeCell ref="Z1324:AA1324"/>
    <mergeCell ref="AB1355:AC1355"/>
    <mergeCell ref="AB1475:AC1475"/>
    <mergeCell ref="Z1237:AA1237"/>
    <mergeCell ref="Z617:AA617"/>
    <mergeCell ref="AB886:AC886"/>
    <mergeCell ref="AB545:AC545"/>
    <mergeCell ref="M1390:R1390"/>
    <mergeCell ref="R1473:U1473"/>
    <mergeCell ref="M1309:R1309"/>
    <mergeCell ref="M1292:R1292"/>
    <mergeCell ref="M1455:R1455"/>
    <mergeCell ref="AB1132:AC1132"/>
    <mergeCell ref="AB1065:AC1065"/>
    <mergeCell ref="AB1246:AC1246"/>
    <mergeCell ref="AB1282:AC1282"/>
    <mergeCell ref="Z1015:AA1015"/>
    <mergeCell ref="AB880:AC880"/>
    <mergeCell ref="AB984:AC984"/>
    <mergeCell ref="AB949:AC949"/>
    <mergeCell ref="Z834:AA834"/>
    <mergeCell ref="AB833:AC833"/>
    <mergeCell ref="AB827:AC827"/>
    <mergeCell ref="Z919:AA919"/>
    <mergeCell ref="Z907:AA907"/>
    <mergeCell ref="Z896:AA896"/>
    <mergeCell ref="AB1055:AC1055"/>
    <mergeCell ref="AB937:AC937"/>
    <mergeCell ref="M386:R386"/>
    <mergeCell ref="AB606:AC606"/>
    <mergeCell ref="Z1333:AA1333"/>
    <mergeCell ref="Z1330:AA1330"/>
    <mergeCell ref="AB1375:AC1375"/>
    <mergeCell ref="AB1268:AC1268"/>
    <mergeCell ref="AB1236:AC1236"/>
    <mergeCell ref="AB1172:AC1172"/>
    <mergeCell ref="Z1443:AA1443"/>
    <mergeCell ref="Z1393:AA1393"/>
    <mergeCell ref="AB815:AC815"/>
    <mergeCell ref="Z1436:AA1436"/>
    <mergeCell ref="Z1435:AA1435"/>
    <mergeCell ref="AB1467:AC1467"/>
    <mergeCell ref="AB863:AC863"/>
    <mergeCell ref="AB864:AC864"/>
    <mergeCell ref="AB853:AC853"/>
    <mergeCell ref="Z908:AA908"/>
    <mergeCell ref="AB935:AC935"/>
    <mergeCell ref="Z1095:AA1095"/>
    <mergeCell ref="AB1086:AC1086"/>
    <mergeCell ref="Z508:AA508"/>
    <mergeCell ref="Z1248:AA1248"/>
    <mergeCell ref="Z1241:AA1241"/>
    <mergeCell ref="AB1186:AC1186"/>
    <mergeCell ref="Z479:AA479"/>
    <mergeCell ref="M494:R494"/>
    <mergeCell ref="AB799:AC799"/>
    <mergeCell ref="AB792:AC792"/>
    <mergeCell ref="AB1314:AC1314"/>
    <mergeCell ref="Z1437:AA1437"/>
    <mergeCell ref="AB1284:AC1284"/>
    <mergeCell ref="Z1695:AA1695"/>
    <mergeCell ref="Z1704:AA1704"/>
    <mergeCell ref="AB1400:AC1400"/>
    <mergeCell ref="AB1526:AC1526"/>
    <mergeCell ref="AB1384:AC1384"/>
    <mergeCell ref="Q1380:V1380"/>
    <mergeCell ref="AB1397:AC1397"/>
    <mergeCell ref="Z1398:AA1398"/>
    <mergeCell ref="Z1518:AA1518"/>
    <mergeCell ref="Z1669:AA1669"/>
    <mergeCell ref="Z1821:AG1821"/>
    <mergeCell ref="AB1726:AC1726"/>
    <mergeCell ref="AE1604:AG1604"/>
    <mergeCell ref="AE1772:AG1772"/>
    <mergeCell ref="Z1639:AA1639"/>
    <mergeCell ref="Z1474:AA1474"/>
    <mergeCell ref="AB1308:AC1308"/>
    <mergeCell ref="AE1420:AG1420"/>
    <mergeCell ref="Q1509:V1509"/>
    <mergeCell ref="R1461:U1461"/>
    <mergeCell ref="AE1455:AG1455"/>
    <mergeCell ref="AE1530:AG1530"/>
    <mergeCell ref="AE1525:AG1525"/>
    <mergeCell ref="Z1644:AA1644"/>
    <mergeCell ref="Z1762:AA1762"/>
    <mergeCell ref="AB1659:AC1659"/>
    <mergeCell ref="Z1521:AA1521"/>
    <mergeCell ref="Z1549:AA1549"/>
    <mergeCell ref="AB1543:AC1543"/>
    <mergeCell ref="Z1467:AA1467"/>
    <mergeCell ref="Z1460:AA1460"/>
    <mergeCell ref="Z1519:AA1519"/>
    <mergeCell ref="M869:R869"/>
    <mergeCell ref="AB873:AC873"/>
    <mergeCell ref="Z773:AA773"/>
    <mergeCell ref="M787:R787"/>
    <mergeCell ref="AB777:AC777"/>
    <mergeCell ref="Z707:AA707"/>
    <mergeCell ref="M861:R861"/>
    <mergeCell ref="Z1131:AA1131"/>
    <mergeCell ref="AB906:AC906"/>
    <mergeCell ref="AB1006:AC1006"/>
    <mergeCell ref="Z1050:AA1050"/>
    <mergeCell ref="AB1113:AC1113"/>
    <mergeCell ref="Z1190:AA1190"/>
    <mergeCell ref="Z1138:AA1138"/>
    <mergeCell ref="Z1107:AA1107"/>
    <mergeCell ref="AB1602:AC1602"/>
    <mergeCell ref="AB1527:AC1527"/>
    <mergeCell ref="AB1406:AC1406"/>
    <mergeCell ref="Z1563:AA1563"/>
    <mergeCell ref="AB1482:AC1482"/>
    <mergeCell ref="M1528:R1528"/>
    <mergeCell ref="Z1509:AA1509"/>
    <mergeCell ref="Z1400:AA1400"/>
    <mergeCell ref="Z1534:AA1534"/>
    <mergeCell ref="M1338:R1338"/>
    <mergeCell ref="M1321:R1321"/>
    <mergeCell ref="Z1483:AA1483"/>
    <mergeCell ref="AB1461:AC1461"/>
    <mergeCell ref="AB1531:AC1531"/>
    <mergeCell ref="M1165:R1165"/>
    <mergeCell ref="N1327:P1327"/>
    <mergeCell ref="Z1334:AA1334"/>
    <mergeCell ref="Z1756:AA1756"/>
    <mergeCell ref="Z1758:AA1758"/>
    <mergeCell ref="Z1217:AA1217"/>
    <mergeCell ref="Z1269:AA1269"/>
    <mergeCell ref="Z1123:AA1123"/>
    <mergeCell ref="Z909:AA909"/>
    <mergeCell ref="Z927:AA927"/>
    <mergeCell ref="M1418:R1418"/>
    <mergeCell ref="M1005:R1005"/>
    <mergeCell ref="Z1513:AA1513"/>
    <mergeCell ref="AB1513:AC1513"/>
    <mergeCell ref="Z1742:AA1742"/>
    <mergeCell ref="AB1697:AC1697"/>
    <mergeCell ref="Z1740:AA1740"/>
    <mergeCell ref="AB1667:AC1667"/>
    <mergeCell ref="AA1798:AF1798"/>
    <mergeCell ref="R1386:U1386"/>
    <mergeCell ref="M1634:R1634"/>
    <mergeCell ref="M1603:R1603"/>
    <mergeCell ref="R1486:U1486"/>
    <mergeCell ref="AB1326:AC1326"/>
    <mergeCell ref="AE1292:AG1292"/>
    <mergeCell ref="AB1348:AC1348"/>
    <mergeCell ref="AE1432:AG1432"/>
    <mergeCell ref="AB1210:AC1210"/>
    <mergeCell ref="AB1146:AC1146"/>
    <mergeCell ref="AB1206:AC1206"/>
    <mergeCell ref="Z1223:AA1223"/>
    <mergeCell ref="Z1301:AA1301"/>
    <mergeCell ref="Z1302:AA1302"/>
    <mergeCell ref="M1387:R1387"/>
    <mergeCell ref="AE1459:AG1459"/>
    <mergeCell ref="M880:R880"/>
    <mergeCell ref="AB1165:AC1165"/>
    <mergeCell ref="AE1081:AG1081"/>
    <mergeCell ref="AB1157:AC1157"/>
    <mergeCell ref="Z1090:AA1090"/>
    <mergeCell ref="AB1613:AC1613"/>
    <mergeCell ref="Z1221:AA1221"/>
    <mergeCell ref="M1331:R1331"/>
    <mergeCell ref="Z732:AA732"/>
    <mergeCell ref="Z731:AA731"/>
    <mergeCell ref="AB732:AC732"/>
    <mergeCell ref="Z684:AA684"/>
    <mergeCell ref="Z843:AA843"/>
    <mergeCell ref="AB839:AC839"/>
    <mergeCell ref="Z1035:AA1035"/>
    <mergeCell ref="AB1161:AC1161"/>
    <mergeCell ref="AB1217:AC1217"/>
    <mergeCell ref="AB1433:AC1433"/>
    <mergeCell ref="AB1501:AC1501"/>
    <mergeCell ref="AB1498:AC1498"/>
    <mergeCell ref="AB1499:AC1499"/>
    <mergeCell ref="Z1506:AA1506"/>
    <mergeCell ref="AB1490:AC1490"/>
    <mergeCell ref="Z1574:AA1574"/>
    <mergeCell ref="AB1510:AC1510"/>
    <mergeCell ref="Z1427:AA1427"/>
    <mergeCell ref="AB734:AC734"/>
    <mergeCell ref="AE1362:AG1362"/>
    <mergeCell ref="AB905:AC905"/>
    <mergeCell ref="AB929:AC929"/>
    <mergeCell ref="Z955:AA955"/>
    <mergeCell ref="Z1059:AA1059"/>
    <mergeCell ref="Z1818:AG1818"/>
    <mergeCell ref="AB1321:AC1321"/>
    <mergeCell ref="Z1259:AA1259"/>
    <mergeCell ref="AB1272:AC1272"/>
    <mergeCell ref="AB1240:AC1240"/>
    <mergeCell ref="AE1225:AG1225"/>
    <mergeCell ref="AB1178:AC1178"/>
    <mergeCell ref="AB963:AC963"/>
    <mergeCell ref="AE992:AG992"/>
    <mergeCell ref="AE1221:AG1221"/>
    <mergeCell ref="AB1160:AC1160"/>
    <mergeCell ref="AE1249:AG1249"/>
    <mergeCell ref="AE970:AG970"/>
    <mergeCell ref="Z930:AA930"/>
    <mergeCell ref="AB1309:AC1309"/>
    <mergeCell ref="AE1346:AG1346"/>
    <mergeCell ref="Z1092:AA1092"/>
    <mergeCell ref="Z1318:AA1318"/>
    <mergeCell ref="Z1122:AA1122"/>
    <mergeCell ref="Z1118:AA1118"/>
    <mergeCell ref="Z1078:AA1078"/>
    <mergeCell ref="AB1245:AC1245"/>
    <mergeCell ref="AB1076:AC1076"/>
    <mergeCell ref="Z937:AA937"/>
    <mergeCell ref="Z1743:AA1743"/>
    <mergeCell ref="Z1705:AA1705"/>
    <mergeCell ref="Z1685:AA1685"/>
    <mergeCell ref="Z1692:AA1692"/>
    <mergeCell ref="Z1667:AA1667"/>
    <mergeCell ref="Z1679:AA1679"/>
    <mergeCell ref="Z1614:AA1614"/>
    <mergeCell ref="Z1670:AA1670"/>
    <mergeCell ref="AB1729:AC1729"/>
    <mergeCell ref="AB1519:AC1519"/>
    <mergeCell ref="AB1512:AC1512"/>
    <mergeCell ref="Z1691:AA1691"/>
    <mergeCell ref="AB1691:AC1691"/>
    <mergeCell ref="Z1347:AA1347"/>
    <mergeCell ref="AB1666:AC1666"/>
    <mergeCell ref="AE1314:AG1314"/>
    <mergeCell ref="AE1308:AG1308"/>
    <mergeCell ref="AE1513:AG1513"/>
    <mergeCell ref="AE1702:AG1702"/>
    <mergeCell ref="K520:L520"/>
    <mergeCell ref="AB956:AC956"/>
    <mergeCell ref="Z953:AA953"/>
    <mergeCell ref="AB1003:AC1003"/>
    <mergeCell ref="AB946:AC946"/>
    <mergeCell ref="Z1250:AA1250"/>
    <mergeCell ref="AE954:AG954"/>
    <mergeCell ref="AB925:AC925"/>
    <mergeCell ref="AB927:AC927"/>
    <mergeCell ref="AB1075:AC1075"/>
    <mergeCell ref="AB1089:AC1089"/>
    <mergeCell ref="AB1069:AC1069"/>
    <mergeCell ref="Z1001:AA1001"/>
    <mergeCell ref="AE1068:AG1068"/>
    <mergeCell ref="AB945:AC945"/>
    <mergeCell ref="AB951:AC951"/>
    <mergeCell ref="AE936:AG936"/>
    <mergeCell ref="AB923:AC923"/>
    <mergeCell ref="Z933:AA933"/>
    <mergeCell ref="AB1044:AC1044"/>
    <mergeCell ref="Z931:AA931"/>
    <mergeCell ref="M934:R934"/>
    <mergeCell ref="M938:R938"/>
    <mergeCell ref="M621:R621"/>
    <mergeCell ref="Z613:AA613"/>
    <mergeCell ref="Z642:AA642"/>
    <mergeCell ref="Z672:AA672"/>
    <mergeCell ref="Z651:AA651"/>
    <mergeCell ref="Z713:AA713"/>
    <mergeCell ref="AB594:AC594"/>
    <mergeCell ref="AB437:AC437"/>
    <mergeCell ref="Z812:AA812"/>
    <mergeCell ref="AB859:AC859"/>
    <mergeCell ref="Z762:AA762"/>
    <mergeCell ref="AE1589:AG1589"/>
    <mergeCell ref="AE1588:AG1588"/>
    <mergeCell ref="Z1305:AA1305"/>
    <mergeCell ref="AB1696:AC1696"/>
    <mergeCell ref="Z1690:AA1690"/>
    <mergeCell ref="Z1480:AA1480"/>
    <mergeCell ref="Z1451:AA1451"/>
    <mergeCell ref="AE1338:AG1338"/>
    <mergeCell ref="Z1331:AA1331"/>
    <mergeCell ref="Z1447:AA1447"/>
    <mergeCell ref="AE1310:AG1310"/>
    <mergeCell ref="Z1484:AA1484"/>
    <mergeCell ref="AE1341:AG1341"/>
    <mergeCell ref="AB1322:AC1322"/>
    <mergeCell ref="AB1345:AC1345"/>
    <mergeCell ref="Z1372:AA1372"/>
    <mergeCell ref="Z1623:AA1623"/>
    <mergeCell ref="AE1315:AG1315"/>
    <mergeCell ref="Z1605:AA1605"/>
    <mergeCell ref="AB521:AC521"/>
    <mergeCell ref="Z677:AA677"/>
    <mergeCell ref="AJ999:AK999"/>
    <mergeCell ref="AJ976:AK976"/>
    <mergeCell ref="AB443:AC443"/>
    <mergeCell ref="AB478:AC478"/>
    <mergeCell ref="AE632:AG632"/>
    <mergeCell ref="Z699:AA699"/>
    <mergeCell ref="Z742:AA742"/>
    <mergeCell ref="Z519:AA519"/>
    <mergeCell ref="Z522:AA522"/>
    <mergeCell ref="M574:R574"/>
    <mergeCell ref="M829:R829"/>
    <mergeCell ref="Z988:AA988"/>
    <mergeCell ref="Z928:AA928"/>
    <mergeCell ref="M1046:R1046"/>
    <mergeCell ref="Z900:AA900"/>
    <mergeCell ref="AB888:AC888"/>
    <mergeCell ref="Z527:AA527"/>
    <mergeCell ref="Z535:AA535"/>
    <mergeCell ref="AB551:AC551"/>
    <mergeCell ref="Z871:AA871"/>
    <mergeCell ref="Z851:AA851"/>
    <mergeCell ref="AB862:AC862"/>
    <mergeCell ref="Z861:AA861"/>
    <mergeCell ref="Z859:AA859"/>
    <mergeCell ref="Z862:AA862"/>
    <mergeCell ref="Z845:AA845"/>
    <mergeCell ref="Z858:AA858"/>
    <mergeCell ref="Z869:AA869"/>
    <mergeCell ref="AB624:AC624"/>
    <mergeCell ref="Q915:V915"/>
    <mergeCell ref="M1142:R1142"/>
    <mergeCell ref="Q1140:V1140"/>
    <mergeCell ref="M926:R926"/>
    <mergeCell ref="AE671:AG671"/>
    <mergeCell ref="Z844:AA844"/>
    <mergeCell ref="AJ917:AK917"/>
    <mergeCell ref="AE965:AG965"/>
    <mergeCell ref="AJ899:AK899"/>
    <mergeCell ref="AJ801:AK801"/>
    <mergeCell ref="AE1007:AG1007"/>
    <mergeCell ref="AE863:AG863"/>
    <mergeCell ref="AE969:AG969"/>
    <mergeCell ref="AB930:AC930"/>
    <mergeCell ref="AB909:AC909"/>
    <mergeCell ref="AE806:AG806"/>
    <mergeCell ref="AJ937:AK937"/>
    <mergeCell ref="AB912:AC912"/>
    <mergeCell ref="AJ1069:AK1069"/>
    <mergeCell ref="AJ1017:AK1017"/>
    <mergeCell ref="AJ1038:AK1038"/>
    <mergeCell ref="AJ1023:AK1023"/>
    <mergeCell ref="AJ1029:AK1029"/>
    <mergeCell ref="AE744:AG744"/>
    <mergeCell ref="AE706:AG706"/>
    <mergeCell ref="AE701:AG701"/>
    <mergeCell ref="AE676:AG676"/>
    <mergeCell ref="M766:R766"/>
    <mergeCell ref="Z925:AA925"/>
    <mergeCell ref="M849:R849"/>
    <mergeCell ref="M853:N853"/>
    <mergeCell ref="M941:R941"/>
    <mergeCell ref="M961:R961"/>
    <mergeCell ref="AE1168:AG1168"/>
    <mergeCell ref="AE1167:AG1167"/>
    <mergeCell ref="AE1179:AG1179"/>
    <mergeCell ref="Z903:AA903"/>
    <mergeCell ref="Z1077:AA1077"/>
    <mergeCell ref="Z1009:AA1009"/>
    <mergeCell ref="Z1006:AA1006"/>
    <mergeCell ref="AB997:AC997"/>
    <mergeCell ref="AE899:AG899"/>
    <mergeCell ref="Z1055:AA1055"/>
    <mergeCell ref="AE1060:AG1060"/>
    <mergeCell ref="Z915:AA915"/>
    <mergeCell ref="Z1154:AA1154"/>
    <mergeCell ref="Z1169:AA1169"/>
    <mergeCell ref="Z1188:AA1188"/>
    <mergeCell ref="AB1131:AC1131"/>
    <mergeCell ref="Z1086:AA1086"/>
    <mergeCell ref="AE995:AG995"/>
    <mergeCell ref="AB900:AC900"/>
    <mergeCell ref="AB999:AC999"/>
    <mergeCell ref="AB1181:AC1181"/>
    <mergeCell ref="AB1090:AC1090"/>
    <mergeCell ref="Z1022:AA1022"/>
    <mergeCell ref="Z901:AA901"/>
    <mergeCell ref="AB1057:AC1057"/>
    <mergeCell ref="Z1141:AA1141"/>
    <mergeCell ref="AB1059:AC1059"/>
    <mergeCell ref="AB1110:AC1110"/>
    <mergeCell ref="AB1062:AC1062"/>
    <mergeCell ref="Z1106:AA1106"/>
    <mergeCell ref="AB1106:AC1106"/>
    <mergeCell ref="Z1161:AA1161"/>
    <mergeCell ref="Z390:AA390"/>
    <mergeCell ref="Z605:AA605"/>
    <mergeCell ref="Z1121:AA1121"/>
    <mergeCell ref="M970:R970"/>
    <mergeCell ref="AB986:AC986"/>
    <mergeCell ref="AB568:AC568"/>
    <mergeCell ref="Z787:AA787"/>
    <mergeCell ref="M894:R894"/>
    <mergeCell ref="Z894:AA894"/>
    <mergeCell ref="Z895:AA895"/>
    <mergeCell ref="AB898:AC898"/>
    <mergeCell ref="Z1012:AA1012"/>
    <mergeCell ref="AB842:AC842"/>
    <mergeCell ref="CL875:CN875"/>
    <mergeCell ref="CB878:CC878"/>
    <mergeCell ref="CD875:CE875"/>
    <mergeCell ref="CD876:CE876"/>
    <mergeCell ref="CL876:CN876"/>
    <mergeCell ref="CG876:CI876"/>
    <mergeCell ref="CG875:CI875"/>
    <mergeCell ref="AE916:AG916"/>
    <mergeCell ref="Z853:AA853"/>
    <mergeCell ref="AJ823:AK823"/>
    <mergeCell ref="R420:U420"/>
    <mergeCell ref="Z583:AA583"/>
    <mergeCell ref="AE599:AG599"/>
    <mergeCell ref="AE609:AG609"/>
    <mergeCell ref="AE668:AG668"/>
    <mergeCell ref="AB432:AC432"/>
    <mergeCell ref="AE654:AG654"/>
    <mergeCell ref="AE432:AG432"/>
    <mergeCell ref="Z407:AA407"/>
    <mergeCell ref="M2:O2"/>
    <mergeCell ref="K494:L494"/>
    <mergeCell ref="Q498:V498"/>
    <mergeCell ref="AB518:AC518"/>
    <mergeCell ref="K386:L386"/>
    <mergeCell ref="K379:L379"/>
    <mergeCell ref="K622:L622"/>
    <mergeCell ref="AB96:AC96"/>
    <mergeCell ref="AE96:AG96"/>
    <mergeCell ref="AB600:AC600"/>
    <mergeCell ref="K440:L440"/>
    <mergeCell ref="AE92:AG92"/>
    <mergeCell ref="AE108:AG108"/>
    <mergeCell ref="M106:R106"/>
    <mergeCell ref="K206:L206"/>
    <mergeCell ref="AB128:AC128"/>
    <mergeCell ref="AE140:AG140"/>
    <mergeCell ref="Z231:AA231"/>
    <mergeCell ref="AE235:AG235"/>
    <mergeCell ref="M193:R193"/>
    <mergeCell ref="AB203:AC203"/>
    <mergeCell ref="M267:R267"/>
    <mergeCell ref="K480:L480"/>
    <mergeCell ref="K522:L522"/>
    <mergeCell ref="M371:R371"/>
    <mergeCell ref="M206:R206"/>
    <mergeCell ref="M408:R408"/>
    <mergeCell ref="M152:R152"/>
    <mergeCell ref="K98:L98"/>
    <mergeCell ref="M292:R292"/>
    <mergeCell ref="M556:R556"/>
    <mergeCell ref="M339:R339"/>
    <mergeCell ref="M1:O1"/>
    <mergeCell ref="AE1559:AG1559"/>
    <mergeCell ref="AE1436:AG1436"/>
    <mergeCell ref="AB1438:AC1438"/>
    <mergeCell ref="Z1356:AA1356"/>
    <mergeCell ref="Z1379:AA1379"/>
    <mergeCell ref="Z1082:AA1082"/>
    <mergeCell ref="Z686:AA686"/>
    <mergeCell ref="Z410:AA410"/>
    <mergeCell ref="Z887:AA887"/>
    <mergeCell ref="Z610:AA610"/>
    <mergeCell ref="Z331:AA331"/>
    <mergeCell ref="AB310:AC310"/>
    <mergeCell ref="M982:R982"/>
    <mergeCell ref="AJ1008:AK1008"/>
    <mergeCell ref="AJ980:AK980"/>
    <mergeCell ref="AJ989:AK989"/>
    <mergeCell ref="AJ482:AK482"/>
    <mergeCell ref="Z453:AA453"/>
    <mergeCell ref="AE265:AG265"/>
    <mergeCell ref="AE241:AG241"/>
    <mergeCell ref="AE239:AG239"/>
    <mergeCell ref="M412:R412"/>
    <mergeCell ref="AE1016:AG1016"/>
    <mergeCell ref="M855:R855"/>
    <mergeCell ref="R904:U904"/>
    <mergeCell ref="M967:R967"/>
    <mergeCell ref="Z435:AA435"/>
    <mergeCell ref="AB674:AC674"/>
    <mergeCell ref="AB682:AC682"/>
    <mergeCell ref="Z421:AA421"/>
    <mergeCell ref="AB526:AC526"/>
    <mergeCell ref="AB1096:AC1096"/>
    <mergeCell ref="AB1017:AC1017"/>
    <mergeCell ref="AE1044:AG1044"/>
    <mergeCell ref="AE1266:AG1266"/>
    <mergeCell ref="AB1154:AC1154"/>
    <mergeCell ref="Z1192:AA1192"/>
    <mergeCell ref="Z1210:AA1210"/>
    <mergeCell ref="Z1172:AA1172"/>
    <mergeCell ref="Z625:AA625"/>
    <mergeCell ref="AB25:AC25"/>
    <mergeCell ref="Z42:AA42"/>
    <mergeCell ref="K32:L32"/>
    <mergeCell ref="AJ46:AK46"/>
    <mergeCell ref="AE46:AG46"/>
    <mergeCell ref="AJ45:AK45"/>
    <mergeCell ref="I4:J4"/>
    <mergeCell ref="AB35:AC35"/>
    <mergeCell ref="G7:I7"/>
    <mergeCell ref="AE533:AG533"/>
    <mergeCell ref="Z1255:AA1255"/>
    <mergeCell ref="AB1255:AC1255"/>
    <mergeCell ref="AB1230:AC1230"/>
    <mergeCell ref="Z1157:AA1157"/>
    <mergeCell ref="Z449:AA449"/>
    <mergeCell ref="Z441:AA441"/>
    <mergeCell ref="Z451:AA451"/>
    <mergeCell ref="AE215:AG215"/>
    <mergeCell ref="K335:L335"/>
    <mergeCell ref="Z37:AA37"/>
    <mergeCell ref="AB37:AC37"/>
    <mergeCell ref="AE37:AG37"/>
    <mergeCell ref="AE45:AG45"/>
    <mergeCell ref="AB1733:AC1733"/>
    <mergeCell ref="AE499:AG499"/>
    <mergeCell ref="Z413:AA413"/>
    <mergeCell ref="AB503:AC503"/>
    <mergeCell ref="AE1312:AG1312"/>
    <mergeCell ref="AE1235:AG1235"/>
    <mergeCell ref="AB1514:AC1514"/>
    <mergeCell ref="AE1644:AG1644"/>
    <mergeCell ref="AE1551:AG1551"/>
    <mergeCell ref="AE1731:AG1731"/>
    <mergeCell ref="AE1549:AG1549"/>
    <mergeCell ref="AE1509:AG1509"/>
    <mergeCell ref="Z1382:AA1382"/>
    <mergeCell ref="AB1515:AC1515"/>
    <mergeCell ref="Z1378:AA1378"/>
    <mergeCell ref="Z999:AA999"/>
    <mergeCell ref="Z1003:AA1003"/>
    <mergeCell ref="Z1061:AA1061"/>
    <mergeCell ref="Z1083:AA1083"/>
    <mergeCell ref="Z1018:AA1018"/>
    <mergeCell ref="AE1164:AG1164"/>
    <mergeCell ref="Z1113:AA1113"/>
    <mergeCell ref="Z964:AA964"/>
    <mergeCell ref="AE1211:AG1211"/>
    <mergeCell ref="Z1100:AA1100"/>
    <mergeCell ref="AE1236:AG1236"/>
    <mergeCell ref="Z1084:AA1084"/>
    <mergeCell ref="Z1700:AA1700"/>
    <mergeCell ref="AB1564:AC1564"/>
    <mergeCell ref="AB1381:AC1381"/>
    <mergeCell ref="Z1025:AA1025"/>
    <mergeCell ref="AB970:AC970"/>
    <mergeCell ref="AB1713:AC1713"/>
    <mergeCell ref="Z1717:AA1717"/>
    <mergeCell ref="Z1337:AA1337"/>
    <mergeCell ref="AB1334:AC1334"/>
    <mergeCell ref="AB1325:AC1325"/>
    <mergeCell ref="Z473:AA473"/>
    <mergeCell ref="AE1587:AG1587"/>
    <mergeCell ref="Z842:AA842"/>
    <mergeCell ref="Z863:AA863"/>
    <mergeCell ref="AE813:AG813"/>
    <mergeCell ref="AB976:AC976"/>
    <mergeCell ref="Z1200:AA1200"/>
    <mergeCell ref="Z1207:AA1207"/>
    <mergeCell ref="Z1034:AA1034"/>
    <mergeCell ref="Z1115:AA1115"/>
    <mergeCell ref="AB1179:AC1179"/>
    <mergeCell ref="AB1166:AC1166"/>
    <mergeCell ref="Z1158:AA1158"/>
    <mergeCell ref="AB1158:AC1158"/>
    <mergeCell ref="AB1105:AC1105"/>
    <mergeCell ref="AE1078:AG1078"/>
    <mergeCell ref="AE1252:AG1252"/>
    <mergeCell ref="AB1248:AC1248"/>
    <mergeCell ref="AB891:AC891"/>
    <mergeCell ref="AB484:AC484"/>
    <mergeCell ref="Z631:AA631"/>
    <mergeCell ref="Z629:AA629"/>
    <mergeCell ref="AE482:AG482"/>
    <mergeCell ref="Z733:AA733"/>
    <mergeCell ref="AB1169:AC1169"/>
    <mergeCell ref="AE1241:AG1241"/>
    <mergeCell ref="AE1037:AG1037"/>
    <mergeCell ref="AE1083:AG1083"/>
    <mergeCell ref="Z1656:AA1656"/>
    <mergeCell ref="AE1660:AG1660"/>
    <mergeCell ref="AB1641:AC1641"/>
    <mergeCell ref="AB1634:AC1634"/>
    <mergeCell ref="AB1635:AC1635"/>
    <mergeCell ref="AE1257:AG1257"/>
    <mergeCell ref="AB1365:AC1365"/>
    <mergeCell ref="Z1201:AA1201"/>
    <mergeCell ref="AB1194:AC1194"/>
    <mergeCell ref="AB246:AC246"/>
    <mergeCell ref="AE635:AG635"/>
    <mergeCell ref="AB194:AC194"/>
    <mergeCell ref="AB292:AC292"/>
    <mergeCell ref="AB481:AC481"/>
    <mergeCell ref="R310:U310"/>
    <mergeCell ref="Z310:AA310"/>
    <mergeCell ref="AB573:AC573"/>
    <mergeCell ref="AB516:AC516"/>
    <mergeCell ref="Z1482:AA1482"/>
    <mergeCell ref="Z1606:AA1606"/>
    <mergeCell ref="Z1391:AA1391"/>
    <mergeCell ref="AB1391:AC1391"/>
    <mergeCell ref="Z1396:AA1396"/>
    <mergeCell ref="AE220:AG220"/>
    <mergeCell ref="M275:R275"/>
    <mergeCell ref="M515:R515"/>
    <mergeCell ref="M1198:R1198"/>
    <mergeCell ref="M1125:R1125"/>
    <mergeCell ref="N1099:O1099"/>
    <mergeCell ref="AE1001:AG1001"/>
    <mergeCell ref="AE1094:AG1094"/>
    <mergeCell ref="M1106:R1106"/>
    <mergeCell ref="AB1428:AC1428"/>
    <mergeCell ref="AB1469:AC1469"/>
    <mergeCell ref="AE1469:AG1469"/>
    <mergeCell ref="AB1466:AC1466"/>
    <mergeCell ref="AE1466:AG1466"/>
    <mergeCell ref="M1306:R1306"/>
    <mergeCell ref="M1272:R1272"/>
    <mergeCell ref="Q1264:V1264"/>
    <mergeCell ref="Z1381:AA1381"/>
    <mergeCell ref="Z998:AA998"/>
    <mergeCell ref="AB1111:AC1111"/>
    <mergeCell ref="Z1111:AA1111"/>
    <mergeCell ref="M1356:R1356"/>
    <mergeCell ref="AE1732:AG1732"/>
    <mergeCell ref="AB1446:AC1446"/>
    <mergeCell ref="AB1410:AC1410"/>
    <mergeCell ref="Z1524:AA1524"/>
    <mergeCell ref="Z1564:AA1564"/>
    <mergeCell ref="Z1554:AA1554"/>
    <mergeCell ref="Z1552:AA1552"/>
    <mergeCell ref="AE1663:AG1663"/>
    <mergeCell ref="AE1038:AG1038"/>
    <mergeCell ref="AE1028:AG1028"/>
    <mergeCell ref="Z1472:AA1472"/>
    <mergeCell ref="AE1391:AG1391"/>
    <mergeCell ref="AE1492:AG1492"/>
    <mergeCell ref="AB1615:AC1615"/>
    <mergeCell ref="Z1185:AA1185"/>
    <mergeCell ref="Z1182:AA1182"/>
    <mergeCell ref="AB1214:AC1214"/>
    <mergeCell ref="Z1181:AA1181"/>
    <mergeCell ref="AE1080:AG1080"/>
    <mergeCell ref="Z1044:AA1044"/>
    <mergeCell ref="Z1067:AA1067"/>
    <mergeCell ref="Z1091:AA1091"/>
    <mergeCell ref="Z1441:AA1441"/>
    <mergeCell ref="AB1471:AC1471"/>
    <mergeCell ref="Z1057:AA1057"/>
    <mergeCell ref="Z1362:AA1362"/>
    <mergeCell ref="AB1362:AC1362"/>
    <mergeCell ref="AE1293:AG1293"/>
    <mergeCell ref="Z1374:AA1374"/>
    <mergeCell ref="AE1208:AG1208"/>
    <mergeCell ref="Z1145:AA1145"/>
    <mergeCell ref="AE1269:AG1269"/>
    <mergeCell ref="Z1412:AA1412"/>
    <mergeCell ref="AB1301:AC1301"/>
    <mergeCell ref="AE1412:AG1412"/>
    <mergeCell ref="Z1253:AA1253"/>
    <mergeCell ref="Z1196:AA1196"/>
    <mergeCell ref="AB1382:AC1382"/>
    <mergeCell ref="Z1291:AA1291"/>
    <mergeCell ref="Z1293:AA1293"/>
    <mergeCell ref="AE1398:AG1398"/>
    <mergeCell ref="Z1081:AA1081"/>
    <mergeCell ref="Z1453:AA1453"/>
    <mergeCell ref="Z1323:AA1323"/>
    <mergeCell ref="AE1367:AG1367"/>
    <mergeCell ref="AE1327:AG1327"/>
    <mergeCell ref="AE1337:AG1337"/>
    <mergeCell ref="Z1267:AA1267"/>
    <mergeCell ref="Z1209:AA1209"/>
    <mergeCell ref="Z1198:AA1198"/>
    <mergeCell ref="AE1741:AG1741"/>
    <mergeCell ref="AE1417:AG1417"/>
    <mergeCell ref="AB1535:AC1535"/>
    <mergeCell ref="Z1539:AA1539"/>
    <mergeCell ref="AB1773:AC1773"/>
    <mergeCell ref="AE1193:AG1193"/>
    <mergeCell ref="AE1324:AG1324"/>
    <mergeCell ref="Z1140:AA1140"/>
    <mergeCell ref="Z1150:AA1150"/>
    <mergeCell ref="AB1324:AC1324"/>
    <mergeCell ref="Z1397:AA1397"/>
    <mergeCell ref="P1329:U1329"/>
    <mergeCell ref="Q1384:V1384"/>
    <mergeCell ref="K1364:L1364"/>
    <mergeCell ref="M1364:R1364"/>
    <mergeCell ref="K1350:L1350"/>
    <mergeCell ref="M1350:R1350"/>
    <mergeCell ref="K1379:L1379"/>
    <mergeCell ref="K1396:L1396"/>
    <mergeCell ref="M1314:R1314"/>
    <mergeCell ref="K1169:L1169"/>
    <mergeCell ref="K1295:L1295"/>
    <mergeCell ref="AE1633:AG1633"/>
    <mergeCell ref="AB1587:AC1587"/>
    <mergeCell ref="M1511:R1511"/>
    <mergeCell ref="AE1524:AG1524"/>
    <mergeCell ref="AB1311:AC1311"/>
    <mergeCell ref="Z1252:AA1252"/>
    <mergeCell ref="Z1299:AA1299"/>
    <mergeCell ref="Z1348:AA1348"/>
    <mergeCell ref="AB1215:AC1215"/>
    <mergeCell ref="Z1678:AA1678"/>
    <mergeCell ref="Q1854:AB1854"/>
    <mergeCell ref="AB1473:AC1473"/>
    <mergeCell ref="Z1578:AA1578"/>
    <mergeCell ref="AE1355:AG1355"/>
    <mergeCell ref="AB1579:AC1579"/>
    <mergeCell ref="Z1490:AA1490"/>
    <mergeCell ref="AB1341:AC1341"/>
    <mergeCell ref="AB1614:AC1614"/>
    <mergeCell ref="AB1675:AC1675"/>
    <mergeCell ref="Z941:AA941"/>
    <mergeCell ref="AB1155:AC1155"/>
    <mergeCell ref="AE1084:AG1084"/>
    <mergeCell ref="Z1136:AA1136"/>
    <mergeCell ref="AE1135:AG1135"/>
    <mergeCell ref="Z1177:AA1177"/>
    <mergeCell ref="Z1683:AA1683"/>
    <mergeCell ref="M1036:R1036"/>
    <mergeCell ref="Z1386:AA1386"/>
    <mergeCell ref="AE1354:AG1354"/>
    <mergeCell ref="AE1361:AG1361"/>
    <mergeCell ref="AE1359:AG1359"/>
    <mergeCell ref="AE1347:AG1347"/>
    <mergeCell ref="M1359:R1359"/>
    <mergeCell ref="AE1393:AG1393"/>
    <mergeCell ref="AB1134:AC1134"/>
    <mergeCell ref="M1365:R1365"/>
    <mergeCell ref="R1410:U1410"/>
    <mergeCell ref="R1518:U1518"/>
    <mergeCell ref="M1504:R1504"/>
    <mergeCell ref="M1378:R1378"/>
    <mergeCell ref="M1376:R1376"/>
    <mergeCell ref="M1374:R1374"/>
    <mergeCell ref="K4:L4"/>
    <mergeCell ref="D4:F4"/>
    <mergeCell ref="K171:L171"/>
    <mergeCell ref="K178:L178"/>
    <mergeCell ref="AE1705:AG1705"/>
    <mergeCell ref="AE1745:AG1745"/>
    <mergeCell ref="AE1505:AG1505"/>
    <mergeCell ref="AB1389:AC1389"/>
    <mergeCell ref="AE1311:AG1311"/>
    <mergeCell ref="AE1448:AG1448"/>
    <mergeCell ref="AE1634:AG1634"/>
    <mergeCell ref="AE1695:AG1695"/>
    <mergeCell ref="M1369:R1369"/>
    <mergeCell ref="AE1246:AG1246"/>
    <mergeCell ref="AE616:AG616"/>
    <mergeCell ref="AB1283:AC1283"/>
    <mergeCell ref="AB1203:AC1203"/>
    <mergeCell ref="AE849:AG849"/>
    <mergeCell ref="M771:R771"/>
    <mergeCell ref="M765:R765"/>
    <mergeCell ref="AB1280:AC1280"/>
    <mergeCell ref="AB841:AC841"/>
    <mergeCell ref="Z865:AA865"/>
    <mergeCell ref="A19:G19"/>
    <mergeCell ref="A80:G80"/>
    <mergeCell ref="M6:X6"/>
    <mergeCell ref="O15:U15"/>
    <mergeCell ref="A10:C10"/>
    <mergeCell ref="K186:L186"/>
    <mergeCell ref="AE1449:AG1449"/>
    <mergeCell ref="M1662:R1662"/>
    <mergeCell ref="AE1611:AG1611"/>
    <mergeCell ref="AE1047:AG1047"/>
    <mergeCell ref="AB458:AC458"/>
    <mergeCell ref="AB1041:AC1041"/>
    <mergeCell ref="AB990:AC990"/>
    <mergeCell ref="Z1029:AA1029"/>
    <mergeCell ref="Z968:AA968"/>
    <mergeCell ref="Z952:AA952"/>
    <mergeCell ref="M1090:R1090"/>
    <mergeCell ref="M1100:O1100"/>
    <mergeCell ref="AB1126:AC1126"/>
    <mergeCell ref="M1089:R1089"/>
    <mergeCell ref="Z430:AA430"/>
    <mergeCell ref="AB430:AC430"/>
    <mergeCell ref="R428:U428"/>
    <mergeCell ref="E1:F1"/>
    <mergeCell ref="K3:L3"/>
    <mergeCell ref="M1136:R1136"/>
    <mergeCell ref="Z1068:AA1068"/>
    <mergeCell ref="AB1042:AC1042"/>
    <mergeCell ref="AE1049:AG1049"/>
    <mergeCell ref="AB1052:AC1052"/>
    <mergeCell ref="AB1068:AC1068"/>
    <mergeCell ref="AE1113:AG1113"/>
    <mergeCell ref="Z1052:AA1052"/>
    <mergeCell ref="AB1051:AC1051"/>
    <mergeCell ref="Z1099:AA1099"/>
    <mergeCell ref="Z1063:AA1063"/>
    <mergeCell ref="Z761:AA761"/>
    <mergeCell ref="AE1115:AG1115"/>
    <mergeCell ref="Z1132:AA1132"/>
    <mergeCell ref="AB816:AC816"/>
    <mergeCell ref="Z852:AA852"/>
    <mergeCell ref="AB1008:AC1008"/>
    <mergeCell ref="AE1008:AG1008"/>
    <mergeCell ref="AE874:AG874"/>
    <mergeCell ref="Z795:AA795"/>
    <mergeCell ref="AB767:AC767"/>
    <mergeCell ref="Z767:AA767"/>
    <mergeCell ref="AB756:AC756"/>
    <mergeCell ref="Z779:AA779"/>
    <mergeCell ref="Z833:AA833"/>
    <mergeCell ref="AE848:AG848"/>
    <mergeCell ref="A174:G174"/>
    <mergeCell ref="A204:G204"/>
    <mergeCell ref="R62:U62"/>
    <mergeCell ref="AE1029:AG1029"/>
    <mergeCell ref="AB985:AC985"/>
    <mergeCell ref="AE1017:AG1017"/>
    <mergeCell ref="AE989:AG989"/>
    <mergeCell ref="M683:R683"/>
    <mergeCell ref="R600:U600"/>
    <mergeCell ref="M652:R652"/>
    <mergeCell ref="Z1007:AA1007"/>
    <mergeCell ref="AB1016:AC1016"/>
    <mergeCell ref="AE957:AG957"/>
    <mergeCell ref="M522:R522"/>
    <mergeCell ref="Z638:AA638"/>
    <mergeCell ref="AB611:AC611"/>
    <mergeCell ref="R633:U633"/>
    <mergeCell ref="Z143:AA143"/>
    <mergeCell ref="M142:R142"/>
    <mergeCell ref="AB465:AC465"/>
    <mergeCell ref="AE225:AG225"/>
    <mergeCell ref="Z549:AA549"/>
    <mergeCell ref="A44:G44"/>
    <mergeCell ref="Z10:AC10"/>
    <mergeCell ref="Z57:AA57"/>
    <mergeCell ref="AE1129:AG1129"/>
    <mergeCell ref="A6:B6"/>
    <mergeCell ref="E10:F10"/>
    <mergeCell ref="AE44:AG44"/>
    <mergeCell ref="A30:G30"/>
    <mergeCell ref="A11:G11"/>
    <mergeCell ref="A16:G16"/>
    <mergeCell ref="AE1130:AG1130"/>
    <mergeCell ref="A25:G25"/>
    <mergeCell ref="Z59:AA59"/>
    <mergeCell ref="AB79:AC79"/>
    <mergeCell ref="M1048:R1048"/>
    <mergeCell ref="Q1080:V1080"/>
    <mergeCell ref="K70:L70"/>
    <mergeCell ref="AE1005:AG1005"/>
    <mergeCell ref="Z1062:AA1062"/>
    <mergeCell ref="Z974:AA974"/>
    <mergeCell ref="AB1026:AC1026"/>
    <mergeCell ref="AE951:AG951"/>
    <mergeCell ref="A112:G112"/>
    <mergeCell ref="Z1120:AA1120"/>
    <mergeCell ref="C7:E7"/>
    <mergeCell ref="A40:G40"/>
    <mergeCell ref="AB953:AC953"/>
    <mergeCell ref="K33:L33"/>
    <mergeCell ref="M33:R33"/>
    <mergeCell ref="K1008:L1008"/>
    <mergeCell ref="M1008:R1008"/>
    <mergeCell ref="Z1008:AA1008"/>
    <mergeCell ref="AB1432:AC1432"/>
    <mergeCell ref="AB1294:AC1294"/>
    <mergeCell ref="AB1644:AC1644"/>
    <mergeCell ref="Z1445:AA1445"/>
    <mergeCell ref="AE1316:AG1316"/>
    <mergeCell ref="Z1312:AA1312"/>
    <mergeCell ref="Z1296:AA1296"/>
    <mergeCell ref="Z1346:AA1346"/>
    <mergeCell ref="Z1317:AA1317"/>
    <mergeCell ref="AB1435:AC1435"/>
    <mergeCell ref="Z1420:AA1420"/>
    <mergeCell ref="Z1352:AA1352"/>
    <mergeCell ref="AE1485:AG1485"/>
    <mergeCell ref="Z1454:AA1454"/>
    <mergeCell ref="AE1685:AG1685"/>
    <mergeCell ref="Z1294:AA1294"/>
    <mergeCell ref="AB1297:AC1297"/>
    <mergeCell ref="AB1376:AC1376"/>
    <mergeCell ref="Z1375:AA1375"/>
    <mergeCell ref="Z1592:AA1592"/>
    <mergeCell ref="AB1443:AC1443"/>
    <mergeCell ref="Z1620:AA1620"/>
    <mergeCell ref="Z1475:AA1475"/>
    <mergeCell ref="Z1504:AA1504"/>
    <mergeCell ref="AB1605:AC1605"/>
    <mergeCell ref="AB1657:AC1657"/>
    <mergeCell ref="Z1338:AA1338"/>
    <mergeCell ref="Z1336:AA1336"/>
    <mergeCell ref="AB1600:AC1600"/>
    <mergeCell ref="AB1483:AC1483"/>
    <mergeCell ref="AB1653:AC1653"/>
    <mergeCell ref="AE1662:AG1662"/>
    <mergeCell ref="Z1668:AA1668"/>
    <mergeCell ref="AB1668:AC1668"/>
    <mergeCell ref="AE1668:AG1668"/>
    <mergeCell ref="Z1664:AA1664"/>
    <mergeCell ref="AB1664:AC1664"/>
    <mergeCell ref="AE1664:AG1664"/>
    <mergeCell ref="Z1665:AA1665"/>
    <mergeCell ref="AB1508:AC1508"/>
    <mergeCell ref="AE1758:AG1758"/>
    <mergeCell ref="AE1624:AG1624"/>
    <mergeCell ref="AB1310:AC1310"/>
    <mergeCell ref="Z1523:AA1523"/>
    <mergeCell ref="AB1525:AC1525"/>
    <mergeCell ref="AE1529:AG1529"/>
    <mergeCell ref="AE1744:AG1744"/>
    <mergeCell ref="AE1652:AG1652"/>
    <mergeCell ref="AB1377:AC1377"/>
    <mergeCell ref="AB1589:AC1589"/>
    <mergeCell ref="AB1679:AC1679"/>
    <mergeCell ref="AB1330:AC1330"/>
    <mergeCell ref="AE1474:AG1474"/>
    <mergeCell ref="AE1445:AG1445"/>
    <mergeCell ref="AB1440:AC1440"/>
    <mergeCell ref="AB1472:AC1472"/>
    <mergeCell ref="AB1424:AC1424"/>
    <mergeCell ref="AE1433:AG1433"/>
    <mergeCell ref="AE1498:AG1498"/>
    <mergeCell ref="AE1453:AG1453"/>
    <mergeCell ref="AE1438:AG1438"/>
    <mergeCell ref="AE1440:AG1440"/>
    <mergeCell ref="Z1353:AA1353"/>
    <mergeCell ref="Z1369:AA1369"/>
    <mergeCell ref="AB1607:AC1607"/>
    <mergeCell ref="AE1607:AG1607"/>
    <mergeCell ref="Z1410:AA1410"/>
    <mergeCell ref="Z1341:AA1341"/>
    <mergeCell ref="AB1393:AC1393"/>
    <mergeCell ref="Z1497:AA1497"/>
    <mergeCell ref="AB1681:AC1681"/>
    <mergeCell ref="AB1660:AC1660"/>
    <mergeCell ref="AB1403:AC1403"/>
    <mergeCell ref="AE1595:AG1595"/>
    <mergeCell ref="AE1766:AG1766"/>
    <mergeCell ref="Z1298:AA1298"/>
    <mergeCell ref="AE1319:AG1319"/>
    <mergeCell ref="Z1729:AA1729"/>
    <mergeCell ref="Z1310:AA1310"/>
    <mergeCell ref="AE1307:AG1307"/>
    <mergeCell ref="Z1377:AA1377"/>
    <mergeCell ref="AE1298:AG1298"/>
    <mergeCell ref="AE1374:AG1374"/>
    <mergeCell ref="AB1421:AC1421"/>
    <mergeCell ref="Z1429:AA1429"/>
    <mergeCell ref="Z1652:AA1652"/>
    <mergeCell ref="Z1450:AA1450"/>
    <mergeCell ref="AB1441:AC1441"/>
    <mergeCell ref="Z1571:AA1571"/>
    <mergeCell ref="AB1603:AC1603"/>
    <mergeCell ref="AB1670:AC1670"/>
    <mergeCell ref="AB1563:AC1563"/>
    <mergeCell ref="AE1486:AG1486"/>
    <mergeCell ref="Z1351:AA1351"/>
    <mergeCell ref="Z1345:AA1345"/>
    <mergeCell ref="AB1315:AC1315"/>
    <mergeCell ref="AB69:AC69"/>
    <mergeCell ref="AE990:AG990"/>
    <mergeCell ref="M973:R973"/>
    <mergeCell ref="AE1021:AG1021"/>
    <mergeCell ref="Z1021:AA1021"/>
    <mergeCell ref="AE978:AG978"/>
    <mergeCell ref="K952:L952"/>
    <mergeCell ref="Z1313:AA1313"/>
    <mergeCell ref="Z1311:AA1311"/>
    <mergeCell ref="M1469:R1469"/>
    <mergeCell ref="Z406:AA406"/>
    <mergeCell ref="K380:L380"/>
    <mergeCell ref="AB92:AC92"/>
    <mergeCell ref="AE81:AG81"/>
    <mergeCell ref="Z119:AA119"/>
    <mergeCell ref="AB123:AC123"/>
    <mergeCell ref="AE128:AG128"/>
    <mergeCell ref="Z906:AA906"/>
    <mergeCell ref="AE906:AG906"/>
    <mergeCell ref="Z935:AA935"/>
    <mergeCell ref="Z940:AA940"/>
    <mergeCell ref="Z1280:AA1280"/>
    <mergeCell ref="Z1281:AA1281"/>
    <mergeCell ref="Z1230:AA1230"/>
    <mergeCell ref="AE1405:AG1405"/>
    <mergeCell ref="AE943:AG943"/>
    <mergeCell ref="AE1117:AG1117"/>
    <mergeCell ref="Z1213:AA1213"/>
    <mergeCell ref="AE1278:AG1278"/>
    <mergeCell ref="AE1262:AG1262"/>
    <mergeCell ref="AB1024:AC1024"/>
    <mergeCell ref="AB1260:AC1260"/>
    <mergeCell ref="J285:L285"/>
    <mergeCell ref="K284:L284"/>
    <mergeCell ref="AB322:AC322"/>
    <mergeCell ref="K267:L267"/>
    <mergeCell ref="M249:R249"/>
    <mergeCell ref="Z942:AA942"/>
    <mergeCell ref="K448:L448"/>
    <mergeCell ref="M448:R448"/>
    <mergeCell ref="Z448:AA448"/>
    <mergeCell ref="AB513:AC513"/>
    <mergeCell ref="AE513:AG513"/>
    <mergeCell ref="AE1174:AG1174"/>
    <mergeCell ref="AE1175:AG1175"/>
    <mergeCell ref="AE1190:AG1190"/>
    <mergeCell ref="Z1194:AA1194"/>
    <mergeCell ref="M293:R293"/>
    <mergeCell ref="AJ95:AK95"/>
    <mergeCell ref="K922:L922"/>
    <mergeCell ref="AE1153:AG1153"/>
    <mergeCell ref="Z1166:AA1166"/>
    <mergeCell ref="AE1143:AG1143"/>
    <mergeCell ref="M351:R351"/>
    <mergeCell ref="AB138:AC138"/>
    <mergeCell ref="AE138:AG138"/>
    <mergeCell ref="M635:N635"/>
    <mergeCell ref="K631:L631"/>
    <mergeCell ref="K674:L674"/>
    <mergeCell ref="M676:R676"/>
    <mergeCell ref="M380:R380"/>
    <mergeCell ref="Z1017:AA1017"/>
    <mergeCell ref="M454:R454"/>
    <mergeCell ref="AE907:AG907"/>
    <mergeCell ref="AE1033:AG1033"/>
    <mergeCell ref="K1445:L1445"/>
    <mergeCell ref="M1454:R1454"/>
    <mergeCell ref="AJ1455:AK1455"/>
    <mergeCell ref="AB1115:AC1115"/>
    <mergeCell ref="AB1123:AC1123"/>
    <mergeCell ref="AE1196:AG1196"/>
    <mergeCell ref="Z1204:AA1204"/>
    <mergeCell ref="Z1127:AA1127"/>
    <mergeCell ref="Z1116:AA1116"/>
    <mergeCell ref="Z1710:AA1710"/>
    <mergeCell ref="AB1523:AC1523"/>
    <mergeCell ref="Z1457:AA1457"/>
    <mergeCell ref="Z1609:AA1609"/>
    <mergeCell ref="AB941:AC941"/>
    <mergeCell ref="Z977:AA977"/>
    <mergeCell ref="Z1471:AA1471"/>
    <mergeCell ref="Z1411:AA1411"/>
    <mergeCell ref="AB1390:AC1390"/>
    <mergeCell ref="AE1210:AG1210"/>
    <mergeCell ref="AE1209:AG1209"/>
    <mergeCell ref="AB1219:AC1219"/>
    <mergeCell ref="Z1357:AA1357"/>
    <mergeCell ref="Z1370:AA1370"/>
    <mergeCell ref="AB1204:AC1204"/>
    <mergeCell ref="AB1242:AC1242"/>
    <mergeCell ref="AB1243:AC1243"/>
    <mergeCell ref="AB1270:AC1270"/>
    <mergeCell ref="AE1224:AG1224"/>
    <mergeCell ref="AE1297:AG1297"/>
    <mergeCell ref="AB1257:AC1257"/>
    <mergeCell ref="AB1434:AC1434"/>
    <mergeCell ref="AJ49:AK49"/>
    <mergeCell ref="AB251:AC251"/>
    <mergeCell ref="AE251:AG251"/>
    <mergeCell ref="Z1027:AA1027"/>
    <mergeCell ref="AB1130:AC1130"/>
    <mergeCell ref="AB1021:AC1021"/>
    <mergeCell ref="AE1014:AG1014"/>
    <mergeCell ref="AE1030:AG1030"/>
    <mergeCell ref="Z1048:AA1048"/>
    <mergeCell ref="AB1028:AC1028"/>
    <mergeCell ref="Z944:AA944"/>
    <mergeCell ref="Z963:AA963"/>
    <mergeCell ref="AE949:AG949"/>
    <mergeCell ref="AB965:AC965"/>
    <mergeCell ref="AE1010:AG1010"/>
    <mergeCell ref="K161:L161"/>
    <mergeCell ref="M627:R627"/>
    <mergeCell ref="M631:R631"/>
    <mergeCell ref="M481:R481"/>
    <mergeCell ref="Z923:AA923"/>
    <mergeCell ref="Z926:AA926"/>
    <mergeCell ref="AJ972:AK972"/>
    <mergeCell ref="AJ939:AK939"/>
    <mergeCell ref="M110:R110"/>
    <mergeCell ref="K85:L85"/>
    <mergeCell ref="M117:R117"/>
    <mergeCell ref="M1047:R1047"/>
    <mergeCell ref="M807:R807"/>
    <mergeCell ref="M259:R259"/>
    <mergeCell ref="AE657:AG657"/>
    <mergeCell ref="AE672:AG672"/>
    <mergeCell ref="AB652:AC652"/>
    <mergeCell ref="BC1:BE1"/>
    <mergeCell ref="K902:L902"/>
    <mergeCell ref="Z708:AA708"/>
    <mergeCell ref="M716:R716"/>
    <mergeCell ref="AB713:AC713"/>
    <mergeCell ref="AE713:AG713"/>
    <mergeCell ref="Z1303:AA1303"/>
    <mergeCell ref="Z995:AA995"/>
    <mergeCell ref="K927:L927"/>
    <mergeCell ref="AB1020:AC1020"/>
    <mergeCell ref="AB971:AC971"/>
    <mergeCell ref="Z961:AA961"/>
    <mergeCell ref="Z939:AA939"/>
    <mergeCell ref="M951:R951"/>
    <mergeCell ref="M1013:R1013"/>
    <mergeCell ref="K1005:L1005"/>
    <mergeCell ref="K985:L985"/>
    <mergeCell ref="K1001:L1001"/>
    <mergeCell ref="K938:L938"/>
    <mergeCell ref="Z1033:AA1033"/>
    <mergeCell ref="Z1037:AA1037"/>
    <mergeCell ref="Z1036:AA1036"/>
    <mergeCell ref="AB1036:AC1036"/>
    <mergeCell ref="Z1010:AA1010"/>
    <mergeCell ref="AB1031:AC1031"/>
    <mergeCell ref="K917:L917"/>
    <mergeCell ref="AB921:AC921"/>
    <mergeCell ref="K291:L291"/>
    <mergeCell ref="M291:R291"/>
    <mergeCell ref="Z291:AA291"/>
    <mergeCell ref="AB291:AC291"/>
    <mergeCell ref="K294:L294"/>
    <mergeCell ref="K275:L275"/>
    <mergeCell ref="AJ1079:AK1079"/>
    <mergeCell ref="AJ1080:AK1080"/>
    <mergeCell ref="M617:R617"/>
    <mergeCell ref="K778:L778"/>
    <mergeCell ref="Z1134:AA1134"/>
    <mergeCell ref="AB1175:AC1175"/>
    <mergeCell ref="AB989:AC989"/>
    <mergeCell ref="Z1219:AA1219"/>
    <mergeCell ref="Z1225:AA1225"/>
    <mergeCell ref="AB1224:AC1224"/>
    <mergeCell ref="AB1220:AC1220"/>
    <mergeCell ref="AE931:AG931"/>
    <mergeCell ref="AE934:AG934"/>
    <mergeCell ref="AB982:AC982"/>
    <mergeCell ref="AB1030:AC1030"/>
    <mergeCell ref="Z1047:AA1047"/>
    <mergeCell ref="AB275:AC275"/>
    <mergeCell ref="AE275:AG275"/>
    <mergeCell ref="K293:L293"/>
    <mergeCell ref="M944:R944"/>
    <mergeCell ref="Z293:AA293"/>
    <mergeCell ref="AB293:AC293"/>
    <mergeCell ref="AE293:AG293"/>
    <mergeCell ref="M294:R294"/>
    <mergeCell ref="Z294:AA294"/>
    <mergeCell ref="AB294:AC294"/>
    <mergeCell ref="AE294:AG294"/>
    <mergeCell ref="AJ294:AK294"/>
    <mergeCell ref="K919:L919"/>
    <mergeCell ref="AB973:AC973"/>
    <mergeCell ref="M1029:R1029"/>
    <mergeCell ref="AJ211:AK211"/>
    <mergeCell ref="AE224:AG224"/>
    <mergeCell ref="AJ119:AK119"/>
    <mergeCell ref="AJ227:AK227"/>
    <mergeCell ref="Z1234:AA1234"/>
    <mergeCell ref="Z349:AA349"/>
    <mergeCell ref="Z420:AA420"/>
    <mergeCell ref="Z533:AA533"/>
    <mergeCell ref="AE581:AG581"/>
    <mergeCell ref="Z586:AA586"/>
    <mergeCell ref="Z493:AA493"/>
    <mergeCell ref="AB978:AC978"/>
    <mergeCell ref="R1160:U1160"/>
    <mergeCell ref="M1200:R1200"/>
    <mergeCell ref="M1218:R1218"/>
    <mergeCell ref="M1189:R1189"/>
    <mergeCell ref="M1229:R1229"/>
    <mergeCell ref="AE135:AG135"/>
    <mergeCell ref="M155:R155"/>
    <mergeCell ref="M149:N149"/>
    <mergeCell ref="Z278:AA278"/>
    <mergeCell ref="M134:R134"/>
    <mergeCell ref="AB297:AC297"/>
    <mergeCell ref="M158:R158"/>
    <mergeCell ref="AE261:AG261"/>
    <mergeCell ref="M217:N217"/>
    <mergeCell ref="M222:R222"/>
    <mergeCell ref="AE303:AG303"/>
    <mergeCell ref="AE274:AG274"/>
    <mergeCell ref="M161:R161"/>
    <mergeCell ref="M176:R176"/>
    <mergeCell ref="AE164:AG164"/>
    <mergeCell ref="K1373:L1373"/>
    <mergeCell ref="K1368:L1368"/>
    <mergeCell ref="AE1335:AG1335"/>
    <mergeCell ref="K1374:L1374"/>
    <mergeCell ref="Z883:AA883"/>
    <mergeCell ref="Z138:AA138"/>
    <mergeCell ref="AB936:AC936"/>
    <mergeCell ref="M202:R202"/>
    <mergeCell ref="K238:L238"/>
    <mergeCell ref="M238:R238"/>
    <mergeCell ref="M102:R102"/>
    <mergeCell ref="AE175:AG175"/>
    <mergeCell ref="Z220:AA220"/>
    <mergeCell ref="Z1186:AA1186"/>
    <mergeCell ref="Z1179:AA1179"/>
    <mergeCell ref="K183:L183"/>
    <mergeCell ref="K216:L216"/>
    <mergeCell ref="AE177:AG177"/>
    <mergeCell ref="AB177:AC177"/>
    <mergeCell ref="K234:L234"/>
    <mergeCell ref="AE182:AG182"/>
    <mergeCell ref="AB555:AC555"/>
    <mergeCell ref="Z934:AA934"/>
    <mergeCell ref="Z932:AA932"/>
    <mergeCell ref="Z936:AA936"/>
    <mergeCell ref="K897:L897"/>
    <mergeCell ref="M897:R897"/>
    <mergeCell ref="Z897:AA897"/>
    <mergeCell ref="K334:L334"/>
    <mergeCell ref="K339:L339"/>
    <mergeCell ref="K135:L135"/>
    <mergeCell ref="K389:L389"/>
    <mergeCell ref="K93:L93"/>
    <mergeCell ref="K514:L514"/>
    <mergeCell ref="M514:R514"/>
    <mergeCell ref="Z514:AA514"/>
    <mergeCell ref="AB514:AC514"/>
    <mergeCell ref="AJ944:AK944"/>
    <mergeCell ref="K97:L97"/>
    <mergeCell ref="M97:R97"/>
    <mergeCell ref="Z97:AA97"/>
    <mergeCell ref="K95:L95"/>
    <mergeCell ref="AB918:AC918"/>
    <mergeCell ref="Z855:AA855"/>
    <mergeCell ref="K157:L157"/>
    <mergeCell ref="AB979:AC979"/>
    <mergeCell ref="AB105:AC105"/>
    <mergeCell ref="AE444:AG444"/>
    <mergeCell ref="AB993:AC993"/>
    <mergeCell ref="Z990:AA990"/>
    <mergeCell ref="Z846:AA846"/>
    <mergeCell ref="AB883:AC883"/>
    <mergeCell ref="AE883:AG883"/>
    <mergeCell ref="AE159:AG159"/>
    <mergeCell ref="Z918:AA918"/>
    <mergeCell ref="AE929:AG929"/>
    <mergeCell ref="AE925:AG925"/>
    <mergeCell ref="M874:R874"/>
    <mergeCell ref="AE512:AG512"/>
    <mergeCell ref="K305:L305"/>
    <mergeCell ref="K308:L308"/>
    <mergeCell ref="Z482:AA482"/>
    <mergeCell ref="Z972:AA972"/>
    <mergeCell ref="AB942:AC942"/>
    <mergeCell ref="AJ145:AK145"/>
    <mergeCell ref="AB87:AC87"/>
    <mergeCell ref="AB84:AC84"/>
    <mergeCell ref="K476:L476"/>
    <mergeCell ref="M175:R175"/>
    <mergeCell ref="AB130:AC130"/>
    <mergeCell ref="K251:L251"/>
    <mergeCell ref="M251:R251"/>
    <mergeCell ref="K146:L146"/>
    <mergeCell ref="M146:R146"/>
    <mergeCell ref="AE1011:AG1011"/>
    <mergeCell ref="AE937:AG937"/>
    <mergeCell ref="M381:R381"/>
    <mergeCell ref="Z866:AA866"/>
    <mergeCell ref="AB896:AC896"/>
    <mergeCell ref="M889:R889"/>
    <mergeCell ref="M885:R885"/>
    <mergeCell ref="M907:R907"/>
    <mergeCell ref="AJ514:AK514"/>
    <mergeCell ref="AB897:AC897"/>
    <mergeCell ref="AE897:AG897"/>
    <mergeCell ref="AJ897:AK897"/>
    <mergeCell ref="AE555:AG555"/>
    <mergeCell ref="AJ555:AK555"/>
    <mergeCell ref="K662:L662"/>
    <mergeCell ref="M662:R662"/>
    <mergeCell ref="AJ98:AK98"/>
    <mergeCell ref="AJ488:AK488"/>
    <mergeCell ref="AJ982:AK982"/>
    <mergeCell ref="AJ96:AK96"/>
    <mergeCell ref="AJ91:AK91"/>
    <mergeCell ref="AJ219:AK219"/>
    <mergeCell ref="Z146:AA146"/>
    <mergeCell ref="AB146:AC146"/>
    <mergeCell ref="AE77:AG77"/>
    <mergeCell ref="Z979:AA979"/>
    <mergeCell ref="Z1013:AA1013"/>
    <mergeCell ref="Z898:AA898"/>
    <mergeCell ref="Z879:AA879"/>
    <mergeCell ref="AB709:AC709"/>
    <mergeCell ref="AB86:AC86"/>
    <mergeCell ref="AE90:AG90"/>
    <mergeCell ref="N279:S279"/>
    <mergeCell ref="AB274:AC274"/>
    <mergeCell ref="AE312:AG312"/>
    <mergeCell ref="M84:R84"/>
    <mergeCell ref="M145:R145"/>
    <mergeCell ref="Z145:AA145"/>
    <mergeCell ref="AB145:AC145"/>
    <mergeCell ref="AE145:AG145"/>
    <mergeCell ref="AB1001:AC1001"/>
    <mergeCell ref="Z996:AA996"/>
    <mergeCell ref="Z1011:AA1011"/>
    <mergeCell ref="AB975:AC975"/>
    <mergeCell ref="Z954:AA954"/>
    <mergeCell ref="Z115:AA115"/>
    <mergeCell ref="AE112:AG112"/>
    <mergeCell ref="M488:R488"/>
    <mergeCell ref="Z488:AA488"/>
    <mergeCell ref="AB488:AC488"/>
    <mergeCell ref="AE488:AG488"/>
    <mergeCell ref="M608:R608"/>
    <mergeCell ref="AB634:AC634"/>
    <mergeCell ref="M955:R955"/>
    <mergeCell ref="Z904:AA904"/>
    <mergeCell ref="Q949:V949"/>
    <mergeCell ref="AE608:AG608"/>
    <mergeCell ref="M918:R918"/>
    <mergeCell ref="Z1030:AA1030"/>
    <mergeCell ref="J818:L818"/>
    <mergeCell ref="K555:L555"/>
    <mergeCell ref="M555:R555"/>
    <mergeCell ref="Z555:AA555"/>
    <mergeCell ref="AE1027:AG1027"/>
    <mergeCell ref="AE1031:AG1031"/>
    <mergeCell ref="Z1040:AA1040"/>
    <mergeCell ref="Q455:V455"/>
    <mergeCell ref="AB370:AC370"/>
    <mergeCell ref="Z398:AA398"/>
    <mergeCell ref="AJ293:AK293"/>
    <mergeCell ref="AJ512:AK512"/>
    <mergeCell ref="K513:L513"/>
    <mergeCell ref="M513:R513"/>
    <mergeCell ref="Z513:AA513"/>
    <mergeCell ref="K488:L488"/>
    <mergeCell ref="K608:L608"/>
    <mergeCell ref="AJ463:AK463"/>
    <mergeCell ref="M1033:R1033"/>
    <mergeCell ref="Z929:AA929"/>
    <mergeCell ref="AB943:AC943"/>
    <mergeCell ref="Z943:AA943"/>
    <mergeCell ref="AE887:AG887"/>
    <mergeCell ref="AE878:AG878"/>
    <mergeCell ref="AB857:AC857"/>
    <mergeCell ref="AB560:AC560"/>
    <mergeCell ref="K716:L716"/>
    <mergeCell ref="M1032:R1032"/>
    <mergeCell ref="Z1032:AA1032"/>
    <mergeCell ref="AB1032:AC1032"/>
    <mergeCell ref="AE1032:AG1032"/>
    <mergeCell ref="AJ1032:AK1032"/>
    <mergeCell ref="K463:L463"/>
    <mergeCell ref="M463:R463"/>
    <mergeCell ref="K83:L83"/>
    <mergeCell ref="M83:R83"/>
    <mergeCell ref="Z83:AA83"/>
    <mergeCell ref="AB83:AC83"/>
    <mergeCell ref="AE83:AG83"/>
    <mergeCell ref="AJ83:AK83"/>
    <mergeCell ref="AE1019:AG1019"/>
    <mergeCell ref="Z913:AA913"/>
    <mergeCell ref="Z1043:AA1043"/>
    <mergeCell ref="AB131:AC131"/>
    <mergeCell ref="Z251:AA251"/>
    <mergeCell ref="Z982:AA982"/>
    <mergeCell ref="AB908:AC908"/>
    <mergeCell ref="K145:L145"/>
    <mergeCell ref="AJ138:AK138"/>
    <mergeCell ref="Z196:AA196"/>
    <mergeCell ref="AB196:AC196"/>
    <mergeCell ref="AE196:AG196"/>
    <mergeCell ref="K116:L116"/>
    <mergeCell ref="AB112:AC112"/>
    <mergeCell ref="Z238:AA238"/>
    <mergeCell ref="AB238:AC238"/>
    <mergeCell ref="AE238:AG238"/>
    <mergeCell ref="AJ238:AK238"/>
    <mergeCell ref="AE1041:AG1041"/>
    <mergeCell ref="AE146:AG146"/>
    <mergeCell ref="K138:L138"/>
    <mergeCell ref="AE167:AG167"/>
    <mergeCell ref="AB922:AC922"/>
    <mergeCell ref="Z989:AA989"/>
    <mergeCell ref="AE514:AG514"/>
    <mergeCell ref="AB97:AC97"/>
    <mergeCell ref="AE97:AG97"/>
    <mergeCell ref="AJ97:AK97"/>
    <mergeCell ref="K94:L94"/>
    <mergeCell ref="M94:R94"/>
    <mergeCell ref="Z94:AA94"/>
    <mergeCell ref="AB94:AC94"/>
    <mergeCell ref="AE94:AG94"/>
    <mergeCell ref="Z1070:AA1070"/>
    <mergeCell ref="A51:G51"/>
    <mergeCell ref="R51:U51"/>
    <mergeCell ref="Z51:AA51"/>
    <mergeCell ref="AB51:AC51"/>
    <mergeCell ref="AE51:AG51"/>
    <mergeCell ref="AJ51:AK51"/>
    <mergeCell ref="K52:L52"/>
    <mergeCell ref="M52:R52"/>
    <mergeCell ref="Z52:AA52"/>
    <mergeCell ref="AB52:AC52"/>
    <mergeCell ref="AE52:AG52"/>
    <mergeCell ref="AJ52:AK52"/>
    <mergeCell ref="Z53:AA53"/>
    <mergeCell ref="AB53:AC53"/>
    <mergeCell ref="AE53:AG53"/>
    <mergeCell ref="AJ53:AK53"/>
    <mergeCell ref="K1032:L1032"/>
    <mergeCell ref="K311:L311"/>
    <mergeCell ref="M311:R311"/>
    <mergeCell ref="Z311:AA311"/>
    <mergeCell ref="AB311:AC311"/>
    <mergeCell ref="AE311:AG311"/>
    <mergeCell ref="Z312:AA312"/>
    <mergeCell ref="AB312:AC312"/>
    <mergeCell ref="Z343:AA343"/>
    <mergeCell ref="AB346:AC346"/>
    <mergeCell ref="AE798:AG798"/>
    <mergeCell ref="AE799:AG799"/>
    <mergeCell ref="AE776:AG776"/>
    <mergeCell ref="AB718:AC718"/>
    <mergeCell ref="AB723:AC723"/>
    <mergeCell ref="Z685:AA685"/>
    <mergeCell ref="AB598:AC598"/>
    <mergeCell ref="M495:R495"/>
    <mergeCell ref="AE380:AG380"/>
    <mergeCell ref="R404:U404"/>
    <mergeCell ref="R377:U377"/>
    <mergeCell ref="K538:L538"/>
    <mergeCell ref="M538:R538"/>
    <mergeCell ref="M637:R637"/>
    <mergeCell ref="Z460:AA460"/>
    <mergeCell ref="Z565:AA565"/>
    <mergeCell ref="AB449:AC449"/>
    <mergeCell ref="AB428:AC428"/>
    <mergeCell ref="AB410:AC410"/>
    <mergeCell ref="M415:R415"/>
    <mergeCell ref="Z415:AA415"/>
    <mergeCell ref="Z427:AA427"/>
    <mergeCell ref="AB441:AC441"/>
    <mergeCell ref="AE1048:AG1048"/>
    <mergeCell ref="Z1053:AA1053"/>
    <mergeCell ref="AE1089:AG1089"/>
    <mergeCell ref="AE1069:AG1069"/>
    <mergeCell ref="Z662:AA662"/>
    <mergeCell ref="AB662:AC662"/>
    <mergeCell ref="K82:L82"/>
    <mergeCell ref="M82:R82"/>
    <mergeCell ref="Z82:AA82"/>
    <mergeCell ref="AB82:AC82"/>
    <mergeCell ref="AE82:AG82"/>
    <mergeCell ref="AJ82:AK82"/>
    <mergeCell ref="K212:L212"/>
    <mergeCell ref="Z198:AA198"/>
    <mergeCell ref="AE168:AG168"/>
    <mergeCell ref="R87:U87"/>
    <mergeCell ref="R54:U54"/>
    <mergeCell ref="AJ57:AK57"/>
    <mergeCell ref="M903:R903"/>
    <mergeCell ref="AB950:AC950"/>
    <mergeCell ref="AJ916:AK916"/>
    <mergeCell ref="AJ1046:AK1046"/>
    <mergeCell ref="M124:R124"/>
    <mergeCell ref="K953:L953"/>
    <mergeCell ref="K954:L954"/>
    <mergeCell ref="AE1058:AG1058"/>
    <mergeCell ref="M1064:R1064"/>
    <mergeCell ref="Q1016:V1016"/>
    <mergeCell ref="Z992:AA992"/>
    <mergeCell ref="AE1022:AG1022"/>
    <mergeCell ref="M908:N908"/>
    <mergeCell ref="AJ251:AK251"/>
    <mergeCell ref="K1239:L1239"/>
    <mergeCell ref="K1256:L1256"/>
    <mergeCell ref="J1281:L1281"/>
    <mergeCell ref="K1260:L1260"/>
    <mergeCell ref="K1202:L1202"/>
    <mergeCell ref="M1202:R1202"/>
    <mergeCell ref="Z1202:AA1202"/>
    <mergeCell ref="AB1202:AC1202"/>
    <mergeCell ref="AE1202:AG1202"/>
    <mergeCell ref="AJ1202:AK1202"/>
    <mergeCell ref="M1144:R1144"/>
    <mergeCell ref="Z1218:AA1218"/>
    <mergeCell ref="AB1116:AC1116"/>
    <mergeCell ref="AE1116:AG1116"/>
    <mergeCell ref="AB1254:AC1254"/>
    <mergeCell ref="Z1144:AA1144"/>
    <mergeCell ref="AE1270:AG1270"/>
    <mergeCell ref="AE1240:AG1240"/>
    <mergeCell ref="K1252:L1252"/>
    <mergeCell ref="Q1267:V1267"/>
    <mergeCell ref="K1280:L1280"/>
    <mergeCell ref="AB1235:AC1235"/>
    <mergeCell ref="Z1256:AA1256"/>
    <mergeCell ref="AB1256:AC1256"/>
    <mergeCell ref="Z1273:AA1273"/>
    <mergeCell ref="Z1229:AA1229"/>
    <mergeCell ref="Z1175:AA1175"/>
    <mergeCell ref="Z1160:AA1160"/>
    <mergeCell ref="Z1208:AA1208"/>
    <mergeCell ref="AB1193:AC1193"/>
    <mergeCell ref="AE1171:AG1171"/>
    <mergeCell ref="AE1186:AG1186"/>
    <mergeCell ref="AB1570:AC1570"/>
    <mergeCell ref="AE1699:AG1699"/>
    <mergeCell ref="AE1697:AG1697"/>
    <mergeCell ref="AB1524:AC1524"/>
    <mergeCell ref="AB1436:AC1436"/>
    <mergeCell ref="AB1445:AC1445"/>
    <mergeCell ref="Z1449:AA1449"/>
    <mergeCell ref="AB1478:AC1478"/>
    <mergeCell ref="AE1730:AG1730"/>
    <mergeCell ref="K1415:L1415"/>
    <mergeCell ref="M1415:R1415"/>
    <mergeCell ref="M1429:R1429"/>
    <mergeCell ref="M1445:R1445"/>
    <mergeCell ref="M1727:R1727"/>
    <mergeCell ref="Z1421:AA1421"/>
    <mergeCell ref="AE1450:AG1450"/>
    <mergeCell ref="AE1443:AG1443"/>
    <mergeCell ref="AE1428:AG1428"/>
    <mergeCell ref="AB1706:AC1706"/>
    <mergeCell ref="AB1598:AC1598"/>
    <mergeCell ref="AB1481:AC1481"/>
    <mergeCell ref="AE1555:AG1555"/>
    <mergeCell ref="AE1473:AG1473"/>
    <mergeCell ref="AB1505:AC1505"/>
    <mergeCell ref="AE1541:AG1541"/>
    <mergeCell ref="AB1474:AC1474"/>
    <mergeCell ref="AB1454:AC1454"/>
    <mergeCell ref="AB1721:AC1721"/>
    <mergeCell ref="AB1465:AC1465"/>
    <mergeCell ref="AE1465:AG1465"/>
    <mergeCell ref="Z1466:AA1466"/>
    <mergeCell ref="Z1607:AA1607"/>
    <mergeCell ref="Z1216:AA1216"/>
    <mergeCell ref="AB1278:AC1278"/>
    <mergeCell ref="AJ1211:AK1211"/>
    <mergeCell ref="AE448:AG448"/>
    <mergeCell ref="AJ448:AK448"/>
    <mergeCell ref="AE1074:AG1074"/>
    <mergeCell ref="Z538:AA538"/>
    <mergeCell ref="AB538:AC538"/>
    <mergeCell ref="AE538:AG538"/>
    <mergeCell ref="M1295:R1295"/>
    <mergeCell ref="M1399:R1399"/>
    <mergeCell ref="M1317:R1317"/>
    <mergeCell ref="AJ1160:AK1160"/>
    <mergeCell ref="Z1543:AA1543"/>
    <mergeCell ref="Z1538:AA1538"/>
    <mergeCell ref="AE1415:AG1415"/>
    <mergeCell ref="Z1444:AA1444"/>
    <mergeCell ref="AE1500:AG1500"/>
    <mergeCell ref="AE1532:AG1532"/>
    <mergeCell ref="AJ1308:AK1308"/>
    <mergeCell ref="M1230:R1230"/>
    <mergeCell ref="Z1395:AA1395"/>
    <mergeCell ref="Z1125:AA1125"/>
    <mergeCell ref="Z1020:AA1020"/>
    <mergeCell ref="AJ1001:AK1001"/>
    <mergeCell ref="AJ983:AK983"/>
    <mergeCell ref="M1283:R1283"/>
    <mergeCell ref="Z1399:AA1399"/>
    <mergeCell ref="Z1320:AA1320"/>
    <mergeCell ref="AB1319:AC1319"/>
    <mergeCell ref="AE1036:AG1036"/>
    <mergeCell ref="Z1045:AA1045"/>
    <mergeCell ref="Z1415:AA1415"/>
    <mergeCell ref="AB1415:AC1415"/>
    <mergeCell ref="AJ1415:AK1415"/>
    <mergeCell ref="Z1416:AA1416"/>
    <mergeCell ref="AB1416:AC1416"/>
    <mergeCell ref="AE1416:AG1416"/>
    <mergeCell ref="AJ1416:AK1416"/>
    <mergeCell ref="AE1325:AG1325"/>
    <mergeCell ref="AE1410:AG1410"/>
    <mergeCell ref="AE1477:AG1477"/>
    <mergeCell ref="AJ1232:AK1232"/>
    <mergeCell ref="Z1342:AA1342"/>
    <mergeCell ref="AB1045:AC1045"/>
    <mergeCell ref="AB1054:AC1054"/>
    <mergeCell ref="AE1059:AG1059"/>
    <mergeCell ref="AB1048:AC1048"/>
    <mergeCell ref="AE1582:AG1582"/>
    <mergeCell ref="Z1580:AA1580"/>
    <mergeCell ref="AB1580:AC1580"/>
    <mergeCell ref="Z1151:AA1151"/>
    <mergeCell ref="AE1328:AG1328"/>
    <mergeCell ref="AE1172:AG1172"/>
    <mergeCell ref="AE1182:AG1182"/>
    <mergeCell ref="AE1194:AG1194"/>
    <mergeCell ref="AE1086:AG1086"/>
    <mergeCell ref="AB1092:AC1092"/>
    <mergeCell ref="AB1358:AC1358"/>
    <mergeCell ref="Z1350:AA1350"/>
    <mergeCell ref="AB1350:AC1350"/>
    <mergeCell ref="AE1350:AG1350"/>
    <mergeCell ref="AE1365:AG1365"/>
    <mergeCell ref="Z1364:AA1364"/>
    <mergeCell ref="AE1599:AG1599"/>
    <mergeCell ref="AE1558:AG1558"/>
    <mergeCell ref="AE1563:AG1563"/>
    <mergeCell ref="AB1033:AC1033"/>
    <mergeCell ref="AE1173:AG1173"/>
    <mergeCell ref="AB1374:AC1374"/>
    <mergeCell ref="AE1303:AG1303"/>
    <mergeCell ref="Z1390:AA1390"/>
    <mergeCell ref="Z1153:AA1153"/>
    <mergeCell ref="A1407:G1407"/>
    <mergeCell ref="Z1407:AA1407"/>
    <mergeCell ref="AB1407:AC1407"/>
    <mergeCell ref="AE1407:AG1407"/>
    <mergeCell ref="AJ1407:AK1407"/>
    <mergeCell ref="K1408:L1408"/>
    <mergeCell ref="M1408:R1408"/>
    <mergeCell ref="Z1408:AA1408"/>
    <mergeCell ref="AB1408:AC1408"/>
    <mergeCell ref="AE1408:AG1408"/>
    <mergeCell ref="AJ1408:AK1408"/>
    <mergeCell ref="Z1409:AA1409"/>
    <mergeCell ref="AB1409:AC1409"/>
    <mergeCell ref="AE1409:AG1409"/>
    <mergeCell ref="AJ1409:AK1409"/>
    <mergeCell ref="Z1465:AA1465"/>
    <mergeCell ref="Z1431:AA1431"/>
    <mergeCell ref="Z1556:AA1556"/>
    <mergeCell ref="Z1562:AA1562"/>
    <mergeCell ref="Z1559:AA1559"/>
    <mergeCell ref="AB1542:AC1542"/>
    <mergeCell ref="Z1461:AA1461"/>
    <mergeCell ref="Z1495:AA1495"/>
    <mergeCell ref="Z1349:AA1349"/>
    <mergeCell ref="AE1259:AG1259"/>
    <mergeCell ref="K1338:L1338"/>
    <mergeCell ref="K1362:L1362"/>
    <mergeCell ref="M1362:R1362"/>
    <mergeCell ref="M1377:R1377"/>
    <mergeCell ref="AJ1056:AK1056"/>
    <mergeCell ref="AJ1041:AK1041"/>
    <mergeCell ref="AJ1068:AK1068"/>
    <mergeCell ref="AJ1059:AK1059"/>
    <mergeCell ref="AJ1040:AK1040"/>
    <mergeCell ref="AE1254:AG1254"/>
    <mergeCell ref="AB1167:AC1167"/>
    <mergeCell ref="M1225:R1225"/>
    <mergeCell ref="Z1277:AA1277"/>
    <mergeCell ref="AB1265:AC1265"/>
    <mergeCell ref="AB1329:AC1329"/>
    <mergeCell ref="AJ1256:AK1256"/>
    <mergeCell ref="AJ1333:AK1333"/>
    <mergeCell ref="AB1364:AC1364"/>
    <mergeCell ref="AE1364:AG1364"/>
    <mergeCell ref="AB1349:AC1349"/>
    <mergeCell ref="Z1074:AA1074"/>
    <mergeCell ref="Z1260:AA1260"/>
    <mergeCell ref="AB1208:AC1208"/>
    <mergeCell ref="AB1125:AC1125"/>
    <mergeCell ref="AB1185:AC1185"/>
    <mergeCell ref="AB1293:AC1293"/>
    <mergeCell ref="AJ1090:AK1090"/>
    <mergeCell ref="AJ1116:AK1116"/>
    <mergeCell ref="AJ1063:AK1063"/>
    <mergeCell ref="AJ1081:AK1081"/>
    <mergeCell ref="AJ1629:AK1629"/>
    <mergeCell ref="AJ1356:AK1356"/>
    <mergeCell ref="AE1198:AG1198"/>
    <mergeCell ref="AB1312:AC1312"/>
    <mergeCell ref="AB1357:AC1357"/>
    <mergeCell ref="Z1413:AA1413"/>
    <mergeCell ref="AB1413:AC1413"/>
    <mergeCell ref="AE1413:AG1413"/>
    <mergeCell ref="AJ1413:AK1413"/>
    <mergeCell ref="K1414:L1414"/>
    <mergeCell ref="M1414:R1414"/>
    <mergeCell ref="Z1414:AA1414"/>
    <mergeCell ref="AB1414:AC1414"/>
    <mergeCell ref="AE1414:AG1414"/>
    <mergeCell ref="AJ1414:AK1414"/>
    <mergeCell ref="AE1284:AG1284"/>
    <mergeCell ref="AE1288:AG1288"/>
    <mergeCell ref="AB1226:AC1226"/>
    <mergeCell ref="Z1326:AA1326"/>
    <mergeCell ref="Z1316:AA1316"/>
    <mergeCell ref="AJ1388:AK1388"/>
    <mergeCell ref="AJ1354:AK1354"/>
    <mergeCell ref="AB1401:AC1401"/>
    <mergeCell ref="M1228:R1228"/>
    <mergeCell ref="Z1401:AA1401"/>
    <mergeCell ref="Z1394:AA1394"/>
    <mergeCell ref="Z1363:AA1363"/>
    <mergeCell ref="Z1392:AA1392"/>
    <mergeCell ref="AJ1206:AK1206"/>
    <mergeCell ref="AJ1385:AK1385"/>
    <mergeCell ref="AJ1322:AK1322"/>
    <mergeCell ref="AE1371:AG1371"/>
    <mergeCell ref="K1279:L1279"/>
    <mergeCell ref="M1240:R1240"/>
    <mergeCell ref="Z1023:AA1023"/>
    <mergeCell ref="A1630:G1630"/>
    <mergeCell ref="Z1630:AA1630"/>
    <mergeCell ref="AB1630:AC1630"/>
    <mergeCell ref="AE1630:AG1630"/>
    <mergeCell ref="AJ1630:AK1630"/>
    <mergeCell ref="K1631:L1631"/>
    <mergeCell ref="M1631:R1631"/>
    <mergeCell ref="Z1631:AA1631"/>
    <mergeCell ref="AB1631:AC1631"/>
    <mergeCell ref="AE1631:AG1631"/>
    <mergeCell ref="AJ1631:AK1631"/>
    <mergeCell ref="Z1632:AA1632"/>
    <mergeCell ref="AB1632:AC1632"/>
    <mergeCell ref="AE1632:AG1632"/>
    <mergeCell ref="AJ1632:AK1632"/>
    <mergeCell ref="A1627:G1627"/>
    <mergeCell ref="Z1627:AA1627"/>
    <mergeCell ref="AB1627:AC1627"/>
    <mergeCell ref="AE1627:AG1627"/>
    <mergeCell ref="AJ1627:AK1627"/>
    <mergeCell ref="K1628:L1628"/>
    <mergeCell ref="M1628:R1628"/>
    <mergeCell ref="Z1628:AA1628"/>
    <mergeCell ref="AB1628:AC1628"/>
    <mergeCell ref="AE1628:AG1628"/>
    <mergeCell ref="AJ1628:AK1628"/>
    <mergeCell ref="Z1629:AA1629"/>
    <mergeCell ref="AB1629:AC1629"/>
    <mergeCell ref="AE1629:AG1629"/>
    <mergeCell ref="AB1094:AC1094"/>
    <mergeCell ref="K1113:L1113"/>
    <mergeCell ref="M1122:R1122"/>
    <mergeCell ref="M1233:R1233"/>
    <mergeCell ref="Z648:AA648"/>
    <mergeCell ref="R328:U328"/>
    <mergeCell ref="K820:L820"/>
    <mergeCell ref="AE593:AG593"/>
    <mergeCell ref="AE595:AG595"/>
    <mergeCell ref="Z688:AA688"/>
    <mergeCell ref="AJ1249:AK1249"/>
    <mergeCell ref="Z860:AA860"/>
    <mergeCell ref="AE463:AG463"/>
    <mergeCell ref="AB496:AC496"/>
    <mergeCell ref="Z1046:AA1046"/>
    <mergeCell ref="Z1265:AA1265"/>
    <mergeCell ref="AB968:AC968"/>
    <mergeCell ref="Z417:AA417"/>
    <mergeCell ref="Z440:AA440"/>
    <mergeCell ref="Z568:AA568"/>
    <mergeCell ref="AB932:AC932"/>
    <mergeCell ref="AJ914:AK914"/>
    <mergeCell ref="Z991:AA991"/>
    <mergeCell ref="AE603:AG603"/>
    <mergeCell ref="AB448:AC448"/>
    <mergeCell ref="Z985:AA985"/>
    <mergeCell ref="AJ996:AK996"/>
    <mergeCell ref="AJ1095:AK1095"/>
    <mergeCell ref="AB1071:AC1071"/>
    <mergeCell ref="Z1071:AA1071"/>
    <mergeCell ref="Z1064:AA1064"/>
    <mergeCell ref="Z994:AA994"/>
    <mergeCell ref="AJ94:AK94"/>
    <mergeCell ref="Z965:AA965"/>
    <mergeCell ref="AB1152:AC1152"/>
    <mergeCell ref="Z1283:AA1283"/>
    <mergeCell ref="K166:L166"/>
    <mergeCell ref="M166:R166"/>
    <mergeCell ref="Z166:AA166"/>
    <mergeCell ref="AB166:AC166"/>
    <mergeCell ref="AE166:AG166"/>
    <mergeCell ref="AJ166:AK166"/>
    <mergeCell ref="K187:L187"/>
    <mergeCell ref="M187:R187"/>
    <mergeCell ref="Z187:AA187"/>
    <mergeCell ref="AB187:AC187"/>
    <mergeCell ref="AE187:AG187"/>
    <mergeCell ref="AJ187:AK187"/>
    <mergeCell ref="K188:L188"/>
    <mergeCell ref="M188:R188"/>
    <mergeCell ref="Z188:AA188"/>
    <mergeCell ref="AB188:AC188"/>
    <mergeCell ref="AE188:AG188"/>
    <mergeCell ref="AJ188:AK188"/>
    <mergeCell ref="AE950:AG950"/>
    <mergeCell ref="AE961:AG961"/>
    <mergeCell ref="AE956:AG956"/>
    <mergeCell ref="AB1162:AC1162"/>
    <mergeCell ref="Z1112:AA1112"/>
    <mergeCell ref="Z1137:AA1137"/>
    <mergeCell ref="AB1140:AC1140"/>
    <mergeCell ref="AJ1084:AK1084"/>
    <mergeCell ref="AJ1112:AK1112"/>
    <mergeCell ref="AJ1107:AK1107"/>
  </mergeCells>
  <phoneticPr fontId="79" type="noConversion"/>
  <hyperlinks>
    <hyperlink ref="M2" location="DECIDUOUS_TREES" tooltip="Go to top of Deciduous Trees section." display="Deciduous Trees" xr:uid="{00000000-0004-0000-0000-000028000000}"/>
    <hyperlink ref="M3" location="EVERGREEN_SHRUBS" tooltip="Go to top of Evergreen Shrubs section." display="Evergreen Shrubs" xr:uid="{00000000-0004-0000-0000-000029000000}"/>
    <hyperlink ref="M4" location="DECIDUOUS_SHRUBS" tooltip="Go to top of Deciduous Shrubs section." display="Deciduous Shrubs" xr:uid="{00000000-0004-0000-0000-00002A000000}"/>
    <hyperlink ref="M5" location="WEEPING_PLANTS" tooltip="Go to top of Weeping Plants section." display="Weeping Plants" xr:uid="{00000000-0004-0000-0000-00002B000000}"/>
    <hyperlink ref="P2" location="EVERGREEN_GROUNDCOVER" tooltip="Go to top of Evergreen Groundcover section." display="Groundcover" xr:uid="{00000000-0004-0000-0000-00002C000000}"/>
    <hyperlink ref="P3" location="DECIDUOUS_GROUND_COVER" tooltip="Go to top of Deciduous Groundcover section." display="Groundcover" xr:uid="{00000000-0004-0000-0000-00002D000000}"/>
    <hyperlink ref="K616" r:id="rId2" tooltip="open Google Images page of this plant in a browser" xr:uid="{00000000-0004-0000-0000-0000A9000000}"/>
    <hyperlink ref="L616" r:id="rId3" tooltip="open NCSU Facts page of this plant in a browser" xr:uid="{00000000-0004-0000-0000-0000AA000000}"/>
    <hyperlink ref="M1" location="EVERGREEN_TREES" tooltip="Go to top of Evergreen Trees section." display="Evergreen Trees" xr:uid="{00000000-0004-0000-0000-0000B9000000}"/>
    <hyperlink ref="AS2" r:id="rId4" tooltip="open Sources page (of Trees2Go website) in a browser" xr:uid="{00000000-0004-0000-0000-0000B5010000}"/>
    <hyperlink ref="K59" r:id="rId5" tooltip="open Google Images page of this plant in a browser" xr:uid="{00000000-0004-0000-0000-0000DC010000}"/>
    <hyperlink ref="L59" r:id="rId6" tooltip="open NCSU Facts page of this plant in a browser" xr:uid="{00000000-0004-0000-0000-0000DD010000}"/>
    <hyperlink ref="M1:N1" location="EVERGREEN_TREES" tooltip="go to Evergreen Trees section" display="Evergreen Trees" xr:uid="{00000000-0004-0000-0000-0000FE010000}"/>
    <hyperlink ref="M2:N2" location="DECIDUOUS_TREES" tooltip="go to Deciduous Trees section" display="Deciduous Trees" xr:uid="{00000000-0004-0000-0000-0000FF010000}"/>
    <hyperlink ref="M3:N3" location="EVERGREEN_SHRUBS" tooltip="go to Evergreen Shrubs section" display="Evergreen Shrubs" xr:uid="{00000000-0004-0000-0000-000000020000}"/>
    <hyperlink ref="M4:N4" location="DECIDUOUS_SHRUBS" tooltip="go to Deciduous Shrubs section" display="Deciduous Shrubs" xr:uid="{00000000-0004-0000-0000-000001020000}"/>
    <hyperlink ref="M5:N5" location="WEEPING_PLANTS" tooltip="go to Weeping Plants section" display="Weeping Plants" xr:uid="{00000000-0004-0000-0000-000002020000}"/>
    <hyperlink ref="P2:V2" location="EVERGREEN_GROUNDCOVER" tooltip="go to Evergreen Groundcover section" display="Groundcover" xr:uid="{00000000-0004-0000-0000-000003020000}"/>
    <hyperlink ref="P3:V3" location="DECIDUOUS_GROUND_COVER" tooltip="go to Deciduous Groundcover section" display="Groundcover" xr:uid="{00000000-0004-0000-0000-000004020000}"/>
    <hyperlink ref="C1814" r:id="rId7" display="Mike@Trees2Go.com" xr:uid="{00000000-0004-0000-0000-000093030000}"/>
    <hyperlink ref="AA1798" r:id="rId8" tooltip="open New View Planting website in a browser" xr:uid="{00000000-0004-0000-0000-0000EA030000}"/>
    <hyperlink ref="R59" location="Quote!X71" tooltip="this is a Native plant, that naturally grows in our area, or, it is a cultivar of a Native plant, so it should be well suited" display="N" xr:uid="{00000000-0004-0000-0000-0000F5030000}"/>
    <hyperlink ref="R59:T59" location="Sweet_Tea_Gordlinia__white___Gordlinia_grandiflora__Sweet_Tea" tooltip="this is a Native plant, that naturally grows in our area ~ OR ~ it is a cultivar of a Native plant, so it should be well suited" display="N" xr:uid="{00000000-0004-0000-0000-0000F6030000}"/>
    <hyperlink ref="K1081" r:id="rId9" tooltip="open Google Images page of this plant in a browser" xr:uid="{4E3BAB7F-75CD-40A1-8E87-C4FC0F719F56}"/>
    <hyperlink ref="L1081" r:id="rId10" tooltip="open NCSU Facts page of this plant in a browser" xr:uid="{37732406-5522-402D-8A43-0C2B0DF3E868}"/>
    <hyperlink ref="O8" r:id="rId11" location="EasternTriangleArea" display="https://www.trees2go.com/about/#EasternTriangleArea" xr:uid="{00000000-0004-0000-0000-000020050000}"/>
    <hyperlink ref="K1803" location="TOP" tooltip="go to top of sheet" display="go to top" xr:uid="{17947F89-A44B-4EBF-8353-9113999880B1}"/>
    <hyperlink ref="K1803:L1803" location="TOP" tooltip="go to top of this page, to categories list" display="top of page" xr:uid="{B023903A-9431-4E29-BAB7-184E41ECBB3F}"/>
    <hyperlink ref="O8:X8" location="Eastern_Triangle_Area" display="Eastern Triangle Area" xr:uid="{45654A4E-3D3A-474C-BCBA-1E0DAE592DFB}"/>
    <hyperlink ref="BE3" location="'Main Page'!A1" tooltip="go to far left side of this page" display="← ←  far left" xr:uid="{4F0DB487-69B6-4712-B1D5-9B2620E7DD99}"/>
    <hyperlink ref="BD2:BE2" location="CATEGORIES" tooltip="go to Categories area of this page" display="← go to categories" xr:uid="{363F6B65-8BE4-4432-85FF-D75DF090A11F}"/>
    <hyperlink ref="K185" r:id="rId12" tooltip="open Google Images page of this plant in a browser" xr:uid="{00000000-0004-0000-0000-000038000000}"/>
    <hyperlink ref="L185" r:id="rId13" tooltip="open NCSU Facts page of this plant in a browser" xr:uid="{00000000-0004-0000-0000-000045000000}"/>
    <hyperlink ref="L303" r:id="rId14" tooltip="open NCSU Facts page of this plant in a browser" xr:uid="{00000000-0004-0000-0000-000028010000}"/>
    <hyperlink ref="K303" r:id="rId15" tooltip="open Google Images page of this plant in a browser" xr:uid="{00000000-0004-0000-0000-000029010000}"/>
    <hyperlink ref="L313" r:id="rId16" tooltip="open NCSU Facts page of this plant in a browser" xr:uid="{00000000-0004-0000-0000-00004D010000}"/>
    <hyperlink ref="L307" r:id="rId17" tooltip="open NCSU Facts page of this plant in a browser" xr:uid="{00000000-0004-0000-0000-00004E010000}"/>
    <hyperlink ref="L243" r:id="rId18" tooltip="open NCSU Facts page of this plant in a browser" xr:uid="{00000000-0004-0000-0000-00004F010000}"/>
    <hyperlink ref="L286" r:id="rId19" tooltip="open NCSU Facts page of this plant in a browser" xr:uid="{00000000-0004-0000-0000-000050010000}"/>
    <hyperlink ref="L280" r:id="rId20" tooltip="open NCSU Facts page of this plant in a browser" xr:uid="{00000000-0004-0000-0000-000051010000}"/>
    <hyperlink ref="L274" r:id="rId21" tooltip="open NCSU Facts page of this plant in a browser" xr:uid="{00000000-0004-0000-0000-000052010000}"/>
    <hyperlink ref="L270" r:id="rId22" tooltip="open NCSU Facts page of this plant in a browser" xr:uid="{00000000-0004-0000-0000-000053010000}"/>
    <hyperlink ref="L256" r:id="rId23" tooltip="open NCSU Facts page of this plant in a browser" xr:uid="{00000000-0004-0000-0000-000054010000}"/>
    <hyperlink ref="L247" r:id="rId24" tooltip="open NCSU Facts page of this plant in a browser" xr:uid="{00000000-0004-0000-0000-000055010000}"/>
    <hyperlink ref="L191" r:id="rId25" tooltip="open NCSU Facts page of this plant in a browser" xr:uid="{00000000-0004-0000-0000-000056010000}"/>
    <hyperlink ref="L221" r:id="rId26" tooltip="open NCSU Facts page of this plant in a browser" xr:uid="{00000000-0004-0000-0000-000057010000}"/>
    <hyperlink ref="L218" r:id="rId27" tooltip="open NCSU Facts page of this plant in a browser" xr:uid="{00000000-0004-0000-0000-000058010000}"/>
    <hyperlink ref="L214" r:id="rId28" tooltip="open NCSU Facts page of this plant in a browser" xr:uid="{00000000-0004-0000-0000-000059010000}"/>
    <hyperlink ref="L180" r:id="rId29" tooltip="open NCSU Facts page of this plant in a browser" xr:uid="{00000000-0004-0000-0000-00005A010000}"/>
    <hyperlink ref="L174" r:id="rId30" tooltip="open NCSU Facts page of this plant in a browser" xr:uid="{00000000-0004-0000-0000-00005B010000}"/>
    <hyperlink ref="L164" r:id="rId31" tooltip="open NCSU Facts page of this plant in a browser" xr:uid="{00000000-0004-0000-0000-00005C010000}"/>
    <hyperlink ref="L290" r:id="rId32" tooltip="open NCSU Facts page of this plant in a browser" xr:uid="{00000000-0004-0000-0000-000060010000}"/>
    <hyperlink ref="K256" r:id="rId33" tooltip="open Google Images page of this plant in a browser" xr:uid="{00000000-0004-0000-0000-000065010000}"/>
    <hyperlink ref="K307" r:id="rId34" tooltip="open Google Images page of this plant in a browser" xr:uid="{00000000-0004-0000-0000-000067010000}"/>
    <hyperlink ref="K290" r:id="rId35" tooltip="open Google Images page of this plant in a browser" xr:uid="{00000000-0004-0000-0000-000069010000}"/>
    <hyperlink ref="K280" r:id="rId36" tooltip="open Google Images page of this plant in a browser" xr:uid="{00000000-0004-0000-0000-00006D010000}"/>
    <hyperlink ref="K313" r:id="rId37" tooltip="open Google Images page of this plant in a browser" xr:uid="{00000000-0004-0000-0000-000086010000}"/>
    <hyperlink ref="K243" r:id="rId38" tooltip="open Google Images page of this plant in a browser" xr:uid="{00000000-0004-0000-0000-000087010000}"/>
    <hyperlink ref="K286" r:id="rId39" tooltip="open Google Images page of this plant in a browser" xr:uid="{00000000-0004-0000-0000-000088010000}"/>
    <hyperlink ref="K274" r:id="rId40" tooltip="open Google Images page of this plant in a browser" xr:uid="{00000000-0004-0000-0000-000089010000}"/>
    <hyperlink ref="K270" r:id="rId41" tooltip="open Google Images page of this plant in a browser" xr:uid="{00000000-0004-0000-0000-00008A010000}"/>
    <hyperlink ref="K247" r:id="rId42" tooltip="open Google Images page of this plant in a browser" xr:uid="{00000000-0004-0000-0000-00008B010000}"/>
    <hyperlink ref="K191" r:id="rId43" tooltip="open Google Images page of this plant in a browser" xr:uid="{00000000-0004-0000-0000-00008C010000}"/>
    <hyperlink ref="K221" r:id="rId44" tooltip="open Google Images page of this plant in a browser" xr:uid="{00000000-0004-0000-0000-00008D010000}"/>
    <hyperlink ref="K218" r:id="rId45" tooltip="open Google Images page of this plant in a browser" xr:uid="{00000000-0004-0000-0000-00008E010000}"/>
    <hyperlink ref="K214" r:id="rId46" tooltip="open Google Images page of this plant in a browser" xr:uid="{00000000-0004-0000-0000-00008F010000}"/>
    <hyperlink ref="K180" r:id="rId47" tooltip="open Google Images page of this plant in a browser" xr:uid="{00000000-0004-0000-0000-000090010000}"/>
    <hyperlink ref="K174" r:id="rId48" tooltip="open Google Images page of this plant in a browser" xr:uid="{00000000-0004-0000-0000-000091010000}"/>
    <hyperlink ref="K164" r:id="rId49" tooltip="open Google Images page of this plant in a browser" xr:uid="{00000000-0004-0000-0000-000092010000}"/>
    <hyperlink ref="K237" r:id="rId50" tooltip="open Google Images page of this plant in a browser" xr:uid="{00000000-0004-0000-0000-0000A7010000}"/>
    <hyperlink ref="L237" r:id="rId51" tooltip="open NCSU Facts page of this plant in a browser" xr:uid="{00000000-0004-0000-0000-0000A8010000}"/>
    <hyperlink ref="Q169" location="TOP" tooltip="go to top of sheet" display="go to top" xr:uid="{00000000-0004-0000-0000-000001040000}"/>
    <hyperlink ref="Q169:R169" location="TOP" tooltip="go to top of this page, to categories list" display="top of page" xr:uid="{00000000-0004-0000-0000-000002040000}"/>
    <hyperlink ref="Q242" location="TOP" tooltip="go to top of sheet" display="go to top" xr:uid="{00000000-0004-0000-0000-000005040000}"/>
    <hyperlink ref="Q242:R242" location="TOP" tooltip="go to top of this page, to categories list" display="top of page" xr:uid="{00000000-0004-0000-0000-000006040000}"/>
    <hyperlink ref="N279" location="TOP" tooltip="go to top of sheet" display="go to top" xr:uid="{00000000-0004-0000-0000-000009040000}"/>
    <hyperlink ref="N279:O279" location="TOP" tooltip="go to top of this page, to categories list" display="top of page" xr:uid="{00000000-0004-0000-0000-00000A040000}"/>
    <hyperlink ref="R180" location="Quote!X71" tooltip="this is a Native plant, that naturally grows in our area, or, it is a cultivar of a Native plant, so it should be well suited" display="N" xr:uid="{00000000-0004-0000-0000-00005F040000}"/>
    <hyperlink ref="R180:T180" location="Taylor_Juniper" tooltip="this is a Native plant, that naturally grows in our area ~ OR ~ it is a cultivar of a Native plant, so it should be well suited" display="N" xr:uid="{00000000-0004-0000-0000-000060040000}"/>
    <hyperlink ref="R174" location="Quote!X71" tooltip="this is a Native plant, that naturally grows in our area, or, it is a cultivar of a Native plant, so it should be well suited" display="N" xr:uid="{00000000-0004-0000-0000-00007B040000}"/>
    <hyperlink ref="R174:T174" location="DeGroot_s_Spire_Arborvitae" tooltip="this is a Native plant, that naturally grows in our area ~ OR ~ it is a cultivar of a Native plant, so it should be well suited" display="N" xr:uid="{00000000-0004-0000-0000-00007C040000}"/>
    <hyperlink ref="R221" location="Quote!X71" tooltip="this is a Native plant, that naturally grows in our area, or, it is a cultivar of a Native plant, so it should be well suited" display="N" xr:uid="{00000000-0004-0000-0000-00007D040000}"/>
    <hyperlink ref="R221:T221" location="Emerald_Arborvitae" tooltip="this is a Native plant, that naturally grows in our area ~ OR ~ it is a cultivar of a Native plant, so it should be well suited" display="N" xr:uid="{00000000-0004-0000-0000-00007E040000}"/>
    <hyperlink ref="R303" location="Quote!X71" tooltip="this is a Native plant, that naturally grows in our area, or, it is a cultivar of a Native plant, so it should be well suited" display="N" xr:uid="{00000000-0004-0000-0000-000083040000}"/>
    <hyperlink ref="R303:T303" location="Yellow_Ribbon_Arborvitae" tooltip="this is a Native plant, that naturally grows in our area ~ OR ~ it is a cultivar of a Native plant, so it should be well suited" display="N" xr:uid="{00000000-0004-0000-0000-000084040000}"/>
    <hyperlink ref="R307" location="Quote!X71" tooltip="this is a Native plant, that naturally grows in our area, or, it is a cultivar of a Native plant, so it should be well suited" display="N" xr:uid="{00000000-0004-0000-0000-000085040000}"/>
    <hyperlink ref="R307:T307" location="Dwarf_Palmetto_Palm" tooltip="this is a Native plant, that naturally grows in our area ~ OR ~ it is a cultivar of a Native plant, so it should be well suited" display="N" xr:uid="{00000000-0004-0000-0000-000086040000}"/>
    <hyperlink ref="L160" r:id="rId52" tooltip="open NCSU Facts page of this plant in a browser" xr:uid="{00000000-0004-0000-0000-000049050000}"/>
    <hyperlink ref="K160" r:id="rId53" tooltip="open Google Images page of this plant in a browser" xr:uid="{00000000-0004-0000-0000-00004A050000}"/>
    <hyperlink ref="K150" r:id="rId54" tooltip="open Google Images page of this plant in a browser" xr:uid="{00000000-0004-0000-0000-00004B050000}"/>
    <hyperlink ref="L150" r:id="rId55" tooltip="open NCSU Facts page of this plant in a browser" xr:uid="{00000000-0004-0000-0000-00004C050000}"/>
    <hyperlink ref="Q213" location="TOP" tooltip="go to top of sheet" display="go to top" xr:uid="{73AFF966-B62E-4EC8-9C0A-7CA6085FAED0}"/>
    <hyperlink ref="Q213:R213" location="TOP" tooltip="go to top of this page, to categories list" display="top of page" xr:uid="{995D189C-2979-42BD-AEE8-B362484AC5DB}"/>
    <hyperlink ref="K209" r:id="rId56" tooltip="open Google Images page of this plant in a browser" xr:uid="{00000000-0004-0000-0000-0000CF030000}"/>
    <hyperlink ref="L209" r:id="rId57" tooltip="open NCSU Facts page of this plant in a browser" xr:uid="{00000000-0004-0000-0000-0000CE030000}"/>
    <hyperlink ref="K170" r:id="rId58" tooltip="open Google Images page of this plant in a browser" xr:uid="{A581C411-0A11-427A-92EA-B9D587929FF4}"/>
    <hyperlink ref="L170" r:id="rId59" tooltip="open NCSU Facts page of this plant in a browser" xr:uid="{D848FC14-B306-43CC-8A0F-69B5883CAC1C}"/>
    <hyperlink ref="K144" r:id="rId60" tooltip="open Google Images page of this plant in a browser" xr:uid="{F350ED20-3E39-42FF-A007-648A379878AC}"/>
    <hyperlink ref="L144" r:id="rId61" tooltip="open NCSU Facts page of this plant in a browser" xr:uid="{DDCFF18D-27E5-42B2-9194-8B21E269D457}"/>
    <hyperlink ref="R112:T112" location="Wax_Myrtle" tooltip="this is a Native plant, that naturally grows in our area ~ OR ~ it is a cultivar of a Native plant, so it should be well suited" display="N" xr:uid="{888F3F8C-163E-4A2D-AD09-99DF66FDB208}"/>
    <hyperlink ref="R112" location="Quote!X71" tooltip="this is a Native plant, that naturally grows in our area, or, it is a cultivar of a Native plant, so it should be well suited" display="N" xr:uid="{BBA3BEA5-6202-4B53-A090-4575F987548D}"/>
    <hyperlink ref="R101:T101" location="Brodie_Juniper" tooltip="this is a Native plant, that naturally grows in our area ~ OR ~ it is a cultivar of a Native plant, so it should be well suited" display="N" xr:uid="{55494879-B832-4B27-B741-120A407C8FE1}"/>
    <hyperlink ref="R101" location="Quote!X71" tooltip="this is a Native plant, that naturally grows in our area, or, it is a cultivar of a Native plant, so it should be well suited" display="N" xr:uid="{FCD8AD11-944F-493E-9763-A201A2661B2A}"/>
    <hyperlink ref="R62:T62" location="Foster_Holly" tooltip="this is a Native plant, that naturally grows in our area ~ OR ~ it is a cultivar of a Native plant, so it should be well suited" display="N" xr:uid="{0D7A7236-45DB-4D70-8676-BE634E1CD569}"/>
    <hyperlink ref="R62" location="Quote!X71" tooltip="this is a Native plant, that naturally grows in our area, or, it is a cultivar of a Native plant, so it should be well suited" display="N" xr:uid="{CC3B4A1C-3557-4970-8D3C-2C07E6A8AB68}"/>
    <hyperlink ref="L62" r:id="rId62" tooltip="open NCSU Facts page of this plant in a browser" xr:uid="{2472E374-9E6B-4459-B596-434D1133DB05}"/>
    <hyperlink ref="K105" r:id="rId63" tooltip="open Google Images page of this plant in a browser" xr:uid="{00000000-0004-0000-0000-000050050000}"/>
    <hyperlink ref="L105" r:id="rId64" tooltip="open NCSU Facts page of this plant in a browser" xr:uid="{00000000-0004-0000-0000-00004F050000}"/>
    <hyperlink ref="K101" r:id="rId65" tooltip="open Google Images page of this plant in a browser" xr:uid="{00000000-0004-0000-0000-00004E050000}"/>
    <hyperlink ref="L101" r:id="rId66" tooltip="open NCSU Facts page of this plant in a browser" xr:uid="{00000000-0004-0000-0000-00004D050000}"/>
    <hyperlink ref="L112" r:id="rId67" tooltip="open NCSU Facts page of this plant in a browser" xr:uid="{00000000-0004-0000-0000-000048050000}"/>
    <hyperlink ref="L126" r:id="rId68" tooltip="open NCSU Facts page of this plant in a browser" xr:uid="{00000000-0004-0000-0000-000047050000}"/>
    <hyperlink ref="L131" r:id="rId69" tooltip="open NCSU Facts page of this plant in a browser" xr:uid="{00000000-0004-0000-0000-000046050000}"/>
    <hyperlink ref="K112" r:id="rId70" tooltip="open Google Images page of this plant in a browser" xr:uid="{00000000-0004-0000-0000-000045050000}"/>
    <hyperlink ref="K126" r:id="rId71" tooltip="open Google Images page of this plant in a browser" xr:uid="{00000000-0004-0000-0000-000044050000}"/>
    <hyperlink ref="K137" r:id="rId72" tooltip="open Google Images page of this plant in a browser" xr:uid="{00000000-0004-0000-0000-000043050000}"/>
    <hyperlink ref="K131" r:id="rId73" tooltip="open Google Images page of this plant in a browser" xr:uid="{00000000-0004-0000-0000-000042050000}"/>
    <hyperlink ref="K123" r:id="rId74" tooltip="open Google Images page of this plant in a browser" xr:uid="{00000000-0004-0000-0000-000041050000}"/>
    <hyperlink ref="L123" r:id="rId75" tooltip="open NCSU Facts page of this plant in a browser" xr:uid="{00000000-0004-0000-0000-000040050000}"/>
    <hyperlink ref="L137" r:id="rId76" tooltip="open NCSU Facts page of this plant in a browser" xr:uid="{00000000-0004-0000-0000-00003F050000}"/>
    <hyperlink ref="Q130" location="TOP" tooltip="go to top of sheet" display="go to top" xr:uid="{00000000-0004-0000-0000-00003C050000}"/>
    <hyperlink ref="Q130:R130" location="TOP" tooltip="go to top of this page, to categories list" display="top of page" xr:uid="{00000000-0004-0000-0000-00003B050000}"/>
    <hyperlink ref="R87:T87" location="Teddy_Bear_Magnolia" tooltip="this is a Native plant, that naturally grows in our area ~ OR ~ it is a cultivar of a Native plant, so it should be well suited" display="N" xr:uid="{00000000-0004-0000-0000-000019050000}"/>
    <hyperlink ref="R87" location="Quote!X71" tooltip="this is a Native plant, that naturally grows in our area, or, it is a cultivar of a Native plant, so it should be well suited" display="N" xr:uid="{00000000-0004-0000-0000-000018050000}"/>
    <hyperlink ref="R65:T65" location="Kay_Parris_Magnolia" tooltip="this is a Native plant, that naturally grows in our area ~ OR ~ it is a cultivar of a Native plant, so it should be well suited" display="N" xr:uid="{00000000-0004-0000-0000-0000FC030000}"/>
    <hyperlink ref="R65" location="Quote!X71" tooltip="this is a Native plant, that naturally grows in our area, or, it is a cultivar of a Native plant, so it should be well suited" display="N" xr:uid="{00000000-0004-0000-0000-0000FB030000}"/>
    <hyperlink ref="L65" r:id="rId77" tooltip="open NCSU Facts page of this plant in a browser" xr:uid="{00000000-0004-0000-0000-0000FC010000}"/>
    <hyperlink ref="K65" r:id="rId78" tooltip="open Google Images page of this plant in a browser" xr:uid="{00000000-0004-0000-0000-0000FB010000}"/>
    <hyperlink ref="L22" r:id="rId79" tooltip="open NCSU Facts page of this plant in a browser" xr:uid="{00000000-0004-0000-0000-0000D7010000}"/>
    <hyperlink ref="K22" r:id="rId80" tooltip="open Google Images page of this plant in a browser" xr:uid="{00000000-0004-0000-0000-0000D6010000}"/>
    <hyperlink ref="K72" r:id="rId81" tooltip="open Google Images page of this plant in a browser" xr:uid="{00000000-0004-0000-0000-000093010000}"/>
    <hyperlink ref="K92" r:id="rId82" tooltip="open Google Images page of this plant in a browser" xr:uid="{00000000-0004-0000-0000-00006B010000}"/>
    <hyperlink ref="L92" r:id="rId83" tooltip="open NCSU Facts page of this plant in a browser" xr:uid="{00000000-0004-0000-0000-00005E010000}"/>
    <hyperlink ref="L72" r:id="rId84" tooltip="open NCSU Facts page of this plant in a browser" xr:uid="{00000000-0004-0000-0000-00005D010000}"/>
    <hyperlink ref="K80" r:id="rId85" tooltip="open Google Images page of this plant in a browser" xr:uid="{00000000-0004-0000-0000-000022010000}"/>
    <hyperlink ref="L80" r:id="rId86" tooltip="open NCSU Facts page of this plant in a browser" xr:uid="{00000000-0004-0000-0000-000021010000}"/>
    <hyperlink ref="K62" r:id="rId87" tooltip="open Google Images page of this plant in a browser" xr:uid="{00000000-0004-0000-0000-000088000000}"/>
    <hyperlink ref="L87" r:id="rId88" tooltip="open NCSU Facts page of this plant in a browser" xr:uid="{00000000-0004-0000-0000-000044000000}"/>
    <hyperlink ref="K87" r:id="rId89" tooltip="open Google Images page of this plant in a browser" xr:uid="{00000000-0004-0000-0000-000027000000}"/>
    <hyperlink ref="K108" r:id="rId90" tooltip="open Google Images page of this plant in a browser" xr:uid="{A4E795AD-C6B7-40D6-961C-0E220D6D12E2}"/>
    <hyperlink ref="L108" r:id="rId91" tooltip="open NCSU Facts page of this plant in a browser" xr:uid="{D6800E49-3DDE-44BC-99E0-ED56D690C9DD}"/>
    <hyperlink ref="K16" r:id="rId92" tooltip="open Google Images page of this plant in a browser" xr:uid="{162399E8-2B3F-4828-948A-D37F9B6AE636}"/>
    <hyperlink ref="L16" r:id="rId93" tooltip="open NCSU Facts page of this plant in a browser" xr:uid="{02CD495B-8650-4655-85F0-318E85FC997C}"/>
    <hyperlink ref="R16" location="Quote!X71" tooltip="this is a Native plant, that naturally grows in our area, or, it is a cultivar of a Native plant, so it should be well suited" display="N" xr:uid="{426B34F3-1B75-4207-8CAA-5C499CD53452}"/>
    <hyperlink ref="R16:T16" location="Loblolly_Pine" tooltip="this is a Native plant, that naturally grows in our area ~ OR ~ it is a cultivar of a Native plant, so it should be well suited" display="N" xr:uid="{4F014965-DDC8-40C7-B69A-BE1109251CFE}"/>
    <hyperlink ref="K19" r:id="rId94" tooltip="open Google Images page of this plant in a browser" xr:uid="{00000000-0004-0000-0000-000009020000}"/>
    <hyperlink ref="L19" r:id="rId95" tooltip="open NCSU Facts page of this plant in a browser" xr:uid="{00000000-0004-0000-0000-00000A020000}"/>
    <hyperlink ref="R11:T11" location="Loblolly_Pine" tooltip="this is a Native plant, that naturally grows in our area ~ OR ~ it is a cultivar of a Native plant, so it should be well suited" display="N" xr:uid="{00000000-0004-0000-0000-000023050000}"/>
    <hyperlink ref="R11" location="Quote!X71" tooltip="this is a Native plant, that naturally grows in our area, or, it is a cultivar of a Native plant, so it should be well suited" display="N" xr:uid="{00000000-0004-0000-0000-000022050000}"/>
    <hyperlink ref="L11" r:id="rId96" tooltip="open NCSU Facts page of this plant in a browser" xr:uid="{00000000-0004-0000-0000-000042000000}"/>
    <hyperlink ref="K11" r:id="rId97" tooltip="open Google Images page of this plant in a browser" xr:uid="{00000000-0004-0000-0000-000026000000}"/>
    <hyperlink ref="B1785" r:id="rId98" display="Mike@Trees2Go.com" xr:uid="{1A7BEF62-FD89-44B9-90B3-89F24B6C3BA2}"/>
    <hyperlink ref="K682" r:id="rId99" tooltip="open Google Images page of this plant in a browser" xr:uid="{00000000-0004-0000-0000-000090030000}"/>
    <hyperlink ref="L682" r:id="rId100" tooltip="open NCSU Facts page of this plant in a browser" xr:uid="{00000000-0004-0000-0000-0000D5030000}"/>
    <hyperlink ref="R322:T322" location="White_Oak" tooltip="this is a Native plant, that naturally grows in our area ~ OR ~ it is a cultivar of a Native plant, so it should be well suited" display="N" xr:uid="{00000000-0004-0000-0000-000064040000}"/>
    <hyperlink ref="R322" location="Quote!X71" tooltip="this is a Native plant, that naturally grows in our area, or, it is a cultivar of a Native plant, so it should be well suited" display="N" xr:uid="{00000000-0004-0000-0000-000063040000}"/>
    <hyperlink ref="L322" r:id="rId101" tooltip="open NCSU Facts page of this plant in a browser" xr:uid="{00000000-0004-0000-0000-000011020000}"/>
    <hyperlink ref="K322" r:id="rId102" tooltip="open Google Images page of this plant in a browser" xr:uid="{00000000-0004-0000-0000-000010020000}"/>
    <hyperlink ref="K665" r:id="rId103" tooltip="open Google Images page of this plant in a browser" xr:uid="{00000000-0004-0000-0000-0000AB000000}"/>
    <hyperlink ref="L665" r:id="rId104" tooltip="open NCSU Facts page of this plant in a browser" xr:uid="{00000000-0004-0000-0000-0000AC000000}"/>
    <hyperlink ref="L588" r:id="rId105" tooltip="open NCSU Facts page of this plant in a browser" xr:uid="{7667B1C8-8679-493E-9ACD-355D330DCA5C}"/>
    <hyperlink ref="K588" r:id="rId106" tooltip="open Google Images page of this plant in a browser" xr:uid="{1919358C-D6C9-4BA9-881C-5D7739F864B6}"/>
    <hyperlink ref="K508" r:id="rId107" tooltip="open Google Images page of this plant in a browser" xr:uid="{00000000-0004-0000-0000-00000A000000}"/>
    <hyperlink ref="L508" r:id="rId108" tooltip="open NCSU Facts page of this plant in a browser" xr:uid="{00000000-0004-0000-0000-000050000000}"/>
    <hyperlink ref="M635:N635" r:id="rId109" tooltip="open Grower Four inventory in a browser" display="Grower 4" xr:uid="{91666199-5C6C-43B5-B019-DBB6BD73817D}"/>
    <hyperlink ref="M635" r:id="rId110" tooltip="open Grower Two inventory in a browser" xr:uid="{328F0EE4-FEE8-49E1-8301-7844670FBEAF}"/>
    <hyperlink ref="K633" r:id="rId111" tooltip="open Google Images page of this plant in a browser" xr:uid="{382EC48B-FEF6-4B64-9114-B653C70501B3}"/>
    <hyperlink ref="L633" r:id="rId112" tooltip="open NCSU Facts page of this plant in a browser" xr:uid="{1DCFD240-2F01-42E8-BFD4-6B9D91E61A92}"/>
    <hyperlink ref="M400:N400" r:id="rId113" tooltip="open Grower Four inventory in a browser" display="Grower 4" xr:uid="{00000000-0004-0000-0000-0000F3040000}"/>
    <hyperlink ref="R451:T451" location="American_Hornbeam" tooltip="this is a Native plant, that naturally grows in our area ~ OR ~ it is a cultivar of a Native plant, so it should be well suited" display="N" xr:uid="{00000000-0004-0000-0000-0000A6040000}"/>
    <hyperlink ref="R451" location="Quote!X71" tooltip="this is a Native plant, that naturally grows in our area, or, it is a cultivar of a Native plant, so it should be well suited" display="N" xr:uid="{00000000-0004-0000-0000-0000A5040000}"/>
    <hyperlink ref="R428:T428" location="Dura_Heat_River_Birch" tooltip="this is a Native plant, that naturally grows in our area ~ OR ~ it is a cultivar of a Native plant, so it should be well suited" display="N" xr:uid="{00000000-0004-0000-0000-0000A2040000}"/>
    <hyperlink ref="R428" location="Quote!X71" tooltip="this is a Native plant, that naturally grows in our area, or, it is a cultivar of a Native plant, so it should be well suited" display="N" xr:uid="{00000000-0004-0000-0000-0000A1040000}"/>
    <hyperlink ref="R424:T424" location="Brandywine_Red_Maple" tooltip="this is a Native plant, that naturally grows in our area ~ OR ~ it is a cultivar of a Native plant, so it should be well suited" display="N" xr:uid="{00000000-0004-0000-0000-0000A0040000}"/>
    <hyperlink ref="R424" location="Quote!X71" tooltip="this is a Native plant, that naturally grows in our area, or, it is a cultivar of a Native plant, so it should be well suited" display="N" xr:uid="{00000000-0004-0000-0000-00009F040000}"/>
    <hyperlink ref="R420:T420" location="October_Glory_Red_Maple" tooltip="this is a Native plant, that naturally grows in our area ~ OR ~ it is a cultivar of a Native plant, so it should be well suited" display="N" xr:uid="{00000000-0004-0000-0000-00009E040000}"/>
    <hyperlink ref="R420" location="Quote!X71" tooltip="this is a Native plant, that naturally grows in our area, or, it is a cultivar of a Native plant, so it should be well suited" display="N" xr:uid="{00000000-0004-0000-0000-00009D040000}"/>
    <hyperlink ref="R411:T411" location="Redpointe__Red_Maple" tooltip="this is a Native plant, that naturally grows in our area ~ OR ~ it is a cultivar of a Native plant, so it should be well suited" display="N" xr:uid="{00000000-0004-0000-0000-00009C040000}"/>
    <hyperlink ref="R411" location="Quote!X71" tooltip="this is a Native plant, that naturally grows in our area, or, it is a cultivar of a Native plant, so it should be well suited" display="N" xr:uid="{00000000-0004-0000-0000-00009B040000}"/>
    <hyperlink ref="R404:T404" location="Green_Gable_Black_Gum" tooltip="this is a Native plant, that naturally grows in our area ~ OR ~ it is a cultivar of a Native plant, so it should be well suited" display="N" xr:uid="{00000000-0004-0000-0000-00009A040000}"/>
    <hyperlink ref="R404" location="Quote!X71" tooltip="this is a Native plant, that naturally grows in our area, or, it is a cultivar of a Native plant, so it should be well suited" display="N" xr:uid="{00000000-0004-0000-0000-000099040000}"/>
    <hyperlink ref="R392:T392" location="Autumn_Gold_Ginkgo" tooltip="this is a Native plant, that naturally grows in our area ~ OR ~ it is a cultivar of a Native plant, so it should be well suited" display="N" xr:uid="{00000000-0004-0000-0000-000096040000}"/>
    <hyperlink ref="R392" location="Quote!X71" tooltip="this is a Native plant, that naturally grows in our area, or, it is a cultivar of a Native plant, so it should be well suited" display="N" xr:uid="{00000000-0004-0000-0000-000095040000}"/>
    <hyperlink ref="R383:T383" location="Sun_Valley_Red_Maple" tooltip="this is a Native plant, that naturally grows in our area ~ OR ~ it is a cultivar of a Native plant, so it should be well suited" display="N" xr:uid="{00000000-0004-0000-0000-000094040000}"/>
    <hyperlink ref="R383" location="Quote!X71" tooltip="this is a Native plant, that naturally grows in our area, or, it is a cultivar of a Native plant, so it should be well suited" display="N" xr:uid="{00000000-0004-0000-0000-000093040000}"/>
    <hyperlink ref="R369:T369" location="Legacy_Sugar_Maple" tooltip="this is a Native plant, that naturally grows in our area ~ OR ~ it is a cultivar of a Native plant, so it should be well suited" display="N" xr:uid="{00000000-0004-0000-0000-00008E040000}"/>
    <hyperlink ref="R369" location="Quote!X71" tooltip="this is a Native plant, that naturally grows in our area, or, it is a cultivar of a Native plant, so it should be well suited" display="N" xr:uid="{00000000-0004-0000-0000-00008D040000}"/>
    <hyperlink ref="R346:T346" location="American_Beech" tooltip="this is a Native plant, that naturally grows in our area ~ OR ~ it is a cultivar of a Native plant, so it should be well suited" display="N" xr:uid="{00000000-0004-0000-0000-00008C040000}"/>
    <hyperlink ref="R346" location="Quote!X71" tooltip="this is a Native plant, that naturally grows in our area, or, it is a cultivar of a Native plant, so it should be well suited" display="N" xr:uid="{00000000-0004-0000-0000-00008B040000}"/>
    <hyperlink ref="R328:T328" location="Bald_Cypress" tooltip="this is a Native plant, that naturally grows in our area ~ OR ~ it is a cultivar of a Native plant, so it should be well suited" display="N" xr:uid="{00000000-0004-0000-0000-00008A040000}"/>
    <hyperlink ref="R328" location="Quote!X71" tooltip="this is a Native plant, that naturally grows in our area, or, it is a cultivar of a Native plant, so it should be well suited" display="N" xr:uid="{00000000-0004-0000-0000-000089040000}"/>
    <hyperlink ref="R377:T377" location="Willow_Oak" tooltip="this is a Native plant, that naturally grows in our area ~ OR ~ it is a cultivar of a Native plant, so it should be well suited" display="N" xr:uid="{00000000-0004-0000-0000-000072040000}"/>
    <hyperlink ref="R377" location="Quote!X71" tooltip="this is a Native plant, that naturally grows in our area, or, it is a cultivar of a Native plant, so it should be well suited" display="N" xr:uid="{00000000-0004-0000-0000-000071040000}"/>
    <hyperlink ref="R362:T362" location="Shumard_Oak" tooltip="this is a Native plant, that naturally grows in our area ~ OR ~ it is a cultivar of a Native plant, so it should be well suited" display="N" xr:uid="{00000000-0004-0000-0000-00006E040000}"/>
    <hyperlink ref="R362" location="Quote!X71" tooltip="this is a Native plant, that naturally grows in our area, or, it is a cultivar of a Native plant, so it should be well suited" display="N" xr:uid="{00000000-0004-0000-0000-00006D040000}"/>
    <hyperlink ref="R359:T359" location="Pin_Oak" tooltip="this is a Native plant, that naturally grows in our area ~ OR ~ it is a cultivar of a Native plant, so it should be well suited" display="N" xr:uid="{00000000-0004-0000-0000-00006C040000}"/>
    <hyperlink ref="R359" location="Quote!X71" tooltip="this is a Native plant, that naturally grows in our area, or, it is a cultivar of a Native plant, so it should be well suited" display="N" xr:uid="{00000000-0004-0000-0000-00006B040000}"/>
    <hyperlink ref="R338:T338" location="Overcup_Oak" tooltip="this is a Native plant, that naturally grows in our area ~ OR ~ it is a cultivar of a Native plant, so it should be well suited" display="N" xr:uid="{00000000-0004-0000-0000-00006A040000}"/>
    <hyperlink ref="R338" location="Quote!X71" tooltip="this is a Native plant, that naturally grows in our area, or, it is a cultivar of a Native plant, so it should be well suited" display="N" xr:uid="{00000000-0004-0000-0000-000069040000}"/>
    <hyperlink ref="R333:T333" location="Nuttall_Oak" tooltip="this is a Native plant, that naturally grows in our area ~ OR ~ it is a cultivar of a Native plant, so it should be well suited" display="N" xr:uid="{00000000-0004-0000-0000-000068040000}"/>
    <hyperlink ref="R333" location="Quote!X71" tooltip="this is a Native plant, that naturally grows in our area, or, it is a cultivar of a Native plant, so it should be well suited" display="N" xr:uid="{00000000-0004-0000-0000-000067040000}"/>
    <hyperlink ref="Q671:R671" location="TOP" tooltip="go to top of this page, to categories list" display="top of page" xr:uid="{00000000-0004-0000-0000-000026040000}"/>
    <hyperlink ref="Q671" location="TOP" tooltip="go to top of sheet" display="go to top" xr:uid="{00000000-0004-0000-0000-000025040000}"/>
    <hyperlink ref="Q584:R584" location="TOP" tooltip="go to top of this page, to categories list" display="top of page" xr:uid="{00000000-0004-0000-0000-000020040000}"/>
    <hyperlink ref="Q584" location="TOP" tooltip="go to top of sheet" display="go to top" xr:uid="{00000000-0004-0000-0000-00001F040000}"/>
    <hyperlink ref="Q518:R518" location="TOP" tooltip="go to top of this page, to categories list" display="top of page" xr:uid="{00000000-0004-0000-0000-00001C040000}"/>
    <hyperlink ref="Q518" location="TOP" tooltip="go to top of sheet" display="go to top" xr:uid="{00000000-0004-0000-0000-00001B040000}"/>
    <hyperlink ref="Q455:R455" location="TOP" tooltip="go to top of this page, to categories list" display="top of page" xr:uid="{00000000-0004-0000-0000-000016040000}"/>
    <hyperlink ref="Q455" location="TOP" tooltip="go to top of sheet" display="go to top" xr:uid="{00000000-0004-0000-0000-000015040000}"/>
    <hyperlink ref="Q391:R391" location="TOP" tooltip="go to top of this page, to categories list" display="top of page" xr:uid="{00000000-0004-0000-0000-000012040000}"/>
    <hyperlink ref="Q391" location="TOP" tooltip="go to top of sheet" display="go to top" xr:uid="{00000000-0004-0000-0000-000011040000}"/>
    <hyperlink ref="Q361:R361" location="TOP" tooltip="go to top of this page, to categories list" display="top of page" xr:uid="{00000000-0004-0000-0000-00000E040000}"/>
    <hyperlink ref="Q361" location="TOP" tooltip="go to top of sheet" display="go to top" xr:uid="{00000000-0004-0000-0000-00000D040000}"/>
    <hyperlink ref="Q341:R341" location="TOP" tooltip="go to top of this page, to categories list" display="top of page" xr:uid="{00000000-0004-0000-0000-00000C040000}"/>
    <hyperlink ref="Q341" location="TOP" tooltip="go to top of sheet" display="go to top" xr:uid="{00000000-0004-0000-0000-00000B040000}"/>
    <hyperlink ref="L672" r:id="rId114" tooltip="open NCSU Facts page of this plant in a browser" xr:uid="{00000000-0004-0000-0000-0000D4030000}"/>
    <hyperlink ref="L535" r:id="rId115" tooltip="open NCSU Facts page of this plant in a browser" xr:uid="{00000000-0004-0000-0000-0000D1030000}"/>
    <hyperlink ref="K535" r:id="rId116" tooltip="open Google Images page of this plant in a browser" xr:uid="{00000000-0004-0000-0000-0000D0030000}"/>
    <hyperlink ref="M400" r:id="rId117" tooltip="open Grower Two inventory in a browser" xr:uid="{00000000-0004-0000-0000-0000BB030000}"/>
    <hyperlink ref="K392" r:id="rId118" tooltip="open Google Images page of this plant in a browser" xr:uid="{00000000-0004-0000-0000-0000BA030000}"/>
    <hyperlink ref="L392" r:id="rId119" tooltip="open NCSU Facts page of this plant in a browser" xr:uid="{00000000-0004-0000-0000-0000B9030000}"/>
    <hyperlink ref="L466" r:id="rId120" tooltip="open NCSU Facts page of this plant in a browser" xr:uid="{00000000-0004-0000-0000-0000A7030000}"/>
    <hyperlink ref="L490" r:id="rId121" tooltip="open my photo of neighbor's Muskogee &amp; Natchez trees planted together" xr:uid="{00000000-0004-0000-0000-0000A1030000}"/>
    <hyperlink ref="L388" r:id="rId122" tooltip="open NCSU Facts page of this plant in a browser" xr:uid="{00000000-0004-0000-0000-000006020000}"/>
    <hyperlink ref="K388" r:id="rId123" tooltip="open Google Images page of this plant in a browser" xr:uid="{00000000-0004-0000-0000-000005020000}"/>
    <hyperlink ref="K369" r:id="rId124" tooltip="open Google Images page of this plant in a browser" xr:uid="{00000000-0004-0000-0000-0000FA010000}"/>
    <hyperlink ref="L369" r:id="rId125" tooltip="open NCSU Facts page of this plant in a browser" xr:uid="{00000000-0004-0000-0000-0000F9010000}"/>
    <hyperlink ref="L524" r:id="rId126" tooltip="open NCSU Facts page of this plant in a browser" xr:uid="{00000000-0004-0000-0000-0000D1010000}"/>
    <hyperlink ref="K524" r:id="rId127" tooltip="open Google Images page of this plant in a browser" xr:uid="{00000000-0004-0000-0000-0000D0010000}"/>
    <hyperlink ref="L579" r:id="rId128" tooltip="open NCSU Facts page of this plant in a browser" xr:uid="{00000000-0004-0000-0000-0000CF010000}"/>
    <hyperlink ref="K579" r:id="rId129" tooltip="open Google Images page of this plant in a browser" xr:uid="{00000000-0004-0000-0000-0000CE010000}"/>
    <hyperlink ref="L636" r:id="rId130" tooltip="open NCSU Facts page of this plant in a browser" xr:uid="{00000000-0004-0000-0000-0000CD010000}"/>
    <hyperlink ref="K636" r:id="rId131" tooltip="open Google Images page of this plant in a browser" xr:uid="{00000000-0004-0000-0000-0000CC010000}"/>
    <hyperlink ref="L354" r:id="rId132" tooltip="open NCSU Facts page of this plant in a browser" xr:uid="{00000000-0004-0000-0000-0000BB010000}"/>
    <hyperlink ref="L333" r:id="rId133" tooltip="open NCSU Facts page of this plant in a browser" xr:uid="{00000000-0004-0000-0000-0000BA010000}"/>
    <hyperlink ref="L610" r:id="rId134" tooltip="open NCSU Facts page of this plant in a browser" xr:uid="{00000000-0004-0000-0000-0000B0010000}"/>
    <hyperlink ref="K610" r:id="rId135" tooltip="open Google Images page of this plant in a browser" xr:uid="{00000000-0004-0000-0000-0000AF010000}"/>
    <hyperlink ref="K404" r:id="rId136" tooltip="open Google Images page of this plant in a browser" xr:uid="{00000000-0004-0000-0000-0000A4010000}"/>
    <hyperlink ref="L404" r:id="rId137" tooltip="open NCSU Facts page of this plant in a browser" xr:uid="{00000000-0004-0000-0000-0000A3010000}"/>
    <hyperlink ref="K333" r:id="rId138" tooltip="open Google Images page of this plant in a browser" xr:uid="{00000000-0004-0000-0000-000085010000}"/>
    <hyperlink ref="K338" r:id="rId139" tooltip="open Google Images page of this plant in a browser" xr:uid="{00000000-0004-0000-0000-000084010000}"/>
    <hyperlink ref="K346" r:id="rId140" tooltip="open Google Images page of this plant in a browser" xr:uid="{00000000-0004-0000-0000-000083010000}"/>
    <hyperlink ref="K354" r:id="rId141" tooltip="open Google Images page of this plant in a browser" xr:uid="{00000000-0004-0000-0000-000082010000}"/>
    <hyperlink ref="K359" r:id="rId142" tooltip="open Google Images page of this plant in a browser" xr:uid="{00000000-0004-0000-0000-000081010000}"/>
    <hyperlink ref="K362" r:id="rId143" tooltip="open Google Images page of this plant in a browser" xr:uid="{00000000-0004-0000-0000-000080010000}"/>
    <hyperlink ref="K374" r:id="rId144" tooltip="open Google Images page of this plant in a browser" xr:uid="{00000000-0004-0000-0000-00007E010000}"/>
    <hyperlink ref="K377" r:id="rId145" tooltip="open Google Images page of this plant in a browser" xr:uid="{00000000-0004-0000-0000-00007D010000}"/>
    <hyperlink ref="K383" r:id="rId146" tooltip="open Google Images page of this plant in a browser" xr:uid="{00000000-0004-0000-0000-000079010000}"/>
    <hyperlink ref="K407" r:id="rId147" tooltip="open Google Images page of this plant in a browser" xr:uid="{00000000-0004-0000-0000-000078010000}"/>
    <hyperlink ref="K411" r:id="rId148" tooltip="open Google Images page of this plant in a browser" xr:uid="{00000000-0004-0000-0000-000077010000}"/>
    <hyperlink ref="K420" r:id="rId149" tooltip="open Google Images page of this plant in a browser" xr:uid="{00000000-0004-0000-0000-000076010000}"/>
    <hyperlink ref="K424" r:id="rId150" tooltip="open Google Images page of this plant in a browser" xr:uid="{00000000-0004-0000-0000-000075010000}"/>
    <hyperlink ref="K328" r:id="rId151" tooltip="open Google Images page of this plant in a browser" xr:uid="{00000000-0004-0000-0000-000073010000}"/>
    <hyperlink ref="K428" r:id="rId152" tooltip="open Google Images page of this plant in a browser" xr:uid="{00000000-0004-0000-0000-000072010000}"/>
    <hyperlink ref="K434" r:id="rId153" tooltip="open Google Images page of this plant in a browser" xr:uid="{00000000-0004-0000-0000-000070010000}"/>
    <hyperlink ref="K451" r:id="rId154" tooltip="open Google Images page of this plant in a browser" xr:uid="{00000000-0004-0000-0000-00006F010000}"/>
    <hyperlink ref="K342" r:id="rId155" tooltip="open Google Images page of this plant in a browser" xr:uid="{00000000-0004-0000-0000-00006C010000}"/>
    <hyperlink ref="K417" r:id="rId156" tooltip="open Google Images page of this plant in a browser" xr:uid="{00000000-0004-0000-0000-000068010000}"/>
    <hyperlink ref="L328" r:id="rId157" tooltip="open NCSU Facts page of this plant in a browser" xr:uid="{00000000-0004-0000-0000-00004C010000}"/>
    <hyperlink ref="L338" r:id="rId158" tooltip="open NCSU Facts page of this plant in a browser" xr:uid="{00000000-0004-0000-0000-00004B010000}"/>
    <hyperlink ref="L342" r:id="rId159" tooltip="open NCSU Facts page of this plant in a browser" xr:uid="{00000000-0004-0000-0000-00004A010000}"/>
    <hyperlink ref="L346" r:id="rId160" tooltip="open NCSU Facts page of this plant in a browser" xr:uid="{00000000-0004-0000-0000-000049010000}"/>
    <hyperlink ref="L359" r:id="rId161" tooltip="open NCSU Facts page of this plant in a browser" xr:uid="{00000000-0004-0000-0000-000048010000}"/>
    <hyperlink ref="L362" r:id="rId162" tooltip="open NCSU Facts page of this plant in a browser" xr:uid="{00000000-0004-0000-0000-000047010000}"/>
    <hyperlink ref="L377" r:id="rId163" tooltip="open NCSU Facts page of this plant in a browser" xr:uid="{00000000-0004-0000-0000-000045010000}"/>
    <hyperlink ref="L383" r:id="rId164" tooltip="open NCSU Facts page of this plant in a browser" xr:uid="{00000000-0004-0000-0000-000040010000}"/>
    <hyperlink ref="L428" r:id="rId165" tooltip="open NCSU Facts page of this plant in a browser" xr:uid="{00000000-0004-0000-0000-00003F010000}"/>
    <hyperlink ref="L407" r:id="rId166" tooltip="open NCSU Facts page of this plant in a browser" xr:uid="{00000000-0004-0000-0000-00003D010000}"/>
    <hyperlink ref="L411" r:id="rId167" tooltip="open NCSU Facts page of this plant in a browser" xr:uid="{00000000-0004-0000-0000-00003C010000}"/>
    <hyperlink ref="L420" r:id="rId168" tooltip="open NCSU Facts page of this plant in a browser" xr:uid="{00000000-0004-0000-0000-00003A010000}"/>
    <hyperlink ref="L417" r:id="rId169" tooltip="open NCSU Facts page of this plant in a browser" xr:uid="{00000000-0004-0000-0000-000039010000}"/>
    <hyperlink ref="L434" r:id="rId170" tooltip="open NCSU Facts page of this plant in a browser" xr:uid="{00000000-0004-0000-0000-000038010000}"/>
    <hyperlink ref="L424" r:id="rId171" tooltip="open NCSU Facts page of this plant in a browser" xr:uid="{00000000-0004-0000-0000-000037010000}"/>
    <hyperlink ref="L451" r:id="rId172" tooltip="open NCSU Facts page of this plant in a browser" xr:uid="{00000000-0004-0000-0000-000036010000}"/>
    <hyperlink ref="L374" r:id="rId173" tooltip="open NCSU Facts page of this plant in a browser" xr:uid="{00000000-0004-0000-0000-000035010000}"/>
    <hyperlink ref="L503" r:id="rId174" tooltip="open NCSU Facts page of this plant in a browser" xr:uid="{00000000-0004-0000-0000-000007010000}"/>
    <hyperlink ref="K503" r:id="rId175" tooltip="open Google Images page of this plant in a browser" xr:uid="{00000000-0004-0000-0000-000006010000}"/>
    <hyperlink ref="K672" r:id="rId176" tooltip="open Google Images page of this plant in a browser" xr:uid="{00000000-0004-0000-0000-0000FA000000}"/>
    <hyperlink ref="L679" r:id="rId177" tooltip="open NCSU Facts page of this plant in a browser" xr:uid="{00000000-0004-0000-0000-0000F9000000}"/>
    <hyperlink ref="K679" r:id="rId178" tooltip="open Google Images page of this plant in a browser" xr:uid="{00000000-0004-0000-0000-0000F8000000}"/>
    <hyperlink ref="L620" r:id="rId179" tooltip="open NCSU Facts page of this plant in a browser" xr:uid="{00000000-0004-0000-0000-0000F3000000}"/>
    <hyperlink ref="K620" r:id="rId180" tooltip="open Google Images page of this plant in a browser" xr:uid="{00000000-0004-0000-0000-0000F2000000}"/>
    <hyperlink ref="L499" r:id="rId181" tooltip="open NCSU Facts page of this plant in a browser" xr:uid="{00000000-0004-0000-0000-000081000000}"/>
    <hyperlink ref="L554" r:id="rId182" tooltip="open NCSU Facts page of this plant in a browser" xr:uid="{00000000-0004-0000-0000-000080000000}"/>
    <hyperlink ref="L550" r:id="rId183" tooltip="open NCSU Facts page of this plant in a browser" xr:uid="{00000000-0004-0000-0000-00007F000000}"/>
    <hyperlink ref="K550" r:id="rId184" tooltip="open Google Images page of this plant in a browser" xr:uid="{00000000-0004-0000-0000-00007E000000}"/>
    <hyperlink ref="L669" r:id="rId185" tooltip="open NCSU Facts page of this plant in a browser" xr:uid="{00000000-0004-0000-0000-000072000000}"/>
    <hyperlink ref="K669" r:id="rId186" tooltip="open Google Images page of this plant in a browser" xr:uid="{00000000-0004-0000-0000-000071000000}"/>
    <hyperlink ref="L661" r:id="rId187" tooltip="open NCSU Facts page of this plant in a browser" xr:uid="{00000000-0004-0000-0000-000064000000}"/>
    <hyperlink ref="L657" r:id="rId188" tooltip="open NCSU Facts page of this plant in a browser" xr:uid="{00000000-0004-0000-0000-000063000000}"/>
    <hyperlink ref="L648" r:id="rId189" tooltip="open NCSU Facts page of this plant in a browser" xr:uid="{00000000-0004-0000-0000-00005E000000}"/>
    <hyperlink ref="L644" r:id="rId190" tooltip="open NCSU Facts page of this plant in a browser" xr:uid="{00000000-0004-0000-0000-00005D000000}"/>
    <hyperlink ref="L576" r:id="rId191" tooltip="open NCSU Facts page of this plant in a browser" xr:uid="{00000000-0004-0000-0000-00005C000000}"/>
    <hyperlink ref="L606" r:id="rId192" tooltip="open NCSU Facts page of this plant in a browser" xr:uid="{00000000-0004-0000-0000-00005B000000}"/>
    <hyperlink ref="L591" r:id="rId193" tooltip="open NCSU Facts page of this plant in a browser" xr:uid="{00000000-0004-0000-0000-000059000000}"/>
    <hyperlink ref="L582" r:id="rId194" tooltip="open NCSU Facts page of this plant in a browser" xr:uid="{00000000-0004-0000-0000-000058000000}"/>
    <hyperlink ref="L568" r:id="rId195" tooltip="open NCSU Facts page of this plant in a browser" xr:uid="{00000000-0004-0000-0000-000057000000}"/>
    <hyperlink ref="L519" r:id="rId196" tooltip="open NCSU Facts page of this plant in a browser" xr:uid="{00000000-0004-0000-0000-000053000000}"/>
    <hyperlink ref="L511" r:id="rId197" tooltip="open NCSU Facts page of this plant in a browser" xr:uid="{00000000-0004-0000-0000-000051000000}"/>
    <hyperlink ref="L479" r:id="rId198" tooltip="open NCSU Facts page of this plant in a browser" xr:uid="{00000000-0004-0000-0000-00004F000000}"/>
    <hyperlink ref="L485" r:id="rId199" tooltip="open NCSU Facts page of this plant in a browser" xr:uid="{00000000-0004-0000-0000-00004E000000}"/>
    <hyperlink ref="L474" r:id="rId200" tooltip="open NCSU Facts page of this plant in a browser" xr:uid="{00000000-0004-0000-0000-00004D000000}"/>
    <hyperlink ref="L446" r:id="rId201" tooltip="open NCSU Facts page of this plant in a browser" xr:uid="{00000000-0004-0000-0000-00004B000000}"/>
    <hyperlink ref="L439" r:id="rId202" tooltip="open NCSU Facts page of this plant in a browser" xr:uid="{00000000-0004-0000-0000-00004A000000}"/>
    <hyperlink ref="K657" r:id="rId203" tooltip="open Google Images page of this plant in a browser" xr:uid="{00000000-0004-0000-0000-00003D000000}"/>
    <hyperlink ref="K661" r:id="rId204" tooltip="open Google Images page of this plant in a browser" xr:uid="{00000000-0004-0000-0000-00003C000000}"/>
    <hyperlink ref="K439" r:id="rId205" tooltip="open Google Images page of this plant in a browser" xr:uid="{00000000-0004-0000-0000-00003A000000}"/>
    <hyperlink ref="K644" r:id="rId206" tooltip="open Google Images page of this plant in a browser" xr:uid="{00000000-0004-0000-0000-000037000000}"/>
    <hyperlink ref="K648" r:id="rId207" tooltip="open Google Images page of this plant in a browser" xr:uid="{00000000-0004-0000-0000-000018000000}"/>
    <hyperlink ref="K576" r:id="rId208" tooltip="open Google Images page of this plant in a browser" xr:uid="{00000000-0004-0000-0000-000017000000}"/>
    <hyperlink ref="K606" r:id="rId209" tooltip="open Google Images page of this plant in a browser" xr:uid="{00000000-0004-0000-0000-000016000000}"/>
    <hyperlink ref="K591" r:id="rId210" tooltip="open Google Images page of this plant in a browser" xr:uid="{00000000-0004-0000-0000-000014000000}"/>
    <hyperlink ref="K582" r:id="rId211" tooltip="open Google Images page of this plant in a browser" xr:uid="{00000000-0004-0000-0000-000013000000}"/>
    <hyperlink ref="K568" r:id="rId212" tooltip="open Google Images page of this plant in a browser" xr:uid="{00000000-0004-0000-0000-000012000000}"/>
    <hyperlink ref="K554" r:id="rId213" tooltip="open Google Images page of this plant in a browser" xr:uid="{00000000-0004-0000-0000-000010000000}"/>
    <hyperlink ref="K519" r:id="rId214" tooltip="open Google Images page of this plant in a browser" xr:uid="{00000000-0004-0000-0000-00000C000000}"/>
    <hyperlink ref="K511" r:id="rId215" tooltip="open Google Images page of this plant in a browser" xr:uid="{00000000-0004-0000-0000-00000B000000}"/>
    <hyperlink ref="K499" r:id="rId216" tooltip="open Google Images page of this plant in a browser" xr:uid="{00000000-0004-0000-0000-000009000000}"/>
    <hyperlink ref="K479" r:id="rId217" tooltip="open Google Images page of this plant in a browser" xr:uid="{00000000-0004-0000-0000-000008000000}"/>
    <hyperlink ref="K485" r:id="rId218" tooltip="open Google Images page of this plant in a browser" xr:uid="{00000000-0004-0000-0000-000007000000}"/>
    <hyperlink ref="K446" r:id="rId219" tooltip="open Google Images page of this plant in a browser" xr:uid="{00000000-0004-0000-0000-000005000000}"/>
    <hyperlink ref="K474" r:id="rId220" tooltip="open Google Images page of this plant in a browser" xr:uid="{00000000-0004-0000-0000-000004000000}"/>
    <hyperlink ref="L531" r:id="rId221" tooltip="open NCSU Facts page of this plant in a browser" xr:uid="{766656A2-CE69-4ABA-9710-658C93457F4B}"/>
    <hyperlink ref="K531" r:id="rId222" tooltip="open Google Images page of this plant in a browser" xr:uid="{5AA7E5CD-8BAD-4E2A-8F64-0B1C216AE084}"/>
    <hyperlink ref="K296" r:id="rId223" tooltip="open Google Images page of this plant in a browser" xr:uid="{AED3B8F2-0644-45DE-9199-450CDB8B8954}"/>
    <hyperlink ref="L296" r:id="rId224" tooltip="open NCSU Facts page of this plant in a browser" xr:uid="{D5881E0E-E1A9-41BA-9A65-50357638F0EF}"/>
    <hyperlink ref="L1238" r:id="rId225" tooltip="open NCSU Facts page of this plant in a browser" xr:uid="{DE55E8E4-6ED3-4FA5-926D-C929DC745B5B}"/>
    <hyperlink ref="K1238" r:id="rId226" tooltip="open Google Images page of this plant in a browser" xr:uid="{38E7C3C8-BD3E-42DF-86D3-FE4F84CE40F1}"/>
    <hyperlink ref="Q847:R847" location="TOP" tooltip="go to top of this page, to categories list" display="top of page" xr:uid="{00000000-0004-0000-0000-00002E040000}"/>
    <hyperlink ref="Q847" location="TOP" tooltip="go to top of sheet" display="go to top" xr:uid="{00000000-0004-0000-0000-00002D040000}"/>
    <hyperlink ref="Q814:R814" location="TOP" tooltip="go to top of this page, to categories list" display="top of page" xr:uid="{00000000-0004-0000-0000-00002C040000}"/>
    <hyperlink ref="Q814" location="TOP" tooltip="go to top of sheet" display="go to top" xr:uid="{00000000-0004-0000-0000-00002B040000}"/>
    <hyperlink ref="Q743:R743" location="TOP" tooltip="go to top of this page, to categories list" display="top of page" xr:uid="{00000000-0004-0000-0000-000028040000}"/>
    <hyperlink ref="Q743" location="TOP" tooltip="go to top of sheet" display="go to top" xr:uid="{00000000-0004-0000-0000-000027040000}"/>
    <hyperlink ref="L709" r:id="rId227" tooltip="open NCSU Facts page of this plant in a browser" xr:uid="{00000000-0004-0000-0000-0000CD030000}"/>
    <hyperlink ref="K709" r:id="rId228" tooltip="open Google Images page of this plant in a browser" xr:uid="{00000000-0004-0000-0000-0000CC030000}"/>
    <hyperlink ref="K776" r:id="rId229" tooltip="open Google Images page of this plant in a browser" xr:uid="{00000000-0004-0000-0000-0000C1030000}"/>
    <hyperlink ref="L776" r:id="rId230" tooltip="open NCSU Facts page of this plant in a browser" xr:uid="{00000000-0004-0000-0000-0000C0030000}"/>
    <hyperlink ref="K744" r:id="rId231" tooltip="open Google Images page of this plant in a browser" xr:uid="{00000000-0004-0000-0000-0000B8030000}"/>
    <hyperlink ref="L744" r:id="rId232" tooltip="open NCSU Facts page of this plant in a browser" xr:uid="{00000000-0004-0000-0000-0000B7030000}"/>
    <hyperlink ref="K790" r:id="rId233" tooltip="open Google Images page of this plant in a browser" xr:uid="{00000000-0004-0000-0000-000089030000}"/>
    <hyperlink ref="L790" r:id="rId234" tooltip="open NCSU Facts page of this plant in a browser" xr:uid="{00000000-0004-0000-0000-000088030000}"/>
    <hyperlink ref="K815" r:id="rId235" tooltip="open Google Images page of this plant in a browser" xr:uid="{00000000-0004-0000-0000-000085030000}"/>
    <hyperlink ref="L815" r:id="rId236" tooltip="open NCSU Facts page of this plant in a browser" xr:uid="{00000000-0004-0000-0000-000084030000}"/>
    <hyperlink ref="L802" r:id="rId237" tooltip="open NCSU Facts page of this plant in a browser" xr:uid="{00000000-0004-0000-0000-000083030000}"/>
    <hyperlink ref="K802" r:id="rId238" tooltip="open Google Images page of this plant in a browser" xr:uid="{00000000-0004-0000-0000-000082030000}"/>
    <hyperlink ref="K799" r:id="rId239" tooltip="open Google Images page of this plant in a browser" xr:uid="{00000000-0004-0000-0000-000081030000}"/>
    <hyperlink ref="L799" r:id="rId240" tooltip="open NCSU Facts page of this plant in a browser" xr:uid="{00000000-0004-0000-0000-000080030000}"/>
    <hyperlink ref="K857" r:id="rId241" tooltip="open Google Images page of this plant in a browser" xr:uid="{00000000-0004-0000-0000-00007F030000}"/>
    <hyperlink ref="K834" r:id="rId242" tooltip="open Google Images page of this plant in a browser" xr:uid="{00000000-0004-0000-0000-00007E030000}"/>
    <hyperlink ref="K843" r:id="rId243" tooltip="open Google Images page of this plant in a browser" xr:uid="{00000000-0004-0000-0000-00007D030000}"/>
    <hyperlink ref="L834" r:id="rId244" tooltip="open NCSU Facts page of this plant in a browser" xr:uid="{00000000-0004-0000-0000-00007C030000}"/>
    <hyperlink ref="L843" r:id="rId245" tooltip="open NCSU Facts page of this plant in a browser" xr:uid="{00000000-0004-0000-0000-00007B030000}"/>
    <hyperlink ref="L857" r:id="rId246" tooltip="open NCSU Facts page of this plant in a browser" xr:uid="{00000000-0004-0000-0000-00007A030000}"/>
    <hyperlink ref="L828" r:id="rId247" tooltip="open NCSU Facts page of this plant in a browser" xr:uid="{00000000-0004-0000-0000-000075030000}"/>
    <hyperlink ref="K828" r:id="rId248" tooltip="open Google Images page of this plant in a browser" xr:uid="{00000000-0004-0000-0000-000074030000}"/>
    <hyperlink ref="K868" r:id="rId249" tooltip="open Google Images page of this plant in a browser" xr:uid="{00000000-0004-0000-0000-000073030000}"/>
    <hyperlink ref="L868" r:id="rId250" tooltip="open NCSU Facts page of this plant in a browser" xr:uid="{00000000-0004-0000-0000-000072030000}"/>
    <hyperlink ref="K810" r:id="rId251" tooltip="open Google Images page of this plant in a browser" xr:uid="{00000000-0004-0000-0000-00006D030000}"/>
    <hyperlink ref="L810" r:id="rId252" tooltip="open NCSU Facts page of this plant in a browser" xr:uid="{00000000-0004-0000-0000-00006C030000}"/>
    <hyperlink ref="K786" r:id="rId253" tooltip="open Google Images page of this plant in a browser" xr:uid="{00000000-0004-0000-0000-000068030000}"/>
    <hyperlink ref="L786" r:id="rId254" tooltip="open NCSU Facts page of this plant in a browser" xr:uid="{00000000-0004-0000-0000-000042030000}"/>
    <hyperlink ref="L873" r:id="rId255" tooltip="open NCSU Facts page of this plant in a browser" xr:uid="{00000000-0004-0000-0000-0000F2010000}"/>
    <hyperlink ref="K873" r:id="rId256" tooltip="open Google Images page of this plant in a browser" xr:uid="{00000000-0004-0000-0000-0000F1010000}"/>
    <hyperlink ref="K740" r:id="rId257" tooltip="open Google Images page of this plant in a browser" xr:uid="{00000000-0004-0000-0000-000031010000}"/>
    <hyperlink ref="L740" r:id="rId258" tooltip="open NCSU Facts page of this plant in a browser" xr:uid="{00000000-0004-0000-0000-000030010000}"/>
    <hyperlink ref="L756" r:id="rId259" tooltip="open NCSU Facts page of this plant in a browser" xr:uid="{00000000-0004-0000-0000-00000F010000}"/>
    <hyperlink ref="K756" r:id="rId260" tooltip="open Google Images page of this plant in a browser" xr:uid="{00000000-0004-0000-0000-00000E010000}"/>
    <hyperlink ref="L719" r:id="rId261" tooltip="open NCSU Facts page of this plant in a browser" xr:uid="{00000000-0004-0000-0000-000009010000}"/>
    <hyperlink ref="K719" r:id="rId262" tooltip="open Google Images page of this plant in a browser" xr:uid="{00000000-0004-0000-0000-000008010000}"/>
    <hyperlink ref="K768" r:id="rId263" tooltip="open Google Images page of this plant in a browser" xr:uid="{00000000-0004-0000-0000-0000FE000000}"/>
    <hyperlink ref="L768" r:id="rId264" tooltip="open NCSU Facts page of this plant in a browser" xr:uid="{00000000-0004-0000-0000-0000FD000000}"/>
    <hyperlink ref="L730" r:id="rId265" tooltip="open NCSU Facts page of this plant in a browser" xr:uid="{00000000-0004-0000-0000-0000FC000000}"/>
    <hyperlink ref="K730" r:id="rId266" tooltip="open Google Images page of this plant in a browser" xr:uid="{00000000-0004-0000-0000-0000FB000000}"/>
    <hyperlink ref="L794" r:id="rId267" tooltip="open NCSU Facts page of this plant in a browser" xr:uid="{00000000-0004-0000-0000-0000A8000000}"/>
    <hyperlink ref="K794" r:id="rId268" tooltip="open Google Images page of this plant in a browser" xr:uid="{00000000-0004-0000-0000-0000A7000000}"/>
    <hyperlink ref="K760" r:id="rId269" tooltip="open Google Images page of this plant in a browser" xr:uid="{00000000-0004-0000-0000-000087000000}"/>
    <hyperlink ref="L760" r:id="rId270" tooltip="open NCSU Facts page of this plant in a browser" xr:uid="{00000000-0004-0000-0000-000086000000}"/>
    <hyperlink ref="L876" r:id="rId271" tooltip="open NCSU Facts page of this plant in a browser" xr:uid="{00000000-0004-0000-0000-00006A000000}"/>
    <hyperlink ref="L825" r:id="rId272" tooltip="open NCSU Facts page of this plant in a browser" xr:uid="{00000000-0004-0000-0000-000069000000}"/>
    <hyperlink ref="L763" r:id="rId273" tooltip="open NCSU Facts page of this plant in a browser" xr:uid="{00000000-0004-0000-0000-000067000000}"/>
    <hyperlink ref="L712" r:id="rId274" tooltip="open NCSU Facts page of this plant in a browser" xr:uid="{00000000-0004-0000-0000-000066000000}"/>
    <hyperlink ref="K825" r:id="rId275" tooltip="open Google Images page of this plant in a browser" xr:uid="{00000000-0004-0000-0000-00003B000000}"/>
    <hyperlink ref="K876" r:id="rId276" tooltip="open Google Images page of this plant in a browser" xr:uid="{00000000-0004-0000-0000-00001C000000}"/>
    <hyperlink ref="K763" r:id="rId277" tooltip="open Google Images page of this plant in a browser" xr:uid="{00000000-0004-0000-0000-000003000000}"/>
    <hyperlink ref="K712" r:id="rId278" tooltip="open Google Images page of this plant in a browser" xr:uid="{00000000-0004-0000-0000-000002000000}"/>
    <hyperlink ref="R790" location="Quote!X71" tooltip="this is a Native plant, that naturally grows in our area, or, it is a cultivar of a Native plant, so it should be well suited" display="N" xr:uid="{F19FEF1B-12B0-4F35-BA80-4E21980E2106}"/>
    <hyperlink ref="R790:T790" location="Woodland_Ruby_Anise" tooltip="this is a Native plant, that naturally grows in our area ~ OR ~ it is a cultivar of a Native plant, so it should be well suited" display="N" xr:uid="{C8EE22A0-5C9F-431D-B894-62FD73C87C81}"/>
    <hyperlink ref="R705:T705" location="Hardy_Anise_Shrub" tooltip="this is a Native plant, that naturally grows in our area ~ OR ~ it is a cultivar of a Native plant, so it should be well suited" display="N" xr:uid="{AFE490A8-0ED9-412B-BF44-FD30AD77FA4A}"/>
    <hyperlink ref="R705" location="Quote!X71" tooltip="this is a Native plant, that naturally grows in our area, or, it is a cultivar of a Native plant, so it should be well suited" display="N" xr:uid="{E614D568-01BD-408C-B303-0783430A3E18}"/>
    <hyperlink ref="K704" r:id="rId279" tooltip="open Grower Two inventory in a browser" xr:uid="{00000000-0004-0000-0000-0000A0010000}"/>
    <hyperlink ref="K705" r:id="rId280" tooltip="open Google Images page of this plant in a browser" xr:uid="{00000000-0004-0000-0000-000021020000}"/>
    <hyperlink ref="L705" r:id="rId281" tooltip="open NCSU Facts page of this plant in a browser" xr:uid="{00000000-0004-0000-0000-000022020000}"/>
    <hyperlink ref="L688" r:id="rId282" tooltip="open NCSU Facts page of this plant in a browser" xr:uid="{00000000-0004-0000-0000-000013020000}"/>
    <hyperlink ref="K688" r:id="rId283" tooltip="open Google Images page of this plant in a browser" xr:uid="{00000000-0004-0000-0000-000014020000}"/>
    <hyperlink ref="K699" r:id="rId284" tooltip="open Google Images page of this plant in a browser" xr:uid="{00000000-0004-0000-0000-000015020000}"/>
    <hyperlink ref="L699" r:id="rId285" tooltip="open NCSU Facts page of this plant in a browser" xr:uid="{00000000-0004-0000-0000-000012020000}"/>
    <hyperlink ref="L1248" r:id="rId286" tooltip="open NCSU Facts page of this plant in a browser" xr:uid="{DAC9508F-7832-467F-9E21-3A48F97D868F}"/>
    <hyperlink ref="K1248" r:id="rId287" tooltip="open Google Images page of this plant in a browser" xr:uid="{CAF9588A-C721-4846-B2A8-51FDB580B751}"/>
    <hyperlink ref="L1251" r:id="rId288" tooltip="open NCSU Facts page of this plant in a browser" xr:uid="{00000000-0004-0000-0000-000079020000}"/>
    <hyperlink ref="K1251" r:id="rId289" tooltip="open Google Images page of this plant in a browser" xr:uid="{00000000-0004-0000-0000-000078020000}"/>
    <hyperlink ref="K1220" r:id="rId290" tooltip="open Google Images page of this plant in a browser" xr:uid="{D9931075-A79E-4DC3-925F-6E2A23931645}"/>
    <hyperlink ref="L1220" r:id="rId291" tooltip="open NCSU Facts page of this plant in a browser" xr:uid="{2A7059C5-F6B5-4964-B2CE-3466FF85D81D}"/>
    <hyperlink ref="L1259" r:id="rId292" tooltip="open NCSU Facts page of this plant in a browser" xr:uid="{DEB041C8-18F4-48CA-A3D1-0C926200211C}"/>
    <hyperlink ref="K1259" r:id="rId293" tooltip="open Google Images page of this plant in a browser" xr:uid="{06B2AECF-4364-49FB-B0D9-E0F6D4A05A35}"/>
    <hyperlink ref="L1255" r:id="rId294" tooltip="open NCSU Facts page of this plant in a browser" xr:uid="{50CEF68B-4C0A-475C-A1F9-B77086BC679A}"/>
    <hyperlink ref="K1255" r:id="rId295" tooltip="open Google Images page of this plant in a browser" xr:uid="{D6F320EF-E6F6-4D49-9EC1-7D1BAB7B07B5}"/>
    <hyperlink ref="R1255" location="Quote!X71" tooltip="this is a Native plant, that naturally grows in our area, or, it is a cultivar of a Native plant, so it should be well suited" display="N" xr:uid="{1123CD04-16A0-4841-9F38-300898E4905C}"/>
    <hyperlink ref="R1255:T1255" location="Henry_s_Garnet_Virginia_Sweetspire" tooltip="this is a Native plant, that naturally grows in our area ~ OR ~ it is a cultivar of a Native plant, so it should be well suited" display="N" xr:uid="{60488255-72A8-4EAD-BB62-5DC20C0814E4}"/>
    <hyperlink ref="R964:T964" location="Hetz_Midget_Arborvitae" tooltip="this is a Native plant, that naturally grows in our area ~ OR ~ it is a cultivar of a Native plant, so it should be well suited" display="N" xr:uid="{B5BFBE51-C9CF-47A1-8ED5-0477C8A8AE92}"/>
    <hyperlink ref="R964" location="Quote!X71" tooltip="this is a Native plant, that naturally grows in our area, or, it is a cultivar of a Native plant, so it should be well suited" display="N" xr:uid="{6D7A7765-BE45-40B5-91A2-07A7C2DFDF9B}"/>
    <hyperlink ref="R943:T943" location="Dwarf_Yaupon_Holly" tooltip="this is a Native plant, that naturally grows in our area ~ OR ~ it is a cultivar of a Native plant, so it should be well suited" display="N" xr:uid="{4C8D06AA-A1DD-435B-A22A-F18D867ED7AE}"/>
    <hyperlink ref="R943" location="Quote!X71" tooltip="this is a Native plant, that naturally grows in our area, or, it is a cultivar of a Native plant, so it should be well suited" display="N" xr:uid="{96D177B9-69F8-4D9E-8220-5DBB36912B07}"/>
    <hyperlink ref="K925" r:id="rId296" tooltip="open Google Images page of this plant in a browser" xr:uid="{F8218C09-5F9E-46C4-B476-9413AD073E21}"/>
    <hyperlink ref="L925" r:id="rId297" tooltip="open NCSU Facts page of this plant in a browser" xr:uid="{D837C016-75FF-460A-968E-19B109B9C18B}"/>
    <hyperlink ref="L1060" r:id="rId298" tooltip="open NCSU Facts page of this plant in a browser" xr:uid="{00000000-0004-0000-0000-000076020000}"/>
    <hyperlink ref="K1060" r:id="rId299" tooltip="open Google Images page of this plant in a browser" xr:uid="{00000000-0004-0000-0000-000077020000}"/>
    <hyperlink ref="L1057" r:id="rId300" tooltip="open NCSU Facts page of this plant in a browser" xr:uid="{00000000-0004-0000-0000-0000FA020000}"/>
    <hyperlink ref="K1057" r:id="rId301" tooltip="open Google Images page of this plant in a browser" xr:uid="{00000000-0004-0000-0000-0000FB020000}"/>
    <hyperlink ref="K936" r:id="rId302" tooltip="open Google Images page of this plant in a browser" xr:uid="{00000000-0004-0000-0000-000002030000}"/>
    <hyperlink ref="L936" r:id="rId303" tooltip="open NCSU Facts page of this plant in a browser" xr:uid="{00000000-0004-0000-0000-000003030000}"/>
    <hyperlink ref="L921" r:id="rId304" tooltip="open NCSU Facts page of this plant in a browser" xr:uid="{00000000-0004-0000-0000-00000F030000}"/>
    <hyperlink ref="K921" r:id="rId305" tooltip="open Google Images page of this plant in a browser" xr:uid="{00000000-0004-0000-0000-000010030000}"/>
    <hyperlink ref="K1045" r:id="rId306" tooltip="open Google Images page of this plant in a browser" xr:uid="{00000000-0004-0000-0000-000011030000}"/>
    <hyperlink ref="K1063" r:id="rId307" tooltip="open Google Images page of this plant in a browser" xr:uid="{00000000-0004-0000-0000-000012030000}"/>
    <hyperlink ref="L1045" r:id="rId308" tooltip="open NCSU Facts page of this plant in a browser" xr:uid="{00000000-0004-0000-0000-000013030000}"/>
    <hyperlink ref="L1063" r:id="rId309" tooltip="open NCSU Facts page of this plant in a browser" xr:uid="{00000000-0004-0000-0000-000014030000}"/>
    <hyperlink ref="L905" r:id="rId310" tooltip="open NCSU Facts page of this plant in a browser" xr:uid="{00000000-0004-0000-0000-000015030000}"/>
    <hyperlink ref="K905" r:id="rId311" tooltip="open Google Images page of this plant in a browser" xr:uid="{00000000-0004-0000-0000-000016030000}"/>
    <hyperlink ref="L1042" r:id="rId312" tooltip="open NCSU Facts page of this plant in a browser" xr:uid="{00000000-0004-0000-0000-000020030000}"/>
    <hyperlink ref="K1042" r:id="rId313" tooltip="open Google Images page of this plant in a browser" xr:uid="{00000000-0004-0000-0000-000021030000}"/>
    <hyperlink ref="L1084" r:id="rId314" tooltip="open NCSU Facts page of this plant in a browser" xr:uid="{00000000-0004-0000-0000-00002A030000}"/>
    <hyperlink ref="L1035" r:id="rId315" tooltip="open NCSU Facts page of this plant in a browser" xr:uid="{00000000-0004-0000-0000-00002B030000}"/>
    <hyperlink ref="L1068" r:id="rId316" tooltip="open NCSU Facts page of this plant in a browser" xr:uid="{00000000-0004-0000-0000-00002C030000}"/>
    <hyperlink ref="L1038" r:id="rId317" tooltip="open NCSU Facts page of this plant in a browser" xr:uid="{00000000-0004-0000-0000-00002D030000}"/>
    <hyperlink ref="L1031" r:id="rId318" tooltip="open NCSU Facts page of this plant in a browser" xr:uid="{00000000-0004-0000-0000-00002E030000}"/>
    <hyperlink ref="L1027" r:id="rId319" tooltip="open NCSU Facts page of this plant in a browser" xr:uid="{00000000-0004-0000-0000-00002F030000}"/>
    <hyperlink ref="L1022" r:id="rId320" tooltip="open NCSU Facts page of this plant in a browser" xr:uid="{00000000-0004-0000-0000-000030030000}"/>
    <hyperlink ref="L1017" r:id="rId321" tooltip="open NCSU Facts page of this plant in a browser" xr:uid="{00000000-0004-0000-0000-000031030000}"/>
    <hyperlink ref="L1011" r:id="rId322" tooltip="open NCSU Facts page of this plant in a browser" xr:uid="{00000000-0004-0000-0000-000032030000}"/>
    <hyperlink ref="L1007" r:id="rId323" tooltip="open NCSU Facts page of this plant in a browser" xr:uid="{00000000-0004-0000-0000-000033030000}"/>
    <hyperlink ref="L1003" r:id="rId324" tooltip="open NCSU Facts page of this plant in a browser" xr:uid="{00000000-0004-0000-0000-000034030000}"/>
    <hyperlink ref="L1000" r:id="rId325" tooltip="open NCSU Facts page of this plant in a browser" xr:uid="{00000000-0004-0000-0000-000035030000}"/>
    <hyperlink ref="L992" r:id="rId326" tooltip="open NCSU Facts page of this plant in a browser" xr:uid="{00000000-0004-0000-0000-000036030000}"/>
    <hyperlink ref="L987" r:id="rId327" tooltip="open NCSU Facts page of this plant in a browser" xr:uid="{00000000-0004-0000-0000-000038030000}"/>
    <hyperlink ref="L984" r:id="rId328" tooltip="open NCSU Facts page of this plant in a browser" xr:uid="{00000000-0004-0000-0000-000039030000}"/>
    <hyperlink ref="L964" r:id="rId329" tooltip="open NCSU Facts page of this plant in a browser" xr:uid="{00000000-0004-0000-0000-00003D030000}"/>
    <hyperlink ref="L957" r:id="rId330" tooltip="open NCSU Facts page of this plant in a browser" xr:uid="{00000000-0004-0000-0000-00003E030000}"/>
    <hyperlink ref="L950" r:id="rId331" tooltip="open NCSU Facts page of this plant in a browser" xr:uid="{00000000-0004-0000-0000-00003F030000}"/>
    <hyperlink ref="L947" r:id="rId332" tooltip="open NCSU Facts page of this plant in a browser" xr:uid="{00000000-0004-0000-0000-000040030000}"/>
    <hyperlink ref="L943" r:id="rId333" tooltip="open NCSU Facts page of this plant in a browser" xr:uid="{00000000-0004-0000-0000-000041030000}"/>
    <hyperlink ref="L780" r:id="rId334" tooltip="open NCSU Facts page of this plant in a browser" xr:uid="{00000000-0004-0000-0000-000043030000}"/>
    <hyperlink ref="L896" r:id="rId335" tooltip="open NCSU Facts page of this plant in a browser" xr:uid="{00000000-0004-0000-0000-000044030000}"/>
    <hyperlink ref="K1031" r:id="rId336" tooltip="open Google Images page of this plant in a browser" xr:uid="{00000000-0004-0000-0000-000047030000}"/>
    <hyperlink ref="K950" r:id="rId337" tooltip="open Google Images page of this plant in a browser" xr:uid="{00000000-0004-0000-0000-000049030000}"/>
    <hyperlink ref="K1017" r:id="rId338" tooltip="open Google Images page of this plant in a browser" xr:uid="{00000000-0004-0000-0000-00004A030000}"/>
    <hyperlink ref="K984" r:id="rId339" tooltip="open Google Images page of this plant in a browser" xr:uid="{00000000-0004-0000-0000-00004D030000}"/>
    <hyperlink ref="K1084" r:id="rId340" tooltip="open Google Images page of this plant in a browser" xr:uid="{00000000-0004-0000-0000-000055030000}"/>
    <hyperlink ref="K1035" r:id="rId341" tooltip="open Google Images page of this plant in a browser" xr:uid="{00000000-0004-0000-0000-000056030000}"/>
    <hyperlink ref="K1068" r:id="rId342" tooltip="open Google Images page of this plant in a browser" xr:uid="{00000000-0004-0000-0000-000057030000}"/>
    <hyperlink ref="K1038" r:id="rId343" tooltip="open Google Images page of this plant in a browser" xr:uid="{00000000-0004-0000-0000-000058030000}"/>
    <hyperlink ref="K1027" r:id="rId344" tooltip="open Google Images page of this plant in a browser" xr:uid="{00000000-0004-0000-0000-000059030000}"/>
    <hyperlink ref="K1022" r:id="rId345" tooltip="open Google Images page of this plant in a browser" xr:uid="{00000000-0004-0000-0000-00005A030000}"/>
    <hyperlink ref="K1011" r:id="rId346" tooltip="open Google Images page of this plant in a browser" xr:uid="{00000000-0004-0000-0000-00005B030000}"/>
    <hyperlink ref="K1007" r:id="rId347" tooltip="open Google Images page of this plant in a browser" xr:uid="{00000000-0004-0000-0000-00005C030000}"/>
    <hyperlink ref="K1003" r:id="rId348" tooltip="open Google Images page of this plant in a browser" xr:uid="{00000000-0004-0000-0000-00005D030000}"/>
    <hyperlink ref="K1000" r:id="rId349" tooltip="open Google Images page of this plant in a browser" xr:uid="{00000000-0004-0000-0000-00005E030000}"/>
    <hyperlink ref="K992" r:id="rId350" tooltip="open Google Images page of this plant in a browser" xr:uid="{00000000-0004-0000-0000-00005F030000}"/>
    <hyperlink ref="K987" r:id="rId351" tooltip="open Google Images page of this plant in a browser" xr:uid="{00000000-0004-0000-0000-000060030000}"/>
    <hyperlink ref="K964" r:id="rId352" tooltip="open Google Images page of this plant in a browser" xr:uid="{00000000-0004-0000-0000-000064030000}"/>
    <hyperlink ref="K957" r:id="rId353" tooltip="open Google Images page of this plant in a browser" xr:uid="{00000000-0004-0000-0000-000065030000}"/>
    <hyperlink ref="K947" r:id="rId354" tooltip="open Google Images page of this plant in a browser" xr:uid="{00000000-0004-0000-0000-000066030000}"/>
    <hyperlink ref="K943" r:id="rId355" tooltip="open Google Images page of this plant in a browser" xr:uid="{00000000-0004-0000-0000-000067030000}"/>
    <hyperlink ref="K780" r:id="rId356" tooltip="open Google Images page of this plant in a browser" xr:uid="{00000000-0004-0000-0000-000069030000}"/>
    <hyperlink ref="K896" r:id="rId357" tooltip="open Google Images page of this plant in a browser" xr:uid="{00000000-0004-0000-0000-00006A030000}"/>
    <hyperlink ref="L882" r:id="rId358" tooltip="open NCSU Facts page of this plant in a browser" xr:uid="{00000000-0004-0000-0000-000070030000}"/>
    <hyperlink ref="K882" r:id="rId359" tooltip="open Google Images page of this plant in a browser" xr:uid="{00000000-0004-0000-0000-000071030000}"/>
    <hyperlink ref="Q881" location="TOP" tooltip="go to top of sheet" display="go to top" xr:uid="{00000000-0004-0000-0000-00002F040000}"/>
    <hyperlink ref="Q881:R881" location="TOP" tooltip="go to top of this page, to categories list" display="top of page" xr:uid="{00000000-0004-0000-0000-000030040000}"/>
    <hyperlink ref="Q915" location="TOP" tooltip="go to top of sheet" display="go to top" xr:uid="{00000000-0004-0000-0000-000031040000}"/>
    <hyperlink ref="Q915:R915" location="TOP" tooltip="go to top of this page, to categories list" display="top of page" xr:uid="{00000000-0004-0000-0000-000032040000}"/>
    <hyperlink ref="Q949" location="TOP" tooltip="go to top of sheet" display="go to top" xr:uid="{00000000-0004-0000-0000-000035040000}"/>
    <hyperlink ref="Q949:R949" location="TOP" tooltip="go to top of this page, to categories list" display="top of page" xr:uid="{00000000-0004-0000-0000-000036040000}"/>
    <hyperlink ref="Q991" location="TOP" tooltip="go to top of sheet" display="go to top" xr:uid="{00000000-0004-0000-0000-000039040000}"/>
    <hyperlink ref="Q991:R991" location="TOP" tooltip="go to top of this page, to categories list" display="top of page" xr:uid="{00000000-0004-0000-0000-00003A040000}"/>
    <hyperlink ref="Q1016" location="TOP" tooltip="go to top of sheet" display="go to top" xr:uid="{00000000-0004-0000-0000-00003B040000}"/>
    <hyperlink ref="Q1016:R1016" location="TOP" tooltip="go to top of this page, to categories list" display="top of page" xr:uid="{00000000-0004-0000-0000-00003C040000}"/>
    <hyperlink ref="Q1044" location="TOP" tooltip="go to top of sheet" display="go to top" xr:uid="{00000000-0004-0000-0000-00003D040000}"/>
    <hyperlink ref="Q1044:R1044" location="TOP" tooltip="go to top of this page, to categories list" display="top of page" xr:uid="{00000000-0004-0000-0000-00003E040000}"/>
    <hyperlink ref="L900" r:id="rId360" tooltip="open NCSU Facts page of this plant in a browser" xr:uid="{9FD5DEA7-794E-4C57-B5AE-A77FA1C0F352}"/>
    <hyperlink ref="K900" r:id="rId361" tooltip="open Google Images page of this plant in a browser" xr:uid="{3EED2C1E-EC37-4DF1-9702-1F8C3FC0B754}"/>
    <hyperlink ref="K1216" r:id="rId362" tooltip="open Google Images page of this plant in a browser" xr:uid="{00000000-0004-0000-0000-000090000000}"/>
    <hyperlink ref="L1205" r:id="rId363" tooltip="open NCSU Facts page of this plant in a browser" xr:uid="{00000000-0004-0000-0000-0000D2000000}"/>
    <hyperlink ref="K1205" r:id="rId364" tooltip="open Google Images page of this plant in a browser" xr:uid="{00000000-0004-0000-0000-0000D3000000}"/>
    <hyperlink ref="L1216" r:id="rId365" tooltip="open NCSU Facts page of this plant in a browser" xr:uid="{00000000-0004-0000-0000-00009A010000}"/>
    <hyperlink ref="L1265" r:id="rId366" tooltip="open NCSU Facts page of this plant in a browser" xr:uid="{00000000-0004-0000-0000-0000EA010000}"/>
    <hyperlink ref="L1290" r:id="rId367" tooltip="open NCSU Facts page of this plant in a browser" xr:uid="{00000000-0004-0000-0000-00005B020000}"/>
    <hyperlink ref="L1286" r:id="rId368" tooltip="open NCSU Facts page of this plant in a browser" xr:uid="{00000000-0004-0000-0000-00005C020000}"/>
    <hyperlink ref="L1282" r:id="rId369" tooltip="open NCSU Facts page of this plant in a browser" xr:uid="{00000000-0004-0000-0000-00005D020000}"/>
    <hyperlink ref="L1188" r:id="rId370" tooltip="open NCSU Facts page of this plant in a browser" xr:uid="{00000000-0004-0000-0000-00007D020000}"/>
    <hyperlink ref="K1188" r:id="rId371" tooltip="open Google Images page of this plant in a browser" xr:uid="{00000000-0004-0000-0000-00007E020000}"/>
    <hyperlink ref="K1271" r:id="rId372" tooltip="open Google Images page of this plant in a browser" xr:uid="{00000000-0004-0000-0000-000085020000}"/>
    <hyperlink ref="L1271" r:id="rId373" tooltip="open NCSU Facts page of this plant in a browser" xr:uid="{00000000-0004-0000-0000-000086020000}"/>
    <hyperlink ref="K1286" r:id="rId374" tooltip="open Google Images page of this plant in a browser" xr:uid="{00000000-0004-0000-0000-00008A020000}"/>
    <hyperlink ref="K1290" r:id="rId375" tooltip="open Google Images page of this plant in a browser" xr:uid="{00000000-0004-0000-0000-00008B020000}"/>
    <hyperlink ref="K1197" r:id="rId376" tooltip="open Google Images page of this plant in a browser" xr:uid="{00000000-0004-0000-0000-0000A7020000}"/>
    <hyperlink ref="K1242" r:id="rId377" tooltip="open Google Images page of this plant in a browser" xr:uid="{00000000-0004-0000-0000-0000A8020000}"/>
    <hyperlink ref="K1208" r:id="rId378" tooltip="open Google Images page of this plant in a browser" xr:uid="{00000000-0004-0000-0000-0000AF020000}"/>
    <hyperlink ref="L1208" r:id="rId379" tooltip="open NCSU Facts page of this plant in a browser" xr:uid="{00000000-0004-0000-0000-0000BA020000}"/>
    <hyperlink ref="L1197" r:id="rId380" tooltip="open NCSU Facts page of this plant in a browser" xr:uid="{00000000-0004-0000-0000-0000BB020000}"/>
    <hyperlink ref="L1242" r:id="rId381" tooltip="open NCSU Facts page of this plant in a browser" xr:uid="{00000000-0004-0000-0000-0000BC020000}"/>
    <hyperlink ref="K1282" r:id="rId382" tooltip="open Google Images page of this plant in a browser" xr:uid="{00000000-0004-0000-0000-0000F3020000}"/>
    <hyperlink ref="L1180" r:id="rId383" tooltip="open NCSU Facts page of this plant in a browser" xr:uid="{00000000-0004-0000-0000-00001F030000}"/>
    <hyperlink ref="L1184" r:id="rId384" tooltip="open NCSU Facts page of this plant in a browser" xr:uid="{00000000-0004-0000-0000-000024030000}"/>
    <hyperlink ref="L1177" r:id="rId385" tooltip="open NCSU Facts page of this plant in a browser" xr:uid="{00000000-0004-0000-0000-000026030000}"/>
    <hyperlink ref="L1173" r:id="rId386" tooltip="open NCSU Facts page of this plant in a browser" xr:uid="{00000000-0004-0000-0000-000027030000}"/>
    <hyperlink ref="K1180" r:id="rId387" tooltip="open Google Images page of this plant in a browser" xr:uid="{00000000-0004-0000-0000-000050030000}"/>
    <hyperlink ref="K1184" r:id="rId388" tooltip="open Google Images page of this plant in a browser" xr:uid="{00000000-0004-0000-0000-000051030000}"/>
    <hyperlink ref="K1177" r:id="rId389" tooltip="open Google Images page of this plant in a browser" xr:uid="{00000000-0004-0000-0000-000052030000}"/>
    <hyperlink ref="K1173" r:id="rId390" tooltip="open Google Images page of this plant in a browser" xr:uid="{00000000-0004-0000-0000-000054030000}"/>
    <hyperlink ref="K1265" r:id="rId391" tooltip="open Google Images page of this plant in a browser" xr:uid="{00000000-0004-0000-0000-0000A0030000}"/>
    <hyperlink ref="Q1179" location="TOP" tooltip="go to top of sheet" display="go to top" xr:uid="{00000000-0004-0000-0000-000043040000}"/>
    <hyperlink ref="Q1179:R1179" location="TOP" tooltip="go to top of this page, to categories list" display="top of page" xr:uid="{00000000-0004-0000-0000-000044040000}"/>
    <hyperlink ref="L1245" r:id="rId392" tooltip="open NCSU Facts page of this plant in a browser" xr:uid="{2E9C9F04-B5C1-4D69-8FA1-DD302DD852C5}"/>
    <hyperlink ref="K1245" r:id="rId393" tooltip="open Google Images page of this plant in a browser" xr:uid="{921870A8-382F-4214-9D0C-25B9C21ECCDA}"/>
    <hyperlink ref="R1167:T1167" location="Henry_s_Garnet_Virginia_Sweetspire" tooltip="this is a Native plant, that naturally grows in our area ~ OR ~ it is a cultivar of a Native plant, so it should be well suited" display="N" xr:uid="{00000000-0004-0000-0000-0000C8040000}"/>
    <hyperlink ref="R1167" location="Quote!X71" tooltip="this is a Native plant, that naturally grows in our area, or, it is a cultivar of a Native plant, so it should be well suited" display="N" xr:uid="{00000000-0004-0000-0000-0000C7040000}"/>
    <hyperlink ref="R1141:T1141" location="Aphrodite_Sweetshrub" tooltip="this is a Native plant, that naturally grows in our area ~ OR ~ it is a cultivar of a Native plant, so it should be well suited" display="N" xr:uid="{00000000-0004-0000-0000-0000C6040000}"/>
    <hyperlink ref="R1141" location="Quote!X71" tooltip="this is a Native plant, that naturally grows in our area, or, it is a cultivar of a Native plant, so it should be well suited" display="N" xr:uid="{00000000-0004-0000-0000-0000C5040000}"/>
    <hyperlink ref="R854:T854" location="Golden_Globe_Arborvitae" tooltip="this is a Native plant, that naturally grows in our area ~ OR ~ it is a cultivar of a Native plant, so it should be well suited" display="N" xr:uid="{00000000-0004-0000-0000-0000BE040000}"/>
    <hyperlink ref="R854" location="Quote!X71" tooltip="this is a Native plant, that naturally grows in our area, or, it is a cultivar of a Native plant, so it should be well suited" display="N" xr:uid="{00000000-0004-0000-0000-0000BD040000}"/>
    <hyperlink ref="Q1215:R1215" location="TOP" tooltip="go to top of this page, to categories list" display="top of page" xr:uid="{00000000-0004-0000-0000-000046040000}"/>
    <hyperlink ref="Q1215" location="TOP" tooltip="go to top of sheet" display="go to top" xr:uid="{00000000-0004-0000-0000-000045040000}"/>
    <hyperlink ref="Q1140:R1140" location="TOP" tooltip="go to top of this page, to categories list" display="top of page" xr:uid="{00000000-0004-0000-0000-000042040000}"/>
    <hyperlink ref="Q1140" location="TOP" tooltip="go to top of sheet" display="go to top" xr:uid="{00000000-0004-0000-0000-000041040000}"/>
    <hyperlink ref="L1213" r:id="rId394" tooltip="open NCSU Facts page of this plant in a browser" xr:uid="{00000000-0004-0000-0000-00008E030000}"/>
    <hyperlink ref="K1213" r:id="rId395" tooltip="open Google Images page of this plant in a browser" xr:uid="{00000000-0004-0000-0000-00008D030000}"/>
    <hyperlink ref="K887" r:id="rId396" tooltip="open Google Images page of this plant in a browser" xr:uid="{00000000-0004-0000-0000-00006F030000}"/>
    <hyperlink ref="L887" r:id="rId397" tooltip="open NCSU Facts page of this plant in a browser" xr:uid="{00000000-0004-0000-0000-00006E030000}"/>
    <hyperlink ref="K1167" r:id="rId398" tooltip="open Google Images page of this plant in a browser" xr:uid="{00000000-0004-0000-0000-00004F030000}"/>
    <hyperlink ref="L1167" r:id="rId399" tooltip="open NCSU Facts page of this plant in a browser" xr:uid="{00000000-0004-0000-0000-000028030000}"/>
    <hyperlink ref="L1133" r:id="rId400" tooltip="open NCSU Facts page of this plant in a browser" xr:uid="{00000000-0004-0000-0000-00001E030000}"/>
    <hyperlink ref="K1133" r:id="rId401" tooltip="open Google Images page of this plant in a browser" xr:uid="{00000000-0004-0000-0000-00001D030000}"/>
    <hyperlink ref="K1141" r:id="rId402" tooltip="open Google Images page of this plant in a browser" xr:uid="{00000000-0004-0000-0000-00001C030000}"/>
    <hyperlink ref="L1141" r:id="rId403" tooltip="open NCSU Facts page of this plant in a browser" xr:uid="{00000000-0004-0000-0000-00001B030000}"/>
    <hyperlink ref="K1115" r:id="rId404" tooltip="open Google Images page of this plant in a browser" xr:uid="{00000000-0004-0000-0000-00000E030000}"/>
    <hyperlink ref="L1115" r:id="rId405" tooltip="open NCSU Facts page of this plant in a browser" xr:uid="{00000000-0004-0000-0000-00000D030000}"/>
    <hyperlink ref="K1278" r:id="rId406" tooltip="open Google Images page of this plant in a browser" xr:uid="{00000000-0004-0000-0000-00008C020000}"/>
    <hyperlink ref="L1124" r:id="rId407" tooltip="open NCSU Facts page of this plant in a browser" xr:uid="{00000000-0004-0000-0000-000080020000}"/>
    <hyperlink ref="K1124" r:id="rId408" tooltip="open Google Images page of this plant in a browser" xr:uid="{00000000-0004-0000-0000-00007F020000}"/>
    <hyperlink ref="K1153" r:id="rId409" tooltip="open Google Images page of this plant in a browser" xr:uid="{00000000-0004-0000-0000-000075020000}"/>
    <hyperlink ref="L1153" r:id="rId410" tooltip="open NCSU Facts page of this plant in a browser" xr:uid="{00000000-0004-0000-0000-000074020000}"/>
    <hyperlink ref="K854" r:id="rId411" tooltip="open Google Images page of this plant in a browser" xr:uid="{00000000-0004-0000-0000-00006F020000}"/>
    <hyperlink ref="L854" r:id="rId412" tooltip="open NCSU Facts page of this plant in a browser" xr:uid="{00000000-0004-0000-0000-00006E020000}"/>
    <hyperlink ref="L1278" r:id="rId413" tooltip="open NCSU Facts page of this plant in a browser" xr:uid="{00000000-0004-0000-0000-00005E020000}"/>
    <hyperlink ref="K1194" r:id="rId414" tooltip="open Google Images page of this plant in a browser" xr:uid="{00000000-0004-0000-0000-0000EC010000}"/>
    <hyperlink ref="L1194" r:id="rId415" tooltip="open NCSU Facts page of this plant in a browser" xr:uid="{00000000-0004-0000-0000-0000EB010000}"/>
    <hyperlink ref="L1191" r:id="rId416" tooltip="open NCSU Facts page of this plant in a browser" xr:uid="{00000000-0004-0000-0000-0000D5010000}"/>
    <hyperlink ref="K1191" r:id="rId417" tooltip="open Google Images page of this plant in a browser" xr:uid="{00000000-0004-0000-0000-0000D4010000}"/>
    <hyperlink ref="L1119" r:id="rId418" tooltip="open NCSU Facts page of this plant in a browser" xr:uid="{00000000-0004-0000-0000-0000D3010000}"/>
    <hyperlink ref="K1119" r:id="rId419" tooltip="open Google Images page of this plant in a browser" xr:uid="{00000000-0004-0000-0000-0000D2010000}"/>
    <hyperlink ref="L1148" r:id="rId420" tooltip="open NCSU Facts page of this plant in a browser" xr:uid="{00000000-0004-0000-0000-00006E000000}"/>
    <hyperlink ref="K1148" r:id="rId421" tooltip="open Google Images page of this plant in a browser" xr:uid="{00000000-0004-0000-0000-00003E000000}"/>
    <hyperlink ref="L1320" r:id="rId422" tooltip="open NCSU Facts page of this plant in a browser" xr:uid="{00000000-0004-0000-0000-0000D5000000}"/>
    <hyperlink ref="K1320" r:id="rId423" tooltip="open Google Images page of this plant in a browser" xr:uid="{00000000-0004-0000-0000-0000EA000000}"/>
    <hyperlink ref="L1340" r:id="rId424" tooltip="open NCSU Facts page of this plant in a browser" xr:uid="{00000000-0004-0000-0000-0000B7010000}"/>
    <hyperlink ref="K1340" r:id="rId425" tooltip="open Google Images page of this plant in a browser" xr:uid="{00000000-0004-0000-0000-0000B8010000}"/>
    <hyperlink ref="R1352:T1352" location="Lace_Parasol_Winged_Elm" tooltip="this is a Native plant, that naturally grows in our area ~ OR ~ it is a cultivar of a Native plant, so it should be well suited" display="N" xr:uid="{00000000-0004-0000-0000-0000CE040000}"/>
    <hyperlink ref="R1352" location="Quote!X71" tooltip="this is a Native plant, that naturally grows in our area, or, it is a cultivar of a Native plant, so it should be well suited" display="N" xr:uid="{00000000-0004-0000-0000-0000CD040000}"/>
    <hyperlink ref="Q1357:R1357" location="TOP" tooltip="go to top of this page, to categories list" display="top of page" xr:uid="{00000000-0004-0000-0000-000050040000}"/>
    <hyperlink ref="Q1357" location="TOP" tooltip="go to top of sheet" display="go to top" xr:uid="{00000000-0004-0000-0000-00004F040000}"/>
    <hyperlink ref="Q1299:R1299" location="TOP" tooltip="go to top of this page, to categories list" display="top of page" xr:uid="{00000000-0004-0000-0000-00004C040000}"/>
    <hyperlink ref="Q1299" location="TOP" tooltip="go to top of sheet" display="go to top" xr:uid="{00000000-0004-0000-0000-00004B040000}"/>
    <hyperlink ref="L1372" r:id="rId426" tooltip="open NCSU Facts page of this plant in a browser" xr:uid="{00000000-0004-0000-0000-0000C5020000}"/>
    <hyperlink ref="L1352" r:id="rId427" tooltip="open NCSU Facts page of this plant in a browser" xr:uid="{00000000-0004-0000-0000-0000C3020000}"/>
    <hyperlink ref="L1367" r:id="rId428" tooltip="open NCSU Facts page of this plant in a browser" xr:uid="{00000000-0004-0000-0000-0000BE020000}"/>
    <hyperlink ref="K1303" r:id="rId429" tooltip="open Google Images page of this plant in a browser" xr:uid="{00000000-0004-0000-0000-0000AA020000}"/>
    <hyperlink ref="K1308" r:id="rId430" tooltip="open Google Images page of this plant in a browser" xr:uid="{00000000-0004-0000-0000-0000A9020000}"/>
    <hyperlink ref="K1372" r:id="rId431" tooltip="open Google Images page of this plant in a browser" xr:uid="{00000000-0004-0000-0000-000093020000}"/>
    <hyperlink ref="K1367" r:id="rId432" tooltip="open Google Images page of this plant in a browser" xr:uid="{00000000-0004-0000-0000-000091020000}"/>
    <hyperlink ref="K1352" r:id="rId433" tooltip="open Google Images page of this plant in a browser" xr:uid="{00000000-0004-0000-0000-000090020000}"/>
    <hyperlink ref="K1294" r:id="rId434" tooltip="open Google Images page of this plant in a browser" xr:uid="{00000000-0004-0000-0000-000089020000}"/>
    <hyperlink ref="L1294" r:id="rId435" tooltip="open NCSU Facts page of this plant in a browser" xr:uid="{00000000-0004-0000-0000-00005A020000}"/>
    <hyperlink ref="L1303" r:id="rId436" tooltip="open NCSU Facts page of this plant in a browser" xr:uid="{00000000-0004-0000-0000-000059020000}"/>
    <hyperlink ref="L1308" r:id="rId437" tooltip="open NCSU Facts page of this plant in a browser" xr:uid="{00000000-0004-0000-0000-000058020000}"/>
    <hyperlink ref="K1315:L1315" location="TOP" tooltip="go to top of this page, to categories list" display="top of page" xr:uid="{00000000-0004-0000-0000-000033020000}"/>
    <hyperlink ref="K1315" location="TOP" tooltip="go to top of sheet" display="go to top" xr:uid="{00000000-0004-0000-0000-000032020000}"/>
    <hyperlink ref="K1316" r:id="rId438" tooltip="open Google Images page of this plant in a browser" xr:uid="{00000000-0004-0000-0000-000031020000}"/>
    <hyperlink ref="L1316" r:id="rId439" tooltip="open NCSU Facts page of this plant in a browser" xr:uid="{00000000-0004-0000-0000-000030020000}"/>
    <hyperlink ref="K1313" r:id="rId440" tooltip="open Google Images page of this plant in a browser" xr:uid="{00000000-0004-0000-0000-0000EB000000}"/>
    <hyperlink ref="L1313" r:id="rId441" tooltip="open NCSU Facts page of this plant in a browser" xr:uid="{00000000-0004-0000-0000-0000DE000000}"/>
    <hyperlink ref="L1361" r:id="rId442" tooltip="open NCSU Facts page of this plant in a browser" xr:uid="{1D2B93E9-81F6-469D-9A9C-D653C4B48489}"/>
    <hyperlink ref="K1361" r:id="rId443" tooltip="open Google Images page of this plant in a browser" xr:uid="{E1E5B757-3A27-4CA8-991B-5F44C1090BEC}"/>
    <hyperlink ref="R1361" location="Quote!X71" tooltip="this is a Native plant, that naturally grows in our area, or, it is a cultivar of a Native plant, so it should be well suited" display="N" xr:uid="{5BE8DA57-9CF6-486D-AEB5-0E7E60E9F1AA}"/>
    <hyperlink ref="R1361:T1361" location="Ruby_Falls_Weeping_Redbud" tooltip="this is a Native plant, that naturally grows in our area ~ OR ~ it is a cultivar of a Native plant, so it should be well suited" display="N" xr:uid="{1FD1108D-E905-4D62-9E07-9CB2AACAD67E}"/>
    <hyperlink ref="K1395" r:id="rId444" tooltip="open Google Images page of this plant in a browser" xr:uid="{00000000-0004-0000-0000-00006C020000}"/>
    <hyperlink ref="L1395" r:id="rId445" tooltip="open NCSU Facts page of this plant in a browser" xr:uid="{00000000-0004-0000-0000-00006D020000}"/>
    <hyperlink ref="L1334" r:id="rId446" tooltip="open NCSU Facts page of this plant in a browser" xr:uid="{4878220C-6D31-49CC-9806-832DD8FBEC4D}"/>
    <hyperlink ref="K1334" r:id="rId447" tooltip="open Google Images page of this plant in a browser" xr:uid="{1EB9061A-20CB-4AA1-AD7A-7BF7195E728C}"/>
    <hyperlink ref="L1325" r:id="rId448" tooltip="open NCSU Facts page of this plant in a browser" xr:uid="{00000000-0004-0000-0000-00004A020000}"/>
    <hyperlink ref="K1325" r:id="rId449" tooltip="open Google Images page of this plant in a browser" xr:uid="{00000000-0004-0000-0000-00004B020000}"/>
    <hyperlink ref="L1447" r:id="rId450" tooltip="open NCSU Facts page of this plant in a browser" xr:uid="{00000000-0004-0000-0000-0000D9000000}"/>
    <hyperlink ref="K1447" r:id="rId451" tooltip="open Google Images page of this plant in a browser" xr:uid="{00000000-0004-0000-0000-0000E5000000}"/>
    <hyperlink ref="R1440:T1440" location="Rebel_Blueberry" tooltip="this is a Native plant, that naturally grows in our area ~ OR ~ it is a cultivar of a Native plant, so it should be well suited" display="N" xr:uid="{571F3C06-F7CA-4281-B326-74799B380149}"/>
    <hyperlink ref="R1435:T1435" location="American_Beautyberry" tooltip="this is a Native plant, that naturally grows in our area ~ OR ~ it is a cultivar of a Native plant, so it should be well suited" display="N" xr:uid="{EF76FB8F-75EA-45EE-974C-4B04878EA49F}"/>
    <hyperlink ref="R1420:T1420" location="Legacy_Blueberry" tooltip="this is a Native plant, that naturally grows in our area ~ OR ~ it is a cultivar of a Native plant, so it should be well suited" display="N" xr:uid="{99A6428B-5EA5-4C9D-92A9-245BCA6BEB9C}"/>
    <hyperlink ref="K1440" r:id="rId452" tooltip="open Google Images page of this plant in a browser" xr:uid="{8A98CD05-CC54-4B4B-9868-09312D726CA6}"/>
    <hyperlink ref="L1440" r:id="rId453" tooltip="open NCSU Facts page of this plant in a browser" xr:uid="{C1DD7C4E-995C-4B73-9EF2-BA8A22741033}"/>
    <hyperlink ref="K1450" r:id="rId454" tooltip="open Google Images page of this plant in a browser" xr:uid="{00000000-0004-0000-0000-0000A3020000}"/>
    <hyperlink ref="K1435" r:id="rId455" tooltip="open Google Images page of this plant in a browser" xr:uid="{00000000-0004-0000-0000-0000AD020000}"/>
    <hyperlink ref="L1435" r:id="rId456" tooltip="open NCSU Facts page of this plant in a browser" xr:uid="{00000000-0004-0000-0000-0000C7020000}"/>
    <hyperlink ref="L1450" r:id="rId457" tooltip="open NCSU Facts page of this plant in a browser" xr:uid="{00000000-0004-0000-0000-0000C8020000}"/>
    <hyperlink ref="K1432" r:id="rId458" tooltip="open Google Images page of this plant in a browser" xr:uid="{00000000-0004-0000-0000-0000E1020000}"/>
    <hyperlink ref="L1432" r:id="rId459" tooltip="open NCSU Facts page of this plant in a browser" xr:uid="{00000000-0004-0000-0000-0000E2020000}"/>
    <hyperlink ref="K1420" r:id="rId460" tooltip="open Google Images page of this plant in a browser" xr:uid="{00000000-0004-0000-0000-0000F1020000}"/>
    <hyperlink ref="L1420" r:id="rId461" tooltip="open NCSU Facts page of this plant in a browser" xr:uid="{00000000-0004-0000-0000-0000F2020000}"/>
    <hyperlink ref="L1428" r:id="rId462" tooltip="open NCSU Facts page of this plant in a browser" xr:uid="{00000000-0004-0000-0000-000006030000}"/>
    <hyperlink ref="L1417" r:id="rId463" tooltip="open NCSU Facts page of this plant in a browser" xr:uid="{00000000-0004-0000-0000-000007030000}"/>
    <hyperlink ref="K1417" r:id="rId464" tooltip="open Google Images page of this plant in a browser" xr:uid="{00000000-0004-0000-0000-000008030000}"/>
    <hyperlink ref="K1428" r:id="rId465" tooltip="open Google Images page of this plant in a browser" xr:uid="{00000000-0004-0000-0000-00001A030000}"/>
    <hyperlink ref="R1417" location="Quote!X71" tooltip="this is a Native plant, that naturally grows in our area, or, it is a cultivar of a Native plant, so it should be well suited" display="N" xr:uid="{00000000-0004-0000-0000-0000D7040000}"/>
    <hyperlink ref="R1417:T1417" location="Climax_Blueberry" tooltip="this is a Native plant, that naturally grows in our area ~ OR ~ it is a cultivar of a Native plant, so it should be well suited" display="N" xr:uid="{00000000-0004-0000-0000-0000D8040000}"/>
    <hyperlink ref="R1428" location="Quote!X71" tooltip="this is a Native plant, that naturally grows in our area, or, it is a cultivar of a Native plant, so it should be well suited" display="N" xr:uid="{00000000-0004-0000-0000-0000DB040000}"/>
    <hyperlink ref="R1428:T1428" location="Premier_Blueberry" tooltip="this is a Native plant, that naturally grows in our area ~ OR ~ it is a cultivar of a Native plant, so it should be well suited" display="N" xr:uid="{00000000-0004-0000-0000-0000DC040000}"/>
    <hyperlink ref="R1432" location="Quote!X71" tooltip="this is a Native plant, that naturally grows in our area, or, it is a cultivar of a Native plant, so it should be well suited" display="N" xr:uid="{00000000-0004-0000-0000-0000DD040000}"/>
    <hyperlink ref="R1432:T1432" location="Tifblue_Blueberry" tooltip="this is a Native plant, that naturally grows in our area ~ OR ~ it is a cultivar of a Native plant, so it should be well suited" display="N" xr:uid="{00000000-0004-0000-0000-0000DE040000}"/>
    <hyperlink ref="R1425:T1425" location="Powderblue_Blueberry" tooltip="this is a Native plant, that naturally grows in our area ~ OR ~ it is a cultivar of a Native plant, so it should be well suited" display="N" xr:uid="{00000000-0004-0000-0000-00000D050000}"/>
    <hyperlink ref="R1425" location="Quote!X71" tooltip="this is a Native plant, that naturally grows in our area, or, it is a cultivar of a Native plant, so it should be well suited" display="N" xr:uid="{00000000-0004-0000-0000-00000C050000}"/>
    <hyperlink ref="K1443" r:id="rId466" tooltip="open Google Images page of this plant in a browser" xr:uid="{00000000-0004-0000-0000-0000B4010000}"/>
    <hyperlink ref="L1443" r:id="rId467" tooltip="open NCSU Facts page of this plant in a browser" xr:uid="{00000000-0004-0000-0000-0000B3010000}"/>
    <hyperlink ref="L1425" r:id="rId468" tooltip="open NCSU Facts page of this plant in a browser" xr:uid="{00000000-0004-0000-0000-0000AC010000}"/>
    <hyperlink ref="K1425" r:id="rId469" tooltip="open Google Images page of this plant in a browser" xr:uid="{00000000-0004-0000-0000-0000AB010000}"/>
    <hyperlink ref="L1590" r:id="rId470" tooltip="open NCSU Facts page of this plant in a browser" xr:uid="{00000000-0004-0000-0000-00003E020000}"/>
    <hyperlink ref="K1590" r:id="rId471" tooltip="open Google Images page of this plant in a browser" xr:uid="{00000000-0004-0000-0000-00003F020000}"/>
    <hyperlink ref="L1587" r:id="rId472" tooltip="open NCSU Facts page of this plant in a browser" xr:uid="{00000000-0004-0000-0000-000053020000}"/>
    <hyperlink ref="K1587" r:id="rId473" tooltip="open Google Images page of this plant in a browser" xr:uid="{00000000-0004-0000-0000-000054020000}"/>
    <hyperlink ref="K1633" r:id="rId474" tooltip="open Google Images page of this plant in a browser" xr:uid="{00000000-0004-0000-0000-000095020000}"/>
    <hyperlink ref="K1620" r:id="rId475" tooltip="open Google Images page of this plant in a browser" xr:uid="{00000000-0004-0000-0000-000096020000}"/>
    <hyperlink ref="K1624" r:id="rId476" tooltip="open Google Images page of this plant in a browser" xr:uid="{00000000-0004-0000-0000-000097020000}"/>
    <hyperlink ref="K1648" r:id="rId477" tooltip="open Google Images page of this plant in a browser" xr:uid="{00000000-0004-0000-0000-0000AC020000}"/>
    <hyperlink ref="K1638" r:id="rId478" tooltip="open Google Images page of this plant in a browser" xr:uid="{00000000-0004-0000-0000-0000B1020000}"/>
    <hyperlink ref="L1620" r:id="rId479" tooltip="open NCSU Facts page of this plant in a browser" xr:uid="{00000000-0004-0000-0000-0000D2020000}"/>
    <hyperlink ref="L1624" r:id="rId480" tooltip="open NCSU Facts page of this plant in a browser" xr:uid="{00000000-0004-0000-0000-0000D3020000}"/>
    <hyperlink ref="L1633" r:id="rId481" tooltip="open NCSU Facts page of this plant in a browser" xr:uid="{00000000-0004-0000-0000-0000D4020000}"/>
    <hyperlink ref="L1648" r:id="rId482" tooltip="open NCSU Facts page of this plant in a browser" xr:uid="{00000000-0004-0000-0000-0000D5020000}"/>
    <hyperlink ref="L1638" r:id="rId483" tooltip="open NCSU Facts page of this plant in a browser" xr:uid="{00000000-0004-0000-0000-0000DF020000}"/>
    <hyperlink ref="L1652" r:id="rId484" tooltip="open NCSU Facts page of this plant in a browser" xr:uid="{00000000-0004-0000-0000-0000F5020000}"/>
    <hyperlink ref="K1652" r:id="rId485" tooltip="open Google Images page of this plant in a browser" xr:uid="{00000000-0004-0000-0000-0000AE030000}"/>
    <hyperlink ref="Q1651" location="TOP" tooltip="go to top of sheet" display="go to top" xr:uid="{00000000-0004-0000-0000-000059040000}"/>
    <hyperlink ref="Q1651:R1651" location="TOP" tooltip="go to top of this page, to categories list" display="top of page" xr:uid="{00000000-0004-0000-0000-00005A040000}"/>
    <hyperlink ref="R1587" location="Quote!X71" tooltip="this is a Native plant, that naturally grows in our area, or, it is a cultivar of a Native plant, so it should be well suited" display="N" xr:uid="{00000000-0004-0000-0000-000010050000}"/>
    <hyperlink ref="R1587:T1587" location="Loblolly_Pine" tooltip="this is a Native plant, that naturally grows in our area ~ OR ~ it is a cultivar of a Native plant, so it should be well suited" display="N" xr:uid="{00000000-0004-0000-0000-000011050000}"/>
    <hyperlink ref="K1489" r:id="rId486" tooltip="open Google Images page of this plant in a browser" xr:uid="{00000000-0004-0000-0000-0000F9020000}"/>
    <hyperlink ref="L1489" r:id="rId487" tooltip="open NCSU Facts page of this plant in a browser" xr:uid="{00000000-0004-0000-0000-0000F8020000}"/>
    <hyperlink ref="L1573" r:id="rId488" tooltip="open NCSU Facts page of this plant in a browser" xr:uid="{00000000-0004-0000-0000-0000ED020000}"/>
    <hyperlink ref="K1573" r:id="rId489" tooltip="open Google Images page of this plant in a browser" xr:uid="{00000000-0004-0000-0000-0000EC020000}"/>
    <hyperlink ref="L1510" r:id="rId490" tooltip="open NCSU Facts page of this plant in a browser" xr:uid="{00000000-0004-0000-0000-0000E4020000}"/>
    <hyperlink ref="K1510" r:id="rId491" tooltip="open Google Images page of this plant in a browser" xr:uid="{00000000-0004-0000-0000-0000E3020000}"/>
    <hyperlink ref="L1605" r:id="rId492" tooltip="open NCSU Facts page of this plant in a browser" xr:uid="{00000000-0004-0000-0000-0000CF020000}"/>
    <hyperlink ref="L1583" r:id="rId493" tooltip="open NCSU Facts page of this plant in a browser" xr:uid="{00000000-0004-0000-0000-0000CD020000}"/>
    <hyperlink ref="L1554" r:id="rId494" tooltip="open NCSU Facts page of this plant in a browser" xr:uid="{00000000-0004-0000-0000-0000CC020000}"/>
    <hyperlink ref="L1534" r:id="rId495" tooltip="open NCSU Facts page of this plant in a browser" xr:uid="{00000000-0004-0000-0000-0000CB020000}"/>
    <hyperlink ref="L1525" r:id="rId496" tooltip="open NCSU Facts page of this plant in a browser" xr:uid="{00000000-0004-0000-0000-0000CA020000}"/>
    <hyperlink ref="K1605" r:id="rId497" tooltip="open Google Images page of this plant in a browser" xr:uid="{00000000-0004-0000-0000-0000B5020000}"/>
    <hyperlink ref="K1554" r:id="rId498" tooltip="open Google Images page of this plant in a browser" xr:uid="{00000000-0004-0000-0000-0000B4020000}"/>
    <hyperlink ref="K1583" r:id="rId499" tooltip="open Google Images page of this plant in a browser" xr:uid="{00000000-0004-0000-0000-0000AE020000}"/>
    <hyperlink ref="K1534" r:id="rId500" tooltip="open Google Images page of this plant in a browser" xr:uid="{00000000-0004-0000-0000-00009D020000}"/>
    <hyperlink ref="K1525" r:id="rId501" tooltip="open Google Images page of this plant in a browser" xr:uid="{00000000-0004-0000-0000-00009C020000}"/>
    <hyperlink ref="L1543" r:id="rId502" tooltip="open NCSU Facts page of this plant in a browser" xr:uid="{00000000-0004-0000-0000-000073020000}"/>
    <hyperlink ref="K1543" r:id="rId503" tooltip="open Google Images page of this plant in a browser" xr:uid="{00000000-0004-0000-0000-000072020000}"/>
    <hyperlink ref="K1539" r:id="rId504" tooltip="open Google Images page of this plant in a browser" xr:uid="{00000000-0004-0000-0000-0000F8010000}"/>
    <hyperlink ref="L1539" r:id="rId505" tooltip="open NCSU Facts page of this plant in a browser" xr:uid="{00000000-0004-0000-0000-0000F7010000}"/>
    <hyperlink ref="K1235" r:id="rId506" tooltip="open Google Images page of this plant in a browser" xr:uid="{00000000-0004-0000-0000-0000F7000000}"/>
    <hyperlink ref="L1235" r:id="rId507" tooltip="open NCSU Facts page of this plant in a browser" xr:uid="{00000000-0004-0000-0000-0000F6000000}"/>
    <hyperlink ref="L1499" r:id="rId508" tooltip="open NCSU Facts page of this plant in a browser" xr:uid="{00000000-0004-0000-0000-0000C8000000}"/>
    <hyperlink ref="K1499" r:id="rId509" tooltip="open Google Images page of this plant in a browser" xr:uid="{00000000-0004-0000-0000-0000C7000000}"/>
    <hyperlink ref="L1531" r:id="rId510" tooltip="open NCSU Facts page of this plant in a browser" xr:uid="{00000000-0004-0000-0000-000076000000}"/>
    <hyperlink ref="K1531" r:id="rId511" tooltip="open Google Images page of this plant in a browser" xr:uid="{00000000-0004-0000-0000-000031000000}"/>
    <hyperlink ref="K1562" r:id="rId512" tooltip="open Google Images page of this plant in a browser" xr:uid="{11811E71-938F-492A-868B-FB6C4C74CA6B}"/>
    <hyperlink ref="L1562" r:id="rId513" tooltip="open NCSU Facts page of this plant in a browser" xr:uid="{6A4AB176-0D6B-4FD7-ABE0-5ED66D88AC54}"/>
    <hyperlink ref="L1495" r:id="rId514" tooltip="open NCSU Facts page of this plant in a browser" xr:uid="{55A5CC01-E700-45A7-B423-885A68695710}"/>
    <hyperlink ref="K1495" r:id="rId515" tooltip="open Google Images page of this plant in a browser" xr:uid="{AB4E72CB-07FF-490A-845D-D73703B05CD4}"/>
    <hyperlink ref="K1486" r:id="rId516" tooltip="open Google Images page of this plant in a browser" xr:uid="{9C56C8DF-93C3-406E-A15C-779CF91CBC45}"/>
    <hyperlink ref="L1486" r:id="rId517" tooltip="open NCSU Facts page of this plant in a browser" xr:uid="{14D36A3D-FF9E-4C47-AEA0-0FEEA605F94C}"/>
    <hyperlink ref="R1486:T1486" location="Variegated_Sweet_Flag" tooltip="this is a Native plant, that naturally grows in our area ~ OR ~ it is a cultivar of a Native plant, so it should be well suited" display="N" xr:uid="{9C8BFC5C-0E5D-41C7-96B9-5A0A03D3CA9C}"/>
    <hyperlink ref="R1562:T1562" location="Ogon_Sweet_Flag" tooltip="this is a Native plant, that naturally grows in our area ~ OR ~ it is a cultivar of a Native plant, so it should be well suited" display="N" xr:uid="{C5251BDC-E96F-453E-B3D4-74ACDF3B88F9}"/>
    <hyperlink ref="R1590" location="Quote!X71" tooltip="this is a Native plant, that naturally grows in our area, or, it is a cultivar of a Native plant, so it should be well suited" display="N" xr:uid="{A5EC41BF-157F-4A2A-A492-B34CE5EEB37F}"/>
    <hyperlink ref="R1590:T1590" location="Loblolly_Pine" tooltip="this is a Native plant, that naturally grows in our area ~ OR ~ it is a cultivar of a Native plant, so it should be well suited" display="N" xr:uid="{B4D33F35-CD2E-44CB-B87F-B6DA26055DA4}"/>
    <hyperlink ref="L1576" r:id="rId518" tooltip="open NCSU Facts page of this plant in a browser" xr:uid="{9D29200E-5715-4E64-B433-EC5633577A03}"/>
    <hyperlink ref="K1576" r:id="rId519" tooltip="open Google Images page of this plant in a browser" xr:uid="{0FF5B462-24E4-4EC1-8C68-7375008E3D5F}"/>
    <hyperlink ref="K1477" r:id="rId520" tooltip="open Google Images page of this plant in a browser" xr:uid="{9210F811-E1ED-469E-B4C3-ECD11AD24FE8}"/>
    <hyperlink ref="L1477" r:id="rId521" tooltip="open NCSU Facts page of this plant in a browser" xr:uid="{C62B425D-7E6E-4F2A-92D1-69583CED9557}"/>
    <hyperlink ref="R1461:T1461" location="Rosa_s_Blush_Dwarf_Blueberry" tooltip="this is a Native plant, that naturally grows in our area ~ OR ~ it is a cultivar of a Native plant, so it should be well suited" display="N" xr:uid="{0F97D7C6-46E2-426B-BA7F-C136E87BFD3A}"/>
    <hyperlink ref="K1461" r:id="rId522" tooltip="open Google Images page of this plant in a browser" xr:uid="{00000000-0004-0000-0000-000051020000}"/>
    <hyperlink ref="L1461" r:id="rId523" tooltip="open NCSU Facts page of this plant in a browser" xr:uid="{00000000-0004-0000-0000-000052020000}"/>
    <hyperlink ref="L1741" r:id="rId524" tooltip="open NCSU Facts page of this plant in a browser" xr:uid="{DDF813D3-B52D-4A18-9A8B-AC1CECF0FAF4}"/>
    <hyperlink ref="K1741" r:id="rId525" tooltip="open Google Images page of this plant in a browser" xr:uid="{70496D93-4D2D-46B0-BEC4-0B7B25B24157}"/>
    <hyperlink ref="R1683:T1683" location="Goldsturm_Black_Eyed_Susan" tooltip="this is a Native plant, that naturally grows in our area ~ OR ~ it is a cultivar of a Native plant, so it should be well suited" display="N" xr:uid="{3D7CE247-BB56-453A-8E94-C4BB426FFFF8}"/>
    <hyperlink ref="R1683" location="Quote!X71" tooltip="this is a Native plant, that naturally grows in our area, or, it is a cultivar of a Native plant, so it should be well suited" display="N" xr:uid="{0BDA8B04-CA57-4DE8-8A88-27F5C523824B}"/>
    <hyperlink ref="L1686" r:id="rId526" tooltip="open Grower Two inventory in a browser" xr:uid="{79B0252B-8FAA-47B6-9766-75DB0464F310}"/>
    <hyperlink ref="L1683" r:id="rId527" tooltip="open NCSU Facts page of this plant in a browser" xr:uid="{A773CC63-9BF3-4F03-B695-E7A2E91AB5E7}"/>
    <hyperlink ref="K1683" r:id="rId528" tooltip="open Google Images page of this plant in a browser" xr:uid="{4474B0C6-0BF0-47C9-872A-B551846543B6}"/>
    <hyperlink ref="L1723" r:id="rId529" tooltip="open NCSU Facts page of this plant in a browser" xr:uid="{00000000-0004-0000-0000-00002B050000}"/>
    <hyperlink ref="K1723" r:id="rId530" tooltip="open Google Images page of this plant in a browser" xr:uid="{00000000-0004-0000-0000-00002A050000}"/>
    <hyperlink ref="R1667:T1667" location="Shenandoah_Switch_Grass" tooltip="this is a Native plant, that naturally grows in our area ~ OR ~ it is a cultivar of a Native plant, so it should be well suited" display="N" xr:uid="{00000000-0004-0000-0000-0000F0040000}"/>
    <hyperlink ref="R1667" location="Quote!X71" tooltip="this is a Native plant, that naturally grows in our area, or, it is a cultivar of a Native plant, so it should be well suited" display="N" xr:uid="{00000000-0004-0000-0000-0000EF040000}"/>
    <hyperlink ref="R1661:T1661" location="Pink_Muhly_Grass" tooltip="this is a Native plant, that naturally grows in our area ~ OR ~ it is a cultivar of a Native plant, so it should be well suited" display="N" xr:uid="{00000000-0004-0000-0000-0000EE040000}"/>
    <hyperlink ref="R1661" location="Quote!X71" tooltip="this is a Native plant, that naturally grows in our area, or, it is a cultivar of a Native plant, so it should be well suited" display="N" xr:uid="{00000000-0004-0000-0000-0000ED040000}"/>
    <hyperlink ref="Q1698:R1698" location="TOP" tooltip="go to top of this page, to categories list" display="top of page" xr:uid="{00000000-0004-0000-0000-00005C040000}"/>
    <hyperlink ref="Q1698" location="TOP" tooltip="go to top of sheet" display="go to top" xr:uid="{00000000-0004-0000-0000-00005B040000}"/>
    <hyperlink ref="K1679" r:id="rId531" tooltip="open Google Images page of this plant in a browser" xr:uid="{00000000-0004-0000-0000-0000B2030000}"/>
    <hyperlink ref="L1679" r:id="rId532" tooltip="open NCSU Facts page of this plant in a browser" xr:uid="{00000000-0004-0000-0000-0000B0030000}"/>
    <hyperlink ref="K1661" r:id="rId533" tooltip="open Google Images page of this plant in a browser" xr:uid="{00000000-0004-0000-0000-0000E8020000}"/>
    <hyperlink ref="L1661" r:id="rId534" tooltip="open NCSU Facts page of this plant in a browser" xr:uid="{00000000-0004-0000-0000-0000E7020000}"/>
    <hyperlink ref="L1687" r:id="rId535" tooltip="open NCSU Facts page of this plant in a browser" xr:uid="{00000000-0004-0000-0000-0000E0020000}"/>
    <hyperlink ref="L1675" r:id="rId536" tooltip="open NCSU Facts page of this plant in a browser" xr:uid="{00000000-0004-0000-0000-0000DE020000}"/>
    <hyperlink ref="L1702" r:id="rId537" tooltip="open NCSU Facts page of this plant in a browser" xr:uid="{00000000-0004-0000-0000-0000DC020000}"/>
    <hyperlink ref="L1699" r:id="rId538" tooltip="open NCSU Facts page of this plant in a browser" xr:uid="{00000000-0004-0000-0000-0000DB020000}"/>
    <hyperlink ref="L1696" r:id="rId539" tooltip="open NCSU Facts page of this plant in a browser" xr:uid="{00000000-0004-0000-0000-0000D8020000}"/>
    <hyperlink ref="L1671" r:id="rId540" tooltip="open NCSU Facts page of this plant in a browser" xr:uid="{00000000-0004-0000-0000-0000D7020000}"/>
    <hyperlink ref="L1667" r:id="rId541" tooltip="open NCSU Facts page of this plant in a browser" xr:uid="{00000000-0004-0000-0000-0000D6020000}"/>
    <hyperlink ref="K1687" r:id="rId542" tooltip="open Google Images page of this plant in a browser" xr:uid="{00000000-0004-0000-0000-0000B3020000}"/>
    <hyperlink ref="K1671" r:id="rId543" tooltip="open Google Images page of this plant in a browser" xr:uid="{00000000-0004-0000-0000-0000B2020000}"/>
    <hyperlink ref="K1675" r:id="rId544" tooltip="open Google Images page of this plant in a browser" xr:uid="{00000000-0004-0000-0000-0000A1020000}"/>
    <hyperlink ref="K1699" r:id="rId545" tooltip="open Google Images page of this plant in a browser" xr:uid="{00000000-0004-0000-0000-0000A0020000}"/>
    <hyperlink ref="K1702" r:id="rId546" tooltip="open Google Images page of this plant in a browser" xr:uid="{00000000-0004-0000-0000-00009F020000}"/>
    <hyperlink ref="K1696" r:id="rId547" tooltip="open Google Images page of this plant in a browser" xr:uid="{00000000-0004-0000-0000-00009A020000}"/>
    <hyperlink ref="K1667" r:id="rId548" tooltip="open Google Images page of this plant in a browser" xr:uid="{00000000-0004-0000-0000-000099020000}"/>
    <hyperlink ref="K1717" r:id="rId549" tooltip="open Google Images page of this plant in a browser" xr:uid="{00000000-0004-0000-0000-0000E3010000}"/>
    <hyperlink ref="L1717" r:id="rId550" tooltip="open NCSU Facts page of this plant in a browser" xr:uid="{00000000-0004-0000-0000-0000E2010000}"/>
    <hyperlink ref="L1693" r:id="rId551" tooltip="open NCSU Facts page of this plant in a browser" xr:uid="{00000000-0004-0000-0000-000079000000}"/>
    <hyperlink ref="K1693" r:id="rId552" tooltip="open Google Images page of this plant in a browser" xr:uid="{00000000-0004-0000-0000-000023000000}"/>
    <hyperlink ref="L1753" r:id="rId553" tooltip="open NCSU Facts page of this plant in a browser" xr:uid="{00000000-0004-0000-0000-00002C050000}"/>
    <hyperlink ref="K1753" r:id="rId554" tooltip="open Google Images page of this plant in a browser" xr:uid="{00000000-0004-0000-0000-000029050000}"/>
    <hyperlink ref="D1801" r:id="rId555" display="Mike@Trees2Go.com" xr:uid="{FA94653C-7F6B-4DAF-9ED9-5BD9297E1D89}"/>
    <hyperlink ref="AA1799" r:id="rId556" xr:uid="{00000000-0004-0000-0000-0000EE030000}"/>
    <hyperlink ref="L597" r:id="rId557" tooltip="open NCSU Facts page of this plant in a browser" xr:uid="{7F3EBF73-ED24-4E04-853F-68F7C6639E69}"/>
    <hyperlink ref="K597" r:id="rId558" tooltip="open Google Images page of this plant in a browser" xr:uid="{725C10A6-2458-44B1-9CCD-B7BEF62C2F5F}"/>
    <hyperlink ref="L1744" r:id="rId559" tooltip="open NCSU Facts page of this plant in a browser" xr:uid="{00000000-0004-0000-0000-000028050000}"/>
    <hyperlink ref="K1744" r:id="rId560" tooltip="open Google Images page of this plant in a browser" xr:uid="{00000000-0004-0000-0000-000027050000}"/>
    <hyperlink ref="R62:U62" location="Foster_Holly" tooltip="this is a Native plant, that naturally grows in our area, or, it is a cultivar of a Native plant, so it should be well suited" display="N" xr:uid="{84AD5574-1FE8-4F96-86E3-A0E1DF9AACE3}"/>
    <hyperlink ref="R11:U11" location="Loblolly_Pine" tooltip="this is a Native plant, that naturally grows in our area, or, it is a cultivar of a Native plant, so it should be well suited" display="N" xr:uid="{1F372908-802F-408F-8E33-A3275F9789E5}"/>
    <hyperlink ref="R16:U16" location="Longleaf_Pine" tooltip="this is a Native plant, that naturally grows in our area ~ OR ~ it is a cultivar of a Native plant, so it should be well suited" display="N" xr:uid="{A252F7F6-75B9-4DD8-ABA6-2D9E6C640BCF}"/>
    <hyperlink ref="R54:T54" location="Brackens_Brown_Beauty" tooltip="this is a Native plant, that naturally grows in our area ~ OR ~ it is a cultivar of a Native plant, so it should be well suited" display="N" xr:uid="{77A5D7BC-F891-4720-99AF-23FC84A1FFAC}"/>
    <hyperlink ref="R54" location="Quote!X71" tooltip="this is a Native plant, that naturally grows in our area, or, it is a cultivar of a Native plant, so it should be well suited" display="N" xr:uid="{47595D5C-312D-4CC6-A684-A04E96E9AA35}"/>
    <hyperlink ref="R54:U54" location="Little_Gem_Magnolia" tooltip="this is a Native plant, that naturally grows in our area, or, it is a cultivar of a Native plant, so it should be well suited" display="N" xr:uid="{7C04AD56-6B71-4932-BFAE-39ACDB160310}"/>
    <hyperlink ref="R87:U87" location="Teddy_Bear_Magnolia" tooltip="this is a Native plant, that naturally grows in our area, or, it is a cultivar of a Native plant, so it should be well suited" display="N" xr:uid="{1B61A91C-8ED6-46B4-A671-8BCC11A95C07}"/>
    <hyperlink ref="R65:U65" location="Kay_Parris_Magnolia" tooltip="this is a Native plant, that naturally grows in our area, or, it is a cultivar of a Native plant, so it should be well suited" display="N" xr:uid="{D6007F8D-2C61-4D3E-BA72-1168463A029A}"/>
    <hyperlink ref="R101:U101" location="Brodie_Juniper" tooltip="this is a Native plant, that naturally grows in our area, or, it is a cultivar of a Native plant, so it should be well suited" display="N" xr:uid="{FDE5F9DF-3133-4256-B327-BB1204E7A95F}"/>
    <hyperlink ref="R112:U112" location="Wax_Myrtle" tooltip="this is a Native plant, that naturally grows in our area, or, it is a cultivar of a Native plant, so it should be well suited" display="N" xr:uid="{279BD745-42F0-4839-83C8-0BA2AF0E9AAF}"/>
    <hyperlink ref="R174:U174" location="DeGroot_s_Spire_Arborvitae" tooltip="this is a Native plant, that naturally grows in our area ~ OR ~ it is a cultivar of a Native plant, so it should be well suited" display="N" xr:uid="{919A6810-65F0-46B4-8D0A-3A00DC1E4A9A}"/>
    <hyperlink ref="R322:U322" location="White_Oak" tooltip="this is a Native plant, that naturally grows in our area, or, it is a cultivar of a Native plant, so it should be well suited" display="N" xr:uid="{A2D10E61-A269-481B-B33B-29F0922DADA4}"/>
    <hyperlink ref="R328:U328" location="Bald_Cypress" tooltip="this is a Native plant, that naturally grows in our area, or, it is a cultivar of a Native plant, so it should be well suited" display="N" xr:uid="{989C6640-9502-47C5-97A5-A43AF9A61104}"/>
    <hyperlink ref="R333:U333" location="Nuttall_Oak" tooltip="this is a Native plant, that naturally grows in our area, or, it is a cultivar of a Native plant, so it should be well suited" display="N" xr:uid="{B1AC23EB-2D3A-4835-A041-DC534002C941}"/>
    <hyperlink ref="R338:U338" location="Overcup_Oak" tooltip="this is a Native plant, that naturally grows in our area, or, it is a cultivar of a Native plant, so it should be well suited" display="N" xr:uid="{1FDC4B84-AC7A-4F70-A5A3-7FB31F369245}"/>
    <hyperlink ref="R346:U346" location="American_Beech" tooltip="this is a Native plant, that naturally grows in our area, or, it is a cultivar of a Native plant, so it should be well suited" display="N" xr:uid="{00532CFE-59ED-47A0-9CA3-A73969AE9C03}"/>
    <hyperlink ref="R359:U359" location="Pin_Oak" tooltip="this is a Native plant, that naturally grows in our area, or, it is a cultivar of a Native plant, so it should be well suited" display="N" xr:uid="{C918243C-337B-469B-8B9F-662138D7926F}"/>
    <hyperlink ref="R362:U362" location="Shumard_Oak" tooltip="this is a Native plant, that naturally grows in our area, or, it is a cultivar of a Native plant, so it should be well suited" display="N" xr:uid="{C2047C5F-0593-4FA8-866C-1EF47FDDD3A3}"/>
    <hyperlink ref="R369:U369" location="Legacy_Sugar_Maple" tooltip="this is a Native plant, that naturally grows in our area, or, it is a cultivar of a Native plant, so it should be well suited" display="N" xr:uid="{E4EC3BB8-C0FF-44A6-8B37-DF7346D07B85}"/>
    <hyperlink ref="R377:U377" location="Willow_Oak" tooltip="this is a Native plant, that naturally grows in our area, or, it is a cultivar of a Native plant, so it should be well suited" display="N" xr:uid="{9BCE92DA-500E-46C3-840B-E58B69EEB8C0}"/>
    <hyperlink ref="R383:U383" location="Sun_Valley_Red_Maple" tooltip="this is a Native plant, that naturally grows in our area, or, it is a cultivar of a Native plant, so it should be well suited" display="N" xr:uid="{FC56BF4D-207D-401C-8540-C031EC904199}"/>
    <hyperlink ref="R392:U392" location="Autumn_Gold_Ginkgo" tooltip="this is a Native plant, that naturally grows in our area, or, it is a cultivar of a Native plant, so it should be well suited" display="N" xr:uid="{ECE60D3F-F82C-4E58-89F5-1892B86A8C7B}"/>
    <hyperlink ref="R404:U404" location="Green_Gable_Black_Gum" tooltip="this is a Native plant, that naturally grows in our area, or, it is a cultivar of a Native plant, so it should be well suited" display="N" xr:uid="{F182A1EC-E125-4A8B-89C2-F4A96E3E891E}"/>
    <hyperlink ref="R411:U411" location="Redpointe__Red_Maple" tooltip="this is a Native plant, that naturally grows in our area, or, it is a cultivar of a Native plant, so it should be well suited" display="N" xr:uid="{DEBF9127-413A-42E5-BF58-07CDBE1F860D}"/>
    <hyperlink ref="R420:U420" location="October_Glory_Red_Maple" tooltip="this is a Native plant, that naturally grows in our area, or, it is a cultivar of a Native plant, so it should be well suited" display="N" xr:uid="{0E994416-F78B-4C40-92AF-C1851D10AB76}"/>
    <hyperlink ref="R424:U424" location="Brandywine_Red_Maple" tooltip="this is a Native plant, that naturally grows in our area, or, it is a cultivar of a Native plant, so it should be well suited" display="N" xr:uid="{34E4DB90-2884-4532-8E29-53F0704BF1D7}"/>
    <hyperlink ref="R428:U428" location="Dura_Heat_River_Birch" tooltip="this is a Native plant, that naturally grows in our area, or, it is a cultivar of a Native plant, so it should be well suited" display="N" xr:uid="{43233AE9-7BCF-4CB4-A98D-7BBFE1CF203C}"/>
    <hyperlink ref="R451:U451" location="American_Hornbeam" tooltip="this is a Native plant, that naturally grows in our area, or, it is a cultivar of a Native plant, so it should be well suited" display="N" xr:uid="{D7722220-9765-4811-9E0D-1F4D8CBF11B7}"/>
    <hyperlink ref="R705:U705" location="Hardy_Anise_Shrub" tooltip="this is a Native plant, that naturally grows in our area, or, it is a cultivar of a Native plant, so it should be well suited" display="N" xr:uid="{B2136FF4-2D6C-4C68-AC4C-7C0608123404}"/>
    <hyperlink ref="R790:U790" location="Woodland_Ruby_Anise" tooltip="this is a Native plant, that naturally grows in our area ~ OR ~ it is a cultivar of a Native plant, so it should be well suited" display="N" xr:uid="{6B3801A8-4B06-4AA5-9C09-DF3D9105CEF8}"/>
    <hyperlink ref="R943:U943" location="Dwarf_Yaupon_Holly" tooltip="this is a Native plant, that naturally grows in our area, or, it is a cultivar of a Native plant, so it should be well suited" display="N" xr:uid="{44C7EF08-5BA4-43B8-9357-5F0712CD0F86}"/>
    <hyperlink ref="R854:U854" location="Golden_Globe_Arborvitae" tooltip="this is a Native plant, that naturally grows in our area, or, it is a cultivar of a Native plant, so it should be well suited" display="N" xr:uid="{73DD689E-A68F-4B6B-8949-6ED75E112CFF}"/>
    <hyperlink ref="R964:U964" location="Hetz_Midget_Arborvitae" tooltip="this is a Native plant, that naturally grows in our area, or, it is a cultivar of a Native plant, so it should be well suited" display="N" xr:uid="{43DC4AFA-52BF-4D93-B119-7442595FF8CC}"/>
    <hyperlink ref="R1141:U1141" location="Aphrodite_Sweetshrub" tooltip="this is a Native plant, that naturally grows in our area, or, it is a cultivar of a Native plant, so it should be well suited" display="N" xr:uid="{60C3C399-8C14-468E-825B-B0CFDAC74DBE}"/>
    <hyperlink ref="R1167:U1167" location="Henry_s_Garnet_Virginia_Sweetspire" tooltip="this is a Native plant, that naturally grows in our area, or, it is a cultivar of a Native plant, so it should be well suited" display="N" xr:uid="{9709E88C-46AB-473E-BB9C-0B1309984620}"/>
    <hyperlink ref="R1255:U1255" location="Little_Henry__Virginia_Sweetspire" tooltip="this is a Native plant, that naturally grows in our area ~ OR ~ it is a cultivar of a Native plant, so it should be well suited" display="N" xr:uid="{B795FB62-5D46-46EE-AD0A-5EFEF406F78A}"/>
    <hyperlink ref="R1352:U1352" location="Lace_Parasol_Winged_Elm" tooltip="this is a Native plant, that naturally grows in our area, or, it is a cultivar of a Native plant, so it should be well suited" display="N" xr:uid="{F0D19008-7361-4ED9-B353-9C2D0FB13DF2}"/>
    <hyperlink ref="R1361:U1361" location="Golden_Falls_Weeping_Redbud" tooltip="this is a Native plant, that naturally grows in our area ~ OR ~ it is a cultivar of a Native plant, so it should be well suited" display="N" xr:uid="{1430444E-4D86-4366-B544-B95CE3E07746}"/>
    <hyperlink ref="R1417:U1417" location="Climax_Blueberry" tooltip="this is a Native plant, that naturally grows in our area ~ OR ~ it is a cultivar of a Native plant, so it should be well suited" display="N" xr:uid="{7B178B77-68D5-4517-B569-9F2EFD54407F}"/>
    <hyperlink ref="R1420:U1420" location="Legacy_Blueberry" tooltip="this is a Native plant, that naturally grows in our area ~ OR ~ it is a cultivar of a Native plant, so it should be well suited" display="N" xr:uid="{E3478F31-FC8B-4E25-AF9C-38F34C026CE7}"/>
    <hyperlink ref="R1425:U1425" location="Powderblue_Blueberry" tooltip="this is a Native plant, that naturally grows in our area, or, it is a cultivar of a Native plant, so it should be well suited" display="N" xr:uid="{7B60E571-5E5D-4B90-BE13-79E26A8B5E93}"/>
    <hyperlink ref="R1428:U1428" location="Premier_Blueberry" tooltip="this is a Native plant, that naturally grows in our area ~ OR ~ it is a cultivar of a Native plant, so it should be well suited" display="N" xr:uid="{31D29922-C936-41E3-A319-68F881805A44}"/>
    <hyperlink ref="R1432:U1432" location="Tifblue_Blueberry" tooltip="this is a Native plant, that naturally grows in our area ~ OR ~ it is a cultivar of a Native plant, so it should be well suited" display="N" xr:uid="{35233360-88E1-428E-BFC1-F5FCAACBF3AE}"/>
    <hyperlink ref="R1562:U1562" location="Ogon_Sweet_Flag" tooltip="this is a Native plant, that naturally grows in our area ~ OR ~ it is a cultivar of a Native plant, so it should be well suited" display="N" xr:uid="{7D2A762B-C1C7-4AF8-B565-8B1566E934D7}"/>
    <hyperlink ref="R1587:U1587" location="Emerald_Blue_Creeping_Phlox" tooltip="this is a Native plant, that naturally grows in our area ~ OR ~ it is a cultivar of a Native plant, so it should be well suited" display="N" xr:uid="{1D89D6FC-48BF-4E66-B3CF-B0938918F7B2}"/>
    <hyperlink ref="R1590:U1590" location="Fort_Hill_Creeping_Phlox" tooltip="this is a Native plant, that naturally grows in our area ~ OR ~ it is a cultivar of a Native plant, so it should be well suited" display="N" xr:uid="{F3C40CC7-A171-406A-8F6D-B6BD36BF1829}"/>
    <hyperlink ref="R1661:U1661" location="Pink_Muhly_Grass" tooltip="this is a Native plant, that naturally grows in our area, or, it is a cultivar of a Native plant, so it should be well suited" display="N" xr:uid="{5C7C6808-DD49-4F21-968A-FD629CF645D2}"/>
    <hyperlink ref="R1667:U1667" location="Shenandoah_Switch_Grass" tooltip="this is a Native plant, that naturally grows in our area, or, it is a cultivar of a Native plant, so it should be well suited" display="N" xr:uid="{002B5A96-33D7-4AE8-8090-DAB13B4F675C}"/>
    <hyperlink ref="R1683:U1683" location="Goldsturm_Black_Eyed_Susan" tooltip="this is a Native plant, that naturally grows in our area, or, it is a cultivar of a Native plant, so it should be well suited" display="N" xr:uid="{2488EC1D-B87A-4908-AFBF-3E875F9DB66C}"/>
    <hyperlink ref="G7:I7" location="DECIDUOUS_in_peach" tooltip="Deciduous plants lose their foliage each fall, and then grow all-new foliage around spring-time." display="DECIDUOUS in peach" xr:uid="{1E441282-19A4-4A15-B117-C5F836F858E2}"/>
    <hyperlink ref="C6" location="by_categories" tooltip="scroll over to categories at right, in top bar" display="by categories," xr:uid="{00000000-0004-0000-0000-000024050000}"/>
    <hyperlink ref="R7:S7" r:id="rId561" tooltip="open 811 Process page in a browser" display="https://nc811.org/safe-digging-process/" xr:uid="{00000000-0004-0000-0000-0000F0030000}"/>
    <hyperlink ref="C7:E7" location="EVERGREEN_plants_in_green" tooltip="Evergreen plants retain their foliage year-round. Includes 'Semi-Evergreen', which lose foliage randomly, but appear Evergreen most all the time. Colder winters tend to cause more defoliation." display="EVERGREEN plants in green" xr:uid="{00000000-0004-0000-0000-0000D6030000}"/>
    <hyperlink ref="Q320:R320" location="TOP" tooltip="go to top of this page, to categories list" display="top of page" xr:uid="{33E00F6B-1BE9-4C75-8603-440198A46AA5}"/>
    <hyperlink ref="Q320" location="TOP" tooltip="go to top of sheet" display="go to top" xr:uid="{BB34EF85-8678-4122-9A98-FD53532DE4A7}"/>
    <hyperlink ref="Q697:R697" location="TOP" tooltip="go to top of this page, to categories list" display="top of page" xr:uid="{695235B4-60C3-4E6D-8A9F-8FDC9497ED3B}"/>
    <hyperlink ref="Q697" location="TOP" tooltip="go to top of sheet" display="go to top" xr:uid="{D0C56BEE-2CF9-412D-9C0E-B2E27D065547}"/>
    <hyperlink ref="Q1099:R1099" location="TOP" tooltip="go to top of this page, to categories list" display="top of page" xr:uid="{BF100D40-9909-4B38-9862-AD9C35ADCA9A}"/>
    <hyperlink ref="Q1099" location="TOP" tooltip="go to top of sheet" display="go to top" xr:uid="{AEBB9DCD-F120-4CB4-A89B-FE246F5EDB5C}"/>
    <hyperlink ref="Q1328:R1328" location="TOP" tooltip="go to top of this page, to categories list" display="top of page" xr:uid="{D1898E32-D686-41D2-BDC9-B86E8B5C6612}"/>
    <hyperlink ref="Q1328" location="TOP" tooltip="go to top of sheet" display="go to top" xr:uid="{1F66F0BF-2135-411E-8E31-8C9A4FF9C9D3}"/>
    <hyperlink ref="Q1384:R1384" location="TOP" tooltip="go to top of this page, to categories list" display="top of page" xr:uid="{A1A3ED25-329F-4A81-9CDD-A46629D68CB2}"/>
    <hyperlink ref="Q1384" location="TOP" tooltip="go to top of sheet" display="go to top" xr:uid="{B04E8980-96DD-42B6-BFE3-A1EE648A29D2}"/>
    <hyperlink ref="Q1471:R1471" location="TOP" tooltip="go to top of this page, to categories list" display="top of page" xr:uid="{AF7DBD90-6650-46A8-8E70-FFF3D0D95B90}"/>
    <hyperlink ref="Q1471" location="TOP" tooltip="go to top of sheet" display="go to top" xr:uid="{C2F6EC15-FE4F-42AC-A05C-4479C8521D10}"/>
    <hyperlink ref="Q1612:R1612" location="TOP" tooltip="go to top of this page, to categories list" display="top of page" xr:uid="{F0E735B5-AF22-427B-A1E0-1E3A70EFD4A6}"/>
    <hyperlink ref="Q1612" location="TOP" tooltip="go to top of sheet" display="go to top" xr:uid="{81C3133E-35B2-45EB-B67B-8EFC42AF36BC}"/>
    <hyperlink ref="I8" location="QualityGuarantee" tooltip="go down to Guarantee near bottom" display="Guaranteed" xr:uid="{312138C8-B7E0-4174-86F5-65CC89C4C0AD}"/>
    <hyperlink ref="Q498:R498" location="TOP" tooltip="go to top of this page, to categories list" display="top of page" xr:uid="{D7386A54-1C66-496C-AE6E-63C562A81DDF}"/>
    <hyperlink ref="Q498" location="TOP" tooltip="go to top of sheet" display="go to top" xr:uid="{5DCD17CA-5897-4F5E-9960-7F0DCFAC718D}"/>
    <hyperlink ref="L491" r:id="rId562" tooltip="open NCSU Facts page of this plant in a browser" xr:uid="{0010E665-03C2-4A1F-8914-A4C8C97541B9}"/>
    <hyperlink ref="K491" r:id="rId563" tooltip="open Google Images page of this plant in a browser" xr:uid="{4A07C9E7-009A-45DA-9E7B-50E9725072A1}"/>
    <hyperlink ref="AK9:AL9" r:id="rId564" tooltip="open NewViewPlanting.com in a browser" display="NewViewPlanting.com" xr:uid="{32C47214-0322-4381-B297-33DC90796A58}"/>
    <hyperlink ref="BC1" r:id="rId565" location="PotSizeChart" tooltip="open Trees2Go FAQ page to the Pot Size Chart in a browser" xr:uid="{63B38B61-89A9-4CB6-9D60-C0651ED61334}"/>
    <hyperlink ref="K1092" r:id="rId566" tooltip="open Google Images page of this plant in a browser" xr:uid="{5DFA2D2B-C0D1-42BE-9869-E6AA7C475B80}"/>
    <hyperlink ref="L1092" r:id="rId567" tooltip="open NCSU Facts page of this plant in a browser" xr:uid="{700E3432-7BD7-426C-951E-61A7D6AAA7CA}"/>
    <hyperlink ref="K629" r:id="rId568" tooltip="open Google Images page of this plant in a browser" xr:uid="{F9DCFA7F-C490-4FF6-A698-CC6674B2DA77}"/>
    <hyperlink ref="L629" r:id="rId569" tooltip="open NCSU Facts page of this plant in a browser" xr:uid="{DAA474E3-20F4-4781-84F8-99E46DC4A111}"/>
    <hyperlink ref="K466" r:id="rId570" tooltip="open Google Images page of this plant in a browser" xr:uid="{00000000-0004-0000-0000-0000A6030000}"/>
    <hyperlink ref="K558" r:id="rId571" tooltip="open Google Images page of this plant in a browser" xr:uid="{32FF0600-8073-422F-AC06-F41055E9C4D8}"/>
    <hyperlink ref="L558" r:id="rId572" tooltip="open NCSU Facts page of this plant in a browser" xr:uid="{74508974-278C-413D-B984-8D31C56A4D76}"/>
    <hyperlink ref="L54" r:id="rId573" tooltip="open NCSU Facts page of this plant in a browser" xr:uid="{A72DB917-747D-4975-A586-4188BD2895E0}"/>
    <hyperlink ref="K54" r:id="rId574" tooltip="open Google Images page of this plant in a browser" xr:uid="{C6D8BE89-E611-44E1-BC9D-5E5A9F1AD9CA}"/>
    <hyperlink ref="L1275" r:id="rId575" tooltip="open NCSU Facts page of this plant in a browser" xr:uid="{00000000-0004-0000-0000-00005F020000}"/>
    <hyperlink ref="K1275" r:id="rId576" tooltip="open Google Images page of this plant in a browser" xr:uid="{00000000-0004-0000-0000-000060020000}"/>
    <hyperlink ref="K120" r:id="rId577" tooltip="open Google Images page of this plant in a browser" xr:uid="{77F7766D-A136-4DB8-B3FC-5A88708D753C}"/>
    <hyperlink ref="L120" r:id="rId578" tooltip="open NCSU Facts page of this plant in a browser" xr:uid="{189C5373-39FF-4284-9AA2-D08B9499F3A0}"/>
    <hyperlink ref="K1164" r:id="rId579" tooltip="open Google Images page of this plant in a browser" xr:uid="{2EE935C7-B475-4F38-94B6-DE0052186765}"/>
    <hyperlink ref="L1164" r:id="rId580" tooltip="open NCSU Facts page of this plant in a browser" xr:uid="{10503C02-34CB-40DD-B118-29AACD5E4603}"/>
    <hyperlink ref="L737" r:id="rId581" tooltip="open NCSU Facts page of this plant in a browser" xr:uid="{AA1358FF-29A5-49CF-ACD5-76BECBB01B45}"/>
    <hyperlink ref="K737" r:id="rId582" tooltip="open Google Images page of this plant in a browser" xr:uid="{9CE5B7C9-97CA-4598-8D5B-52D613ACDB6D}"/>
    <hyperlink ref="L932" r:id="rId583" tooltip="open NCSU Facts page of this plant in a browser" xr:uid="{C8E0930F-8407-435C-8597-A39E662B0C05}"/>
    <hyperlink ref="K932" r:id="rId584" tooltip="open Google Images page of this plant in a browser" xr:uid="{271FFFA2-48FA-42D6-BB19-51C7D350C4CC}"/>
    <hyperlink ref="K1713" r:id="rId585" tooltip="open Google Images page of this plant in a browser" xr:uid="{00000000-0004-0000-0000-0000B7020000}"/>
    <hyperlink ref="L1713" r:id="rId586" tooltip="open NCSU Facts page of this plant in a browser" xr:uid="{00000000-0004-0000-0000-0000DA020000}"/>
    <hyperlink ref="L1706" r:id="rId587" tooltip="open NCSU Facts page of this plant in a browser" xr:uid="{00000000-0004-0000-0000-0000AF030000}"/>
    <hyperlink ref="K1706" r:id="rId588" tooltip="open Google Images page of this plant in a browser" xr:uid="{00000000-0004-0000-0000-0000B1030000}"/>
    <hyperlink ref="R975:T975" location="Shamrock_Inkberry_Holly" tooltip="this is a Native plant, that naturally grows in our area ~ OR ~ it is a cultivar of a Native plant, so it should be well suited" display="N" xr:uid="{C897492B-333D-4D2D-8D63-F3300E37B664}"/>
    <hyperlink ref="R975" location="Quote!X71" tooltip="this is a Native plant, that naturally grows in our area, or, it is a cultivar of a Native plant, so it should be well suited" display="N" xr:uid="{4ED7B619-18BA-425D-B1EC-B70AC008B602}"/>
    <hyperlink ref="K1078" r:id="rId589" tooltip="open Google Images page of this plant in a browser" xr:uid="{00000000-0004-0000-0000-000048020000}"/>
    <hyperlink ref="L1078" r:id="rId590" tooltip="open NCSU Facts page of this plant in a browser" xr:uid="{00000000-0004-0000-0000-000049020000}"/>
    <hyperlink ref="L975" r:id="rId591" tooltip="open NCSU Facts page of this plant in a browser" xr:uid="{00000000-0004-0000-0000-00003A030000}"/>
    <hyperlink ref="K975" r:id="rId592" tooltip="open Google Images page of this plant in a browser" xr:uid="{00000000-0004-0000-0000-00004C030000}"/>
    <hyperlink ref="Q1080" location="TOP" tooltip="go to top of sheet" display="go to top" xr:uid="{00000000-0004-0000-0000-00003F040000}"/>
    <hyperlink ref="Q1080:R1080" location="TOP" tooltip="go to top of this page, to categories list" display="top of page" xr:uid="{00000000-0004-0000-0000-000040040000}"/>
    <hyperlink ref="R975:U975" location="Shamrock_Inkberry_Holly" tooltip="this is a Native plant, that naturally grows in our area, or, it is a cultivar of a Native plant, so it should be well suited" display="N" xr:uid="{75F31922-99DB-4F0C-A60D-45F25FDD84BD}"/>
    <hyperlink ref="K1401" r:id="rId593" tooltip="open Google Images page of this plant in a browser" xr:uid="{389E9E91-19D5-4496-9138-15F9D5611453}"/>
    <hyperlink ref="L1401" r:id="rId594" tooltip="open NCSU Facts page of this plant in a browser" xr:uid="{C6E43167-67C1-4A48-BC94-3F0A8382A243}"/>
    <hyperlink ref="L561" r:id="rId595" tooltip="open NCSU Facts page of this plant in a browser" xr:uid="{00000000-0004-0000-0000-000055000000}"/>
    <hyperlink ref="K561" r:id="rId596" tooltip="open Google Images page of this plant in a browser" xr:uid="{00000000-0004-0000-0000-000011000000}"/>
    <hyperlink ref="L978" r:id="rId597" tooltip="open NCSU Facts page of this plant in a browser" xr:uid="{00000000-0004-0000-0000-000037030000}"/>
    <hyperlink ref="K978" r:id="rId598" tooltip="open Google Images page of this plant in a browser" xr:uid="{00000000-0004-0000-0000-000061030000}"/>
    <hyperlink ref="K1732" r:id="rId599" tooltip="open Google Images page of this plant in a browser" xr:uid="{93B81384-520C-4AE3-BE8B-179BCB3A91B9}"/>
    <hyperlink ref="K1735" r:id="rId600" tooltip="open Google Images page of this plant in a browser" xr:uid="{C0EDB071-CC7C-47D7-856A-A37C167BDA07}"/>
    <hyperlink ref="K1729" r:id="rId601" tooltip="open Google Images page of this plant in a browser" xr:uid="{DE56DB18-5A45-4647-8AC4-0E5E0D9A67A9}"/>
    <hyperlink ref="L1729" r:id="rId602" tooltip="open NCSU Facts page of this plant in a browser" xr:uid="{4C959E9B-6776-4E91-9E66-6460B85DA32C}"/>
    <hyperlink ref="L69" r:id="rId603" tooltip="open NCSU Facts page of this plant in a browser" xr:uid="{FFE4DD32-D330-4F3F-99CA-06CE94855257}"/>
    <hyperlink ref="K69" r:id="rId604" tooltip="open Google Images page of this plant in a browser" xr:uid="{5E11FCA3-8A43-4947-98E0-EF7B73408565}"/>
    <hyperlink ref="L265" r:id="rId605" tooltip="open NCSU Facts page of this plant in a browser" xr:uid="{8E9958A5-0FE2-48ED-8EA2-235418BE4105}"/>
    <hyperlink ref="K265" r:id="rId606" tooltip="open Google Images page of this plant in a browser" xr:uid="{E3C86395-C14A-4985-8DD8-6EF4F46BBE48}"/>
    <hyperlink ref="K456" r:id="rId607" tooltip="open Google Images page of this plant in a browser" xr:uid="{BACBB899-EBC6-4B0F-978F-D6614F93AF30}"/>
    <hyperlink ref="L456" r:id="rId608" tooltip="open NCSU Facts page of this plant in a browser" xr:uid="{B9855E19-94A5-4EC6-AB8A-D4823131B60C}"/>
    <hyperlink ref="K1645" r:id="rId609" tooltip="open Google Images page of this plant in a browser" xr:uid="{6EA21459-07E6-4A76-B8C9-FE94BA525A39}"/>
    <hyperlink ref="L1645" r:id="rId610" tooltip="open NCSU Facts page of this plant in a browser" xr:uid="{B8442B4B-CC2A-4B49-92C9-1E5EFA613567}"/>
    <hyperlink ref="L1720" r:id="rId611" tooltip="open NCSU Facts page of this plant in a browser" xr:uid="{FB1E1679-8EBB-4A81-BD35-572C130BB44C}"/>
    <hyperlink ref="K1720" r:id="rId612" tooltip="open Google Images page of this plant in a browser" xr:uid="{6E717584-0BEA-441B-BDCF-DDCB4FA12D8D}"/>
    <hyperlink ref="L1480" r:id="rId613" tooltip="open NCSU Facts page of this plant in a browser" xr:uid="{950C0D54-DC66-4FB5-B4F0-4AFE0E159A4B}"/>
    <hyperlink ref="K1480" r:id="rId614" tooltip="open Google Images page of this plant in a browser" xr:uid="{05FBBA96-CBFC-4161-8E1E-95BBCF9A251A}"/>
    <hyperlink ref="K913" r:id="rId615" tooltip="open Google Images page of this plant in a browser" xr:uid="{768BB882-CFA3-47A4-BC94-2BE965C65183}"/>
    <hyperlink ref="L913" r:id="rId616" tooltip="open NCSU Facts page of this plant in a browser" xr:uid="{E79F40C5-18A6-4580-9A04-4D7076AA814F}"/>
    <hyperlink ref="K1392" r:id="rId617" tooltip="open Google Images page of this plant in a browser" xr:uid="{3EEFC255-9C48-4E97-B62A-6A9EE6240B62}"/>
    <hyperlink ref="L1392" r:id="rId618" tooltip="open NCSU Facts page of this plant in a browser" xr:uid="{8213189B-8D71-45A2-BD88-442498A68A02}"/>
    <hyperlink ref="L1726" r:id="rId619" tooltip="open NCSU Facts page of this plant in a browser" xr:uid="{9F1F1D5E-4D5F-4774-A4D5-40D162769BC2}"/>
    <hyperlink ref="K1726" r:id="rId620" tooltip="open Google Images page of this plant in a browser" xr:uid="{2841DC9B-F3E1-4AB3-8F08-018B7D6C2E2D}"/>
    <hyperlink ref="R1521:T1521" location="Homestead_Purple_Verbena" tooltip="this is a Native plant, that naturally grows in our area ~ OR ~ it is a cultivar of a Native plant, so it should be well suited" display="N" xr:uid="{1CBE5B08-AE43-4C80-B849-889F4E1C50AF}"/>
    <hyperlink ref="K1521" r:id="rId621" tooltip="open Google Images page of this plant in a browser" xr:uid="{00000000-0004-0000-0000-0000B6020000}"/>
    <hyperlink ref="L1521" r:id="rId622" tooltip="open NCSU Facts page of this plant in a browser" xr:uid="{00000000-0004-0000-0000-0000C9020000}"/>
    <hyperlink ref="K1506" r:id="rId623" tooltip="open Google Images page of this plant in a browser" xr:uid="{00000000-0004-0000-0000-0000EF020000}"/>
    <hyperlink ref="L1506" r:id="rId624" tooltip="open NCSU Facts page of this plant in a browser" xr:uid="{00000000-0004-0000-0000-0000F0020000}"/>
    <hyperlink ref="Q1509" location="TOP" tooltip="go to top of sheet" display="go to top" xr:uid="{00000000-0004-0000-0000-000053040000}"/>
    <hyperlink ref="Q1509:R1509" location="TOP" tooltip="go to top of this page, to categories list" display="top of page" xr:uid="{00000000-0004-0000-0000-000054040000}"/>
    <hyperlink ref="L1515" r:id="rId625" tooltip="open NCSU Facts page of this plant in a browser" xr:uid="{1819625F-81D4-490D-9789-1A00BB5F0506}"/>
    <hyperlink ref="K1515" r:id="rId626" tooltip="open Google Images page of this plant in a browser" xr:uid="{66F5D098-CDA0-4A10-9509-1C1CAF405E1A}"/>
    <hyperlink ref="K30" r:id="rId627" tooltip="open Google Images page of this plant in a browser" xr:uid="{D451ADC7-43D5-4BA6-A231-69D3AAB2B5A2}"/>
    <hyperlink ref="L30" r:id="rId628" tooltip="open NCSU Facts page of this plant in a browser" xr:uid="{00000000-0004-0000-0000-000027010000}"/>
    <hyperlink ref="R25:U25" location="Bracken_Brown_Beauty_Magnolia" tooltip="this is a Native plant, that naturally grows in our area, or, it is a cultivar of a Native plant, so it should be well suited" display="N" xr:uid="{3336ECAB-BB88-4417-B612-52E7DEE8CC51}"/>
    <hyperlink ref="K25" r:id="rId629" tooltip="open Google Images page of this plant in a browser" xr:uid="{00000000-0004-0000-0000-000025010000}"/>
    <hyperlink ref="L25" r:id="rId630" tooltip="open Missouri BotanicaL Garden page of this plant in a browser" xr:uid="{00000000-0004-0000-0000-000026010000}"/>
    <hyperlink ref="R25" location="Quote!X71" tooltip="this is a Native plant, that naturally grows in our area, or, it is a cultivar of a Native plant, so it should be well suited" display="N" xr:uid="{00000000-0004-0000-0000-000031050000}"/>
    <hyperlink ref="R25:T25" location="Brackens_Brown_Beauty" tooltip="this is a Native plant, that naturally grows in our area ~ OR ~ it is a cultivar of a Native plant, so it should be well suited" display="N" xr:uid="{00000000-0004-0000-0000-000032050000}"/>
    <hyperlink ref="P5:X5" location="TREES2GO_NOTES" tooltip="go to PLANT NOTES at right" display="Plant notes &gt;&gt;" xr:uid="{B9EEE4B4-1672-48A2-8838-11B39FD93F6D}"/>
    <hyperlink ref="L1268" r:id="rId631" tooltip="open NCSU Facts page of this plant in a browser" xr:uid="{315D4083-3766-428B-A79F-31C76363A31C}"/>
    <hyperlink ref="K1268" r:id="rId632" tooltip="open Google Images page of this plant in a browser" xr:uid="{F1BBA2C3-962C-4944-BA08-88F51C58ED8B}"/>
    <hyperlink ref="L1732" r:id="rId633" tooltip="open NCSU Facts page of this plant in a browser" xr:uid="{34084A8A-2BAC-4C43-82E7-21DE1C6B4512}"/>
    <hyperlink ref="R350:T350" location="Overcup_Oak" tooltip="this is a Native plant, that naturally grows in our area ~ OR ~ it is a cultivar of a Native plant, so it should be well suited" display="N" xr:uid="{ECA70F3A-9B5A-4580-8C74-BA5FE214B9D2}"/>
    <hyperlink ref="R350" location="Quote!X71" tooltip="this is a Native plant, that naturally grows in our area, or, it is a cultivar of a Native plant, so it should be well suited" display="N" xr:uid="{3DC1317B-192A-4EFF-A3F4-AAE41C6BD67D}"/>
    <hyperlink ref="K350" r:id="rId634" tooltip="open Google Images page of this plant in a browser" xr:uid="{06CFAC74-1A19-4D07-AA11-8330F9313E57}"/>
    <hyperlink ref="L350" r:id="rId635" tooltip="open NCSU Facts page of this plant in a browser" xr:uid="{326F19A6-7520-456B-A5CF-9FD8D915AB74}"/>
    <hyperlink ref="R350:U350" location="Overcup_Oak" tooltip="this is a Native plant, that naturally grows in our area, or, it is a cultivar of a Native plant, so it should be well suited" display="N" xr:uid="{03528F30-75AF-492F-8E81-306D13FC9685}"/>
    <hyperlink ref="L1735" r:id="rId636" tooltip="open NCSU Facts page of this plant in a browser" xr:uid="{2061DC64-B9D2-46C6-B3C9-4860FFD4CC0E}"/>
    <hyperlink ref="L585" r:id="rId637" tooltip="open NCSU Facts page of this plant in a browser" xr:uid="{B9250596-65E1-4518-A27D-58755F517888}"/>
    <hyperlink ref="K585" r:id="rId638" tooltip="open Google Images page of this plant in a browser" xr:uid="{CAF75DBD-516F-49E2-9DA4-FD4744CB9A13}"/>
    <hyperlink ref="K1389" r:id="rId639" tooltip="open Google Images page of this plant in a browser" xr:uid="{4D11CC5D-6289-45B9-94F9-85E5B3D476E1}"/>
    <hyperlink ref="L1389" r:id="rId640" tooltip="open NCSU Facts page of this plant in a browser" xr:uid="{9D30B739-38D2-48E3-9EE9-16DC4E985E9F}"/>
    <hyperlink ref="L1398" r:id="rId641" tooltip="open NCSU Facts page of this plant in a browser" xr:uid="{7DD81A9E-82F8-494E-ABEB-CC23774A5ACA}"/>
    <hyperlink ref="K1398" r:id="rId642" tooltip="open Google Images page of this plant in a browser" xr:uid="{0017ECE1-B9B1-4197-BA2D-35E79BA00128}"/>
    <hyperlink ref="K1567" r:id="rId643" tooltip="open Google Images page of this plant in a browser" xr:uid="{10F03938-440F-4736-B434-7D815DECFBE2}"/>
    <hyperlink ref="L1567" r:id="rId644" tooltip="open NCSU Facts page of this plant in a browser" xr:uid="{C6514B54-B93C-48AE-A7D2-2B0E5ABB3093}"/>
    <hyperlink ref="L1593" r:id="rId645" tooltip="open NCSU Facts page of this plant in a browser" xr:uid="{0B652191-535D-4B47-9395-13BAFA3754D7}"/>
    <hyperlink ref="K1593" r:id="rId646" tooltip="open Google Images page of this plant in a browser" xr:uid="{CB46B41C-3554-4264-908C-216DA3845B8E}"/>
    <hyperlink ref="K1483" r:id="rId647" tooltip="open Google Images page of this plant in a browser" xr:uid="{FDD0BDCC-A9BA-4913-B983-FC4012027ED1}"/>
    <hyperlink ref="L1483" r:id="rId648" tooltip="open NCSU Facts page of this plant in a browser" xr:uid="{13B354FD-50C6-4607-914B-CB3BFC975DB6}"/>
    <hyperlink ref="L1109" r:id="rId649" tooltip="open NCSU Facts page of this plant in a browser" xr:uid="{E8B98E37-4286-47D4-AB60-C08F98C53DC2}"/>
    <hyperlink ref="K1109" r:id="rId650" tooltip="open Google Images page of this plant in a browser" xr:uid="{6A52FB1D-FA41-4C40-B47E-C21C696FF009}"/>
    <hyperlink ref="K1358" r:id="rId651" tooltip="open Google Images page of this plant in a browser" xr:uid="{47BDF5D3-EE18-46A9-9F30-34B009D04231}"/>
    <hyperlink ref="L1358" r:id="rId652" tooltip="open NCSU Facts page of this plant in a browser" xr:uid="{85AFC26E-28E2-47B6-B35B-527D64EA2ACC}"/>
    <hyperlink ref="L1262" r:id="rId653" tooltip="open NCSU Facts page of this plant in a browser" xr:uid="{CC02D8DC-B95C-4FAB-BF94-17C8CE16B2BF}"/>
    <hyperlink ref="K1262" r:id="rId654" tooltip="open Google Images page of this plant in a browser" xr:uid="{037D1BFD-E6AB-436F-AAEB-133055400A3C}"/>
    <hyperlink ref="L603" r:id="rId655" tooltip="open NCSU Facts page of this plant in a browser" xr:uid="{80D8C92B-F00B-4C84-9792-0070B18C3E77}"/>
    <hyperlink ref="K603" r:id="rId656" tooltip="open Google Images page of this plant in a browser" xr:uid="{84E77822-7F7D-4141-843D-49F63D43BD44}"/>
    <hyperlink ref="L1551" r:id="rId657" tooltip="open NCSU Facts page of this plant in a browser" xr:uid="{D32F7515-FA20-408F-B619-888C94DE96A2}"/>
    <hyperlink ref="K1551" r:id="rId658" tooltip="open Google Images page of this plant in a browser" xr:uid="{D8401B18-6F43-4D70-B7C8-A7FAC5321EE3}"/>
    <hyperlink ref="K1458" r:id="rId659" tooltip="open Google Images page of this plant in a browser" xr:uid="{0F9F24A4-E256-4FF4-98A9-E07761B7E490}"/>
    <hyperlink ref="L1458" r:id="rId660" tooltip="open NCSU Facts page of this plant in a browser" xr:uid="{53D2B0C3-92F3-411D-AEEF-04079E4359BE}"/>
    <hyperlink ref="L691" r:id="rId661" tooltip="open NCSU Facts page of this plant in a browser" xr:uid="{FA0A4395-35C7-49BC-9191-3EB35165ADBB}"/>
    <hyperlink ref="K691" r:id="rId662" tooltip="open Google Images page of this plant in a browser" xr:uid="{D4075953-C14A-43C7-9BF6-6820AE223516}"/>
    <hyperlink ref="L685" r:id="rId663" tooltip="open NCSU Facts page of this plant in a browser" xr:uid="{7D19D0ED-8327-4105-8154-10B4284C6C42}"/>
    <hyperlink ref="K685" r:id="rId664" tooltip="open Google Images page of this plant in a browser" xr:uid="{8EB7FF86-2DE2-4621-873A-886A707E6239}"/>
    <hyperlink ref="L1112" r:id="rId665" tooltip="open NCSU Facts page of this plant in a browser" xr:uid="{15555BA4-3779-4931-9996-949BADC0FC80}"/>
    <hyperlink ref="K1112" r:id="rId666" tooltip="open Google Images page of this plant in a browser" xr:uid="{E0BCEA06-13BF-4E0F-BE31-BA89EA0FED70}"/>
    <hyperlink ref="R1129:U1129" location="Alice_Oakleaf_Hydrangea" tooltip="this is a Native plant, that naturally grows in our area, or, it is a cultivar of a Native plant, so it should be well suited" display="N" xr:uid="{C12637A8-4D01-4A3A-87A1-52F7782CB431}"/>
    <hyperlink ref="L1337" r:id="rId667" tooltip="open NCSU Facts page of this plant in a browser" xr:uid="{00000000-0004-0000-0000-0000CC000000}"/>
    <hyperlink ref="K1337" r:id="rId668" tooltip="open Google Images page of this plant in a browser" xr:uid="{00000000-0004-0000-0000-0000CD000000}"/>
    <hyperlink ref="K1343" r:id="rId669" tooltip="open Google Images page of this plant in a browser" xr:uid="{00000000-0004-0000-0000-0000E9000000}"/>
    <hyperlink ref="L1343" r:id="rId670" tooltip="open NCSU Facts page of this plant in a browser" xr:uid="{00000000-0004-0000-0000-0000DD000000}"/>
    <hyperlink ref="L1129" r:id="rId671" tooltip="open NCSU Facts page of this plant in a browser" xr:uid="{00000000-0004-0000-0000-000062020000}"/>
    <hyperlink ref="K1129" r:id="rId672" tooltip="open Google Images page of this plant in a browser" xr:uid="{00000000-0004-0000-0000-000063020000}"/>
    <hyperlink ref="R1129" location="Quote!X71" tooltip="this is a Native plant, that naturally grows in our area, or, it is a cultivar of a Native plant, so it should be well suited" display="N" xr:uid="{00000000-0004-0000-0000-0000C3040000}"/>
    <hyperlink ref="R1129:T1129" location="Alice_Oakleaf_Hydrangea" tooltip="this is a Native plant, that naturally grows in our area ~ OR ~ it is a cultivar of a Native plant, so it should be well suited" display="N" xr:uid="{00000000-0004-0000-0000-0000C4040000}"/>
    <hyperlink ref="K972" r:id="rId673" tooltip="open Google Images page of this plant in a browser" xr:uid="{00000000-0004-0000-0000-000062030000}"/>
    <hyperlink ref="L972" r:id="rId674" tooltip="open NCSU Facts page of this plant in a browser" xr:uid="{00000000-0004-0000-0000-00003B030000}"/>
    <hyperlink ref="L715" r:id="rId675" tooltip="open NCSU Facts page of this plant in a browser" xr:uid="{8636548A-E589-4051-808D-CAE87B747253}"/>
    <hyperlink ref="K715" r:id="rId676" tooltip="open Google Images page of this plant in a browser" xr:uid="{64C215BA-DB55-4B33-978C-7E10E535D9C4}"/>
    <hyperlink ref="L819" r:id="rId677" tooltip="open NCSU Facts page of this plant in a browser" xr:uid="{5E8E9AAD-0244-49DA-94AE-7BA8C49C4119}"/>
    <hyperlink ref="K819" r:id="rId678" tooltip="open Google Images page of this plant in a browser" xr:uid="{0EBBE1BE-1A2E-4C48-95AC-E6F133334544}"/>
    <hyperlink ref="R459:U459" location="Cherokee_Princess_Dogwood__white__Cornus_florida__Cherokee_Princess" tooltip="this is a Native plant, that naturally grows in our area, or, it is a cultivar of a Native plant, so it should be well suited" display="N" xr:uid="{4EF0C46D-B786-4D40-9755-08D6A9738281}"/>
    <hyperlink ref="R1596:U1596" location="Dwarf_Golden_Sweet_Flag" tooltip="this is a Native plant, that naturally grows in our area ~ OR ~ it is a cultivar of a Native plant, so it should be well suited" display="N" xr:uid="{6AB5497E-3093-45A1-B947-70E014645098}"/>
    <hyperlink ref="R1156:U1156" location="Ruby_Spice_Summersweet" tooltip="this is a Native plant, that naturally grows in our area, or, it is a cultivar of a Native plant, so it should be well suited" display="N" xr:uid="{582EFEF9-0735-42F7-8FC6-1015EF8DA3BC}"/>
    <hyperlink ref="R325:U325" location="Shagbark_Hickory" tooltip="this is a Native plant, that naturally grows in our area, or, it is a cultivar of a Native plant, so it should be well suited" display="N" xr:uid="{97925404-943E-41E1-8394-2D4EAC3C6EF9}"/>
    <hyperlink ref="R1386:U1386" location="Pawpaw_Tree__purple___💧wet_sites_OK__Asimina_triloba" tooltip="this is a Native plant, that naturally grows in our area ~ OR ~ it is a cultivar of a Native plant, so it should be well suited" display="N" xr:uid="{ECD7D879-5C9B-470B-B8BC-AEDEEFFE48BE}"/>
    <hyperlink ref="R1386:T1386" location="Pawpaw_Tree" tooltip="this is a Native plant, that naturally grows in our area ~ OR ~ it is a cultivar of a Native plant, so it should be well suited" display="N" xr:uid="{39D5A37E-12E0-4553-BE97-109B2071A11D}"/>
    <hyperlink ref="K1386" r:id="rId679" tooltip="open Google Images page of this plant in a browser" xr:uid="{27BCD3A8-C278-4C7D-8EB5-A57D499CD238}"/>
    <hyperlink ref="L1386" r:id="rId680" tooltip="open NCSU Facts page of this plant in a browser" xr:uid="{8771CBA5-CDC4-432C-8AA5-988E55B1AA8E}"/>
    <hyperlink ref="K459" r:id="rId681" tooltip="open Google Images page of this plant in a browser" xr:uid="{B128C59B-3B97-4B52-8B76-0AAEF47B3491}"/>
    <hyperlink ref="L459" r:id="rId682" tooltip="open NCSU Facts page of this plant in a browser" xr:uid="{1DE21108-6082-45CD-AD5B-B93FA0D5D0C2}"/>
    <hyperlink ref="R459" location="Quote!X71" tooltip="this is a Native plant, that naturally grows in our area, or, it is a cultivar of a Native plant, so it should be well suited" display="N" xr:uid="{8528CE45-024F-4D24-B79C-8AA55B8B2317}"/>
    <hyperlink ref="R459:T459" location="Cherokee_Princess_Dogwood" tooltip="this is a Native plant, that naturally grows in our area ~ OR ~ it is a cultivar of a Native plant, so it should be well suited" display="N" xr:uid="{10C9EF97-7282-4A84-A370-81E1CF69AD7B}"/>
    <hyperlink ref="L1105" r:id="rId683" tooltip="open NCSU Facts page of this plant in a browser" xr:uid="{A008BF49-1E1F-47AA-8C9C-4F2A02C86438}"/>
    <hyperlink ref="K1105" r:id="rId684" tooltip="open Google Images page of this plant in a browser" xr:uid="{15AFC5D6-776C-4B49-9C3A-82644A3DC718}"/>
    <hyperlink ref="L1156" r:id="rId685" tooltip="open NCSU Facts page of this plant in a browser" xr:uid="{4CB7F073-8574-437E-8B9E-37D0086E1C2F}"/>
    <hyperlink ref="K1156" r:id="rId686" tooltip="open Google Images page of this plant in a browser" xr:uid="{BCE659AC-0AA0-4E39-9123-87786D773555}"/>
    <hyperlink ref="R1156" location="Quote!X71" tooltip="this is a Native plant, that naturally grows in our area, or, it is a cultivar of a Native plant, so it should be well suited" display="N" xr:uid="{3A9FF76A-6812-44E3-8FC2-4E237C3742EB}"/>
    <hyperlink ref="R1156:T1156" location="Ruby_Spice_Summersweet" tooltip="this is a Native plant, that naturally grows in our area ~ OR ~ it is a cultivar of a Native plant, so it should be well suited" display="N" xr:uid="{66F4888C-81DF-42AE-AF8B-E4D4125DA8EB}"/>
    <hyperlink ref="K1596" r:id="rId687" tooltip="open Google Images page of this plant in a browser" xr:uid="{834D13A9-8A11-4B2F-8E52-B24BD86F1516}"/>
    <hyperlink ref="L1596" r:id="rId688" tooltip="open NCSU Facts page of this plant in a browser" xr:uid="{668DEAA2-7610-4B5F-850E-2EC7A03292D4}"/>
    <hyperlink ref="R1596:T1596" location="Palace_Purple_Coral_Bells" tooltip="this is a Native plant, that naturally grows in our area ~ OR ~ it is a cultivar of a Native plant, so it should be well suited" display="N" xr:uid="{5B97A59D-793F-49FF-AB92-96D38037AFE5}"/>
    <hyperlink ref="L1330" r:id="rId689" tooltip="open NCSU Facts page of this plant in a browser" xr:uid="{00000000-0004-0000-0000-0000BF020000}"/>
    <hyperlink ref="K1330" r:id="rId690" tooltip="open Google Images page of this plant in a browser" xr:uid="{00000000-0004-0000-0000-0000AB020000}"/>
    <hyperlink ref="K1346" r:id="rId691" tooltip="open Google Images page of this plant in a browser" xr:uid="{00000000-0004-0000-0000-00008F020000}"/>
    <hyperlink ref="L1346" r:id="rId692" tooltip="open NCSU Facts page of this plant in a browser" xr:uid="{00000000-0004-0000-0000-0000C2020000}"/>
    <hyperlink ref="L929" r:id="rId693" tooltip="open NCSU Facts page of this plant in a browser" xr:uid="{00000000-0004-0000-0000-00009C010000}"/>
    <hyperlink ref="K929" r:id="rId694" tooltip="open Google Images page of this plant in a browser" xr:uid="{00000000-0004-0000-0000-00009D010000}"/>
    <hyperlink ref="L969" r:id="rId695" tooltip="open NCSU Facts page of this plant in a browser" xr:uid="{00000000-0004-0000-0000-00003C030000}"/>
    <hyperlink ref="K969" r:id="rId696" tooltip="open Google Images page of this plant in a browser" xr:uid="{00000000-0004-0000-0000-000063030000}"/>
    <hyperlink ref="L839" r:id="rId697" tooltip="open NCSU Facts page of this plant in a browser" xr:uid="{00000000-0004-0000-0000-000078030000}"/>
    <hyperlink ref="K839" r:id="rId698" tooltip="open Google Images page of this plant in a browser" xr:uid="{00000000-0004-0000-0000-000079030000}"/>
    <hyperlink ref="L773" r:id="rId699" tooltip="open NCSU Facts page of this plant in a browser" xr:uid="{00000000-0004-0000-0000-000086030000}"/>
    <hyperlink ref="K773" r:id="rId700" tooltip="open Google Images page of this plant in a browser" xr:uid="{00000000-0004-0000-0000-000087030000}"/>
    <hyperlink ref="K651" r:id="rId701" tooltip="open Google Images page of this plant in a browser" xr:uid="{00000000-0004-0000-0000-000019000000}"/>
    <hyperlink ref="L651" r:id="rId702" tooltip="open NCSU Facts page of this plant in a browser" xr:uid="{00000000-0004-0000-0000-000060000000}"/>
    <hyperlink ref="L325" r:id="rId703" tooltip="open NCSU Facts page of this plant in a browser" xr:uid="{00000000-0004-0000-0000-0000EF010000}"/>
    <hyperlink ref="K325" r:id="rId704" tooltip="open Google Images page of this plant in a browser" xr:uid="{00000000-0004-0000-0000-0000F0010000}"/>
    <hyperlink ref="Q638" location="TOP" tooltip="go to top of sheet" display="go to top" xr:uid="{00000000-0004-0000-0000-000023040000}"/>
    <hyperlink ref="Q638:R638" location="TOP" tooltip="go to top of this page, to categories list" display="top of page" xr:uid="{00000000-0004-0000-0000-000024040000}"/>
    <hyperlink ref="R325" location="Quote!X71" tooltip="this is a Native plant, that naturally grows in our area, or, it is a cultivar of a Native plant, so it should be well suited" display="N" xr:uid="{00000000-0004-0000-0000-000087040000}"/>
    <hyperlink ref="R325:T325" location="Shagbark_Hickory" tooltip="this is a Native plant, that naturally grows in our area ~ OR ~ it is a cultivar of a Native plant, so it should be well suited" display="N" xr:uid="{00000000-0004-0000-0000-000088040000}"/>
    <hyperlink ref="L822" r:id="rId705" tooltip="open NCSU Facts page of this plant in a browser" xr:uid="{D59C64A7-E782-4BEF-B4D4-5D795A1FF7DB}"/>
    <hyperlink ref="K822" r:id="rId706" tooltip="open Google Images page of this plant in a browser" xr:uid="{428E8C65-2E27-4E62-83A3-19E994394AC7}"/>
    <hyperlink ref="L1710" r:id="rId707" tooltip="open NCSU Facts page of this plant in a browser" xr:uid="{00000000-0004-0000-0000-0000A4000000}"/>
    <hyperlink ref="K1710" r:id="rId708" tooltip="open Google Images page of this plant in a browser" xr:uid="{00000000-0004-0000-0000-0000A3000000}"/>
    <hyperlink ref="K204" r:id="rId709" tooltip="open Google Images page of this plant in a browser" xr:uid="{9145B1B1-A5E4-49A4-9D1D-3CA1B30CE2E5}"/>
    <hyperlink ref="L204" r:id="rId710" tooltip="open NCSU Facts page of this plant in a browser" xr:uid="{D4D80C3D-00D5-4048-B21C-80B9F7B133FA}"/>
    <hyperlink ref="R573:U573" location="Flame_Thrower__Redbud" tooltip="this is a Native plant, that naturally grows in our area, or, it is a cultivar of a Native plant, so it should be well suited" display="N" xr:uid="{F7B14D9F-C8AC-408B-B807-C1955213AAA8}"/>
    <hyperlink ref="K1404" r:id="rId711" tooltip="open Google Images page of this plant in a browser" xr:uid="{E5EC05CB-E621-442C-8878-81E06BF26A7F}"/>
    <hyperlink ref="L1404" r:id="rId712" tooltip="open NCSU Facts page of this plant in a browser" xr:uid="{FCC563D2-7720-4C50-BD08-CFD503CCA53B}"/>
    <hyperlink ref="K573" r:id="rId713" tooltip="open Google Images page of this plant in a browser" xr:uid="{00000000-0004-0000-0000-00009D000000}"/>
    <hyperlink ref="L573" r:id="rId714" tooltip="open NCSU Facts page of this plant in a browser" xr:uid="{00000000-0004-0000-0000-00009E000000}"/>
    <hyperlink ref="R573" location="Quote!X71" tooltip="this is a Native plant, that naturally grows in our area, or, it is a cultivar of a Native plant, so it should be well suited" display="N" xr:uid="{00000000-0004-0000-0000-0000B1040000}"/>
    <hyperlink ref="R573:T573" location="Flame_Thrower__Redbud" tooltip="this is a Native plant, that naturally grows in our area ~ OR ~ it is a cultivar of a Native plant, so it should be well suited" display="N" xr:uid="{00000000-0004-0000-0000-0000B2040000}"/>
    <hyperlink ref="R600:U600" location="Merlot_Redbud__pink__Cercis_x__Merlot" tooltip="this is a Native plant, that naturally grows in our area, or, it is a cultivar of a Native plant, so it should be well suited" display="N" xr:uid="{BEDA03AC-5248-4D0E-9CF4-2878E4545FF3}"/>
    <hyperlink ref="R1381:U1381" location="Ruby_Falls_Weeping_Redbud" tooltip="this is a Native plant, that naturally grows in our area ~ OR ~ it is a cultivar of a Native plant, so it should be well suited" display="N" xr:uid="{0F54E6A7-DD7F-473A-BCD0-68FA35DDE1AD}"/>
    <hyperlink ref="R1075:U1075" location="Strawberry_Shortcake_Wax_Myrtle" tooltip="this is a Native plant, that naturally grows in our area, or, it is a cultivar of a Native plant, so it should be well suited" display="N" xr:uid="{9F78FF52-131D-4C0D-8491-89FB725B5D3E}"/>
    <hyperlink ref="R471:U471" location="Pink_Dogwood" tooltip="this is a Native plant, that naturally grows in our area, or, it is a cultivar of a Native plant, so it should be well suited" display="N" xr:uid="{D4EA5158-38C9-41BC-ABC3-C58CB8D1DAC4}"/>
    <hyperlink ref="R401:U401" location="Black_Tupelo" tooltip="this is a Native plant, that naturally grows in our area, or, it is a cultivar of a Native plant, so it should be well suited" display="N" xr:uid="{65EFA2AB-6602-448E-B945-9665E2082931}"/>
    <hyperlink ref="R366:U366" location="Swamp_White_Oak" tooltip="this is a Native plant, that naturally grows in our area, or, it is a cultivar of a Native plant, so it should be well suited" display="N" xr:uid="{8B085734-39AD-41B5-8805-921517DB1192}"/>
    <hyperlink ref="K600" r:id="rId715" tooltip="open Google Images page of this plant in a browser" xr:uid="{616CF157-DA99-4F7D-8495-ED54DDC35FA9}"/>
    <hyperlink ref="L600" r:id="rId716" tooltip="open NCSU Facts page of this plant in a browser" xr:uid="{A1EF5EE8-C984-4298-81E0-2EBE93D4CEA5}"/>
    <hyperlink ref="R600" location="Quote!X71" tooltip="this is a Native plant, that naturally grows in our area, or, it is a cultivar of a Native plant, so it should be well suited" display="N" xr:uid="{2E290DE9-13EC-4F00-AE69-316A81E79DA7}"/>
    <hyperlink ref="R600:T600" location="Merlot_Redbud" tooltip="this is a Native plant, that naturally grows in our area ~ OR ~ it is a cultivar of a Native plant, so it should be well suited" display="N" xr:uid="{B83D558F-6CF4-4E18-8766-483E8F18B5EE}"/>
    <hyperlink ref="O1616" r:id="rId717" tooltip="open customer photo of Lady Banks Climbing Rose" display="Photo of Lady Banks" xr:uid="{8D16BCA0-1261-4B78-B9FC-8EA0EF4EB386}"/>
    <hyperlink ref="R1453:T1453" location="Baby_Cakes__Blackberry" tooltip="this is a Native plant, that naturally grows in our area ~ OR ~ it is a cultivar of a Native plant, so it should be well suited" display="N" xr:uid="{E5DBF6F1-843E-4EF8-B072-37075DC3EDA0}"/>
    <hyperlink ref="L1453" r:id="rId718" tooltip="open NCSU Facts page of this plant in a browser" xr:uid="{00000000-0004-0000-0000-0000D7030000}"/>
    <hyperlink ref="K1453" r:id="rId719" tooltip="open Google Images page of this plant in a browser" xr:uid="{00000000-0004-0000-0000-0000D8030000}"/>
    <hyperlink ref="L1614" r:id="rId720" tooltip="open NCSU Facts page of this plant in a browser" xr:uid="{276AD73A-8ADA-43C7-A245-990F7E56195D}"/>
    <hyperlink ref="K1614" r:id="rId721" tooltip="open Google Images page of this plant in a browser" xr:uid="{B53619CE-A116-409F-965C-35BABEAB7616}"/>
    <hyperlink ref="L1656" r:id="rId722" tooltip="open NCSU Facts page of this plant in a browser" xr:uid="{00000000-0004-0000-0000-0000D9020000}"/>
    <hyperlink ref="K1656" r:id="rId723" tooltip="open Google Images page of this plant in a browser" xr:uid="{00000000-0004-0000-0000-00009B020000}"/>
    <hyperlink ref="R1381:T1381" location="Ruby_Falls_Weeping_Redbud" tooltip="this is a Native plant, that naturally grows in our area ~ OR ~ it is a cultivar of a Native plant, so it should be well suited" display="N" xr:uid="{00000000-0004-0000-0000-0000D0040000}"/>
    <hyperlink ref="R1381" location="Quote!X71" tooltip="this is a Native plant, that naturally grows in our area, or, it is a cultivar of a Native plant, so it should be well suited" display="N" xr:uid="{00000000-0004-0000-0000-0000CF040000}"/>
    <hyperlink ref="K1381" r:id="rId724" tooltip="open Google Images page of this plant in a browser" xr:uid="{00000000-0004-0000-0000-000094020000}"/>
    <hyperlink ref="L1381" r:id="rId725" tooltip="open NCSU Facts page of this plant in a browser" xr:uid="{00000000-0004-0000-0000-000043020000}"/>
    <hyperlink ref="L1227" r:id="rId726" tooltip="open NCSU Facts page of this plant in a browser" xr:uid="{00000000-0004-0000-0000-000034050000}"/>
    <hyperlink ref="K1227" r:id="rId727" tooltip="open Google Images page of this plant in a browser" xr:uid="{00000000-0004-0000-0000-000033050000}"/>
    <hyperlink ref="K1071" r:id="rId728" tooltip="open Google Images page of this plant in a browser" xr:uid="{00000000-0004-0000-0000-00000A030000}"/>
    <hyperlink ref="L1071" r:id="rId729" tooltip="open NCSU Facts page of this plant in a browser" xr:uid="{00000000-0004-0000-0000-000009030000}"/>
    <hyperlink ref="K1075" r:id="rId730" tooltip="open Google Images page of this plant in a browser" xr:uid="{38C11654-947C-4DDF-9051-2C63B0F30BE1}"/>
    <hyperlink ref="L1075" r:id="rId731" tooltip="open NCSU Facts page of this plant in a browser" xr:uid="{63C3FD56-F2F0-4A29-87D8-D05ACE1812D0}"/>
    <hyperlink ref="R1075" location="Quote!X71" tooltip="this is a Native plant, that naturally grows in our area, or, it is a cultivar of a Native plant, so it should be well suited" display="N" xr:uid="{2B33BC95-54CE-4C0C-8E3F-63B23CDCFE6A}"/>
    <hyperlink ref="R1075:T1075" location="Wax_Myrtle" tooltip="this is a Native plant, that naturally grows in our area ~ OR ~ it is a cultivar of a Native plant, so it should be well suited" display="N" xr:uid="{AB729655-D07C-4FD7-9A1B-BABC5B6A7100}"/>
    <hyperlink ref="K564" r:id="rId732" tooltip="open Google Images page of this plant in a browser" xr:uid="{00000000-0004-0000-0000-00002F000000}"/>
    <hyperlink ref="L564" r:id="rId733" tooltip="open NCSU Facts page of this plant in a browser" xr:uid="{00000000-0004-0000-0000-000056000000}"/>
    <hyperlink ref="L401" r:id="rId734" tooltip="open NCSU Facts page of this plant in a browser" xr:uid="{00000000-0004-0000-0000-00002C010000}"/>
    <hyperlink ref="K401" r:id="rId735" tooltip="open Google Images page of this plant in a browser" xr:uid="{00000000-0004-0000-0000-00002D010000}"/>
    <hyperlink ref="L366" r:id="rId736" tooltip="open NCSU Facts page of this plant in a browser" xr:uid="{00000000-0004-0000-0000-000046010000}"/>
    <hyperlink ref="K366" r:id="rId737" tooltip="open Google Images page of this plant in a browser" xr:uid="{00000000-0004-0000-0000-00007F010000}"/>
    <hyperlink ref="K471" r:id="rId738" tooltip="open Google Images page of this plant in a browser" xr:uid="{00000000-0004-0000-0000-0000E8030000}"/>
    <hyperlink ref="L471" r:id="rId739" tooltip="open NCSU Facts page of this plant in a browser" xr:uid="{00000000-0004-0000-0000-0000E9030000}"/>
    <hyperlink ref="Q567" location="TOP" tooltip="go to top of sheet" display="go to top" xr:uid="{00000000-0004-0000-0000-00001D040000}"/>
    <hyperlink ref="Q567:R567" location="TOP" tooltip="go to top of this page, to categories list" display="top of page" xr:uid="{00000000-0004-0000-0000-00001E040000}"/>
    <hyperlink ref="R366" location="Quote!X71" tooltip="this is a Native plant, that naturally grows in our area, or, it is a cultivar of a Native plant, so it should be well suited" display="N" xr:uid="{00000000-0004-0000-0000-00006F040000}"/>
    <hyperlink ref="R366:T366" location="Swamp_White_Oak" tooltip="this is a Native plant, that naturally grows in our area ~ OR ~ it is a cultivar of a Native plant, so it should be well suited" display="N" xr:uid="{00000000-0004-0000-0000-000070040000}"/>
    <hyperlink ref="R401" location="Quote!X71" tooltip="this is a Native plant, that naturally grows in our area, or, it is a cultivar of a Native plant, so it should be well suited" display="N" xr:uid="{00000000-0004-0000-0000-000097040000}"/>
    <hyperlink ref="R401:T401" location="Black_Tupelo" tooltip="this is a Native plant, that naturally grows in our area ~ OR ~ it is a cultivar of a Native plant, so it should be well suited" display="N" xr:uid="{00000000-0004-0000-0000-000098040000}"/>
    <hyperlink ref="R471" location="Quote!X71" tooltip="this is a Native plant, that naturally grows in our area, or, it is a cultivar of a Native plant, so it should be well suited" display="N" xr:uid="{00000000-0004-0000-0000-0000AF040000}"/>
    <hyperlink ref="R471:T471" location="Pink_Dogwood" tooltip="this is a Native plant, that naturally grows in our area ~ OR ~ it is a cultivar of a Native plant, so it should be well suited" display="N" xr:uid="{00000000-0004-0000-0000-0000B0040000}"/>
    <hyperlink ref="K44" r:id="rId740" tooltip="open Google Images page of this plant in a browser" xr:uid="{00000000-0004-0000-0000-000096010000}"/>
    <hyperlink ref="L44" r:id="rId741" tooltip="open NCSU Facts page of this plant in a browser" xr:uid="{00000000-0004-0000-0000-000063010000}"/>
    <hyperlink ref="Q530:R530" location="TOP" tooltip="go to top of this page, to categories list" display="top of page" xr:uid="{30408C4B-9A8A-4A16-A389-594C59ECF92B}"/>
    <hyperlink ref="Q530" location="TOP" tooltip="go to top of sheet" display="go to top" xr:uid="{88EB527E-15CB-469D-8A31-EC1C6AA4FBD2}"/>
    <hyperlink ref="L528" r:id="rId742" tooltip="open NCSU Facts page of this plant in a browser" xr:uid="{D842B695-7E78-4975-B88C-C9A090D9BF92}"/>
    <hyperlink ref="K528" r:id="rId743" tooltip="open Google Images page of this plant in a browser" xr:uid="{905F4E4C-3F20-48D6-895A-AAF2CA322B52}"/>
    <hyperlink ref="K544" r:id="rId744" tooltip="open Google Images page of this plant in a browser" xr:uid="{00000000-0004-0000-0000-00000F000000}"/>
    <hyperlink ref="L544" r:id="rId745" tooltip="open NCSU Facts page of this plant in a browser" xr:uid="{00000000-0004-0000-0000-000052000000}"/>
    <hyperlink ref="L540" r:id="rId746" tooltip="open NCSU Facts page of this plant in a browser" xr:uid="{AC682E53-8CD9-4D7F-9CCE-420563F64581}"/>
    <hyperlink ref="K540" r:id="rId747" tooltip="open Google Images page of this plant in a browser" xr:uid="{6AD29418-606F-47E4-B441-3EF26321A67E}"/>
    <hyperlink ref="R540:T540" location="Sweetbay_Magnolia__white___💧wet_sites_OK__Magnolia_virginiana" tooltip="this is a Native plant, that naturally grows in our area ~ OR ~ it is a cultivar of a Native plant, so it should be well suited" display="N" xr:uid="{89FBA737-4791-4DFB-946F-42DDDB5E3F17}"/>
    <hyperlink ref="R540" location="Quote!X71" tooltip="this is a Native plant, that naturally grows in our area, or, it is a cultivar of a Native plant, so it should be well suited" display="N" xr:uid="{7D179066-E270-42EB-BDA3-A38D148DF8B9}"/>
    <hyperlink ref="R540:U540" location="White_Fringetree_white" tooltip="this is a Native plant, that naturally grows in our area, or, it is a cultivar of a Native plant, so it should be well suited" display="N" xr:uid="{6C875E24-FC2E-4C8C-80E1-51214F0B0911}"/>
    <hyperlink ref="L639" r:id="rId748" tooltip="open NCSU Facts page of this plant in a browser" xr:uid="{664EC956-1689-4860-ADC1-95FB851459DB}"/>
    <hyperlink ref="K639" r:id="rId749" tooltip="open Google Images page of this plant in a browser" xr:uid="{9B874AD7-C701-4B10-BF63-41B20E8F6CED}"/>
    <hyperlink ref="L1051" r:id="rId750" tooltip="open NCSU Facts page of this plant in a browser" xr:uid="{C7DCE3C1-6C28-4E7B-A5B2-3EA2FC2DDBBE}"/>
    <hyperlink ref="K1051" r:id="rId751" tooltip="open Google Images page of this plant in a browser" xr:uid="{97944270-89E6-4062-8896-D8D8084EB1E2}"/>
    <hyperlink ref="R1518:T1518" location="Homestead_Purple_Verbena" tooltip="this is a Native plant, that naturally grows in our area ~ OR ~ it is a cultivar of a Native plant, so it should be well suited" display="N" xr:uid="{A49E156F-AF60-482D-BEFF-C2D4BCDE4C51}"/>
    <hyperlink ref="K1518" r:id="rId752" tooltip="open Google Images page of this plant in a browser" xr:uid="{4DA350ED-C122-4A81-8E9B-3B906EA6B6B6}"/>
    <hyperlink ref="L1518" r:id="rId753" tooltip="open NCSU Facts page of this plant in a browser" xr:uid="{C8F2539A-051F-479B-9C36-627BD21F1CE1}"/>
    <hyperlink ref="R1518:U1518" location="Homestead_Hot_Pink_Verbena" tooltip="this is a Native plant, that naturally grows in our area ~ OR ~ it is a cultivar of a Native plant, so it should be well suited" display="N" xr:uid="{B77761A2-8D42-4E42-BA1D-34073750634B}"/>
    <hyperlink ref="R1160:U1160" location="Henry_s_Garnet_Virginia_Sweetspire" tooltip="this is a Native plant, that naturally grows in our area, or, it is a cultivar of a Native plant, so it should be well suited" display="N" xr:uid="{9AAB6EAB-855E-44B5-9A01-368A2DB11906}"/>
    <hyperlink ref="L1160" r:id="rId754" tooltip="open NCSU Facts page of this plant in a browser" xr:uid="{B6716A00-B8DB-48BB-AC38-2AD287F7C55F}"/>
    <hyperlink ref="K1160" r:id="rId755" tooltip="open Google Images page of this plant in a browser" xr:uid="{ED617BA0-6C82-454B-882D-AC791A0C74E0}"/>
    <hyperlink ref="R1160" location="Quote!X71" tooltip="this is a Native plant, that naturally grows in our area, or, it is a cultivar of a Native plant, so it should be well suited" display="N" xr:uid="{F0E1C4D7-E825-46C9-A177-0FD85D453F66}"/>
    <hyperlink ref="R1160:T1160" location="Henry_s_Garnet_Virginia_Sweetspire" tooltip="this is a Native plant, that naturally grows in our area ~ OR ~ it is a cultivar of a Native plant, so it should be well suited" display="N" xr:uid="{22710609-B704-4519-90B9-AF7FD0ED74DF}"/>
    <hyperlink ref="L1223" r:id="rId756" tooltip="open NCSU Facts page of this plant in a browser" xr:uid="{74AD694B-59DA-422D-B646-CEFC60470789}"/>
    <hyperlink ref="K1223" r:id="rId757" tooltip="open Google Images page of this plant in a browser" xr:uid="{283BA836-F5E1-4D76-B45D-93FC5908A84C}"/>
    <hyperlink ref="R1223:U1223" location="Humminbird_Summersweet" display="N" xr:uid="{6D5250D6-6C50-40B7-9C38-7FEDA16A4CFC}"/>
    <hyperlink ref="E10:F10" r:id="rId758" tooltip="open Sources page in a browser" display="at sources:" xr:uid="{102A8FFE-2FE5-4733-8F02-B3540429F5CD}"/>
    <hyperlink ref="P10" r:id="rId759" tooltip="open Grower Six inventory in a browser" display="Grower 6" xr:uid="{00000000-0004-0000-0000-00008F030000}"/>
    <hyperlink ref="M10:N10" r:id="rId760" tooltip="open Grower Five (G5) inventory in a browser " display="Grower 5" xr:uid="{00000000-0004-0000-0000-0000D9010000}"/>
    <hyperlink ref="E10" r:id="rId761" tooltip="open description of Source Growers in a browser" display="Sources:" xr:uid="{00000000-0004-0000-0000-0000BA000000}"/>
    <hyperlink ref="J10" r:id="rId762" tooltip="open Grower Three (G3) inventory in a browser " xr:uid="{00000000-0004-0000-0000-0000AF000000}"/>
    <hyperlink ref="I10" r:id="rId763" tooltip="open Grower Two (G2) inventory in a browser " xr:uid="{00000000-0004-0000-0000-0000AE000000}"/>
    <hyperlink ref="H10" r:id="rId764" tooltip="open Grower One (G1) inventory in a browser " xr:uid="{00000000-0004-0000-0000-0000AD000000}"/>
    <hyperlink ref="K10" r:id="rId765" tooltip="open Grower Four inventory in a browser" xr:uid="{ABAFD0C0-7000-4586-9942-FA3E99E94307}"/>
    <hyperlink ref="K1548" r:id="rId766" tooltip="open Google Images page of this plant in a browser" xr:uid="{D04DA5AB-FD9C-479F-9AFF-C419048B052F}"/>
    <hyperlink ref="L1548" r:id="rId767" tooltip="open NCSU Facts page of this plant in a browser" xr:uid="{85D20F17-15B6-436C-A6CE-241B128140F8}"/>
    <hyperlink ref="Q1561:R1561" location="TOP" tooltip="go to top of this page, to categories list" display="top of page" xr:uid="{2A49B7CD-6507-4B68-B85F-9AB3B3896928}"/>
    <hyperlink ref="Q1561" location="TOP" tooltip="go to top of sheet" display="go to top" xr:uid="{BC72D65C-8B49-40D6-BE56-8E24DD178EB4}"/>
    <hyperlink ref="L1558" r:id="rId768" tooltip="open NCSU Facts page of this plant in a browser" xr:uid="{A6DBD4FF-4478-45EE-8ED4-880602213BDA}"/>
    <hyperlink ref="K1558" r:id="rId769" tooltip="open Google Images page of this plant in a browser" xr:uid="{9F05C56D-2422-4956-B462-30F8D32DE5BD}"/>
    <hyperlink ref="L1599" r:id="rId770" tooltip="open NCSU Facts page of this plant in a browser" xr:uid="{E7CB7CE9-2E18-4118-994B-3D78B533BB35}"/>
    <hyperlink ref="K1599" r:id="rId771" tooltip="open Google Images page of this plant in a browser" xr:uid="{5E30A21E-B88D-4FFA-B56D-F6ACBE13DEEA}"/>
    <hyperlink ref="L1492" r:id="rId772" tooltip="open NCSU Facts page of this plant in a browser" xr:uid="{AF8DA820-32BB-48C2-AF8B-F6DE688B2ABD}"/>
    <hyperlink ref="K1492" r:id="rId773" tooltip="open Google Images page of this plant in a browser" xr:uid="{806359AB-4F30-4B25-B595-E6F3FC1A6100}"/>
    <hyperlink ref="K1738" r:id="rId774" tooltip="open Google Images page of this plant in a browser" xr:uid="{BFACDCB2-0465-4A08-ADE8-40E675DB6E41}"/>
    <hyperlink ref="L1738" r:id="rId775" tooltip="open NCSU Facts page of this plant in a browser" xr:uid="{3F3126E5-9543-43C2-84CE-6A09FB2B6301}"/>
    <hyperlink ref="L1503" r:id="rId776" tooltip="open NCSU Facts page of this plant in a browser" xr:uid="{003D08B9-4389-436E-945B-9D73419AB002}"/>
    <hyperlink ref="K1503" r:id="rId777" tooltip="open Google Images page of this plant in a browser" xr:uid="{01A4AFC4-FDE4-4846-BF68-2204223E987B}"/>
    <hyperlink ref="P2:X2" location="EVERGREEN_GROUNDCOVER" tooltip="go to Evergreen Groundcover section" display="EVERGREEN_GROUNDCOVER" xr:uid="{40692FDA-7659-41A7-AEF0-60EE3A1C4113}"/>
    <hyperlink ref="L1642" r:id="rId778" tooltip="open NCSU Facts page of this plant in a browser" xr:uid="{CBCBF4B4-D6B5-4E6A-976A-9E5EBB1B3B2F}"/>
    <hyperlink ref="K1642" r:id="rId779" tooltip="open Google Images page of this plant in a browser" xr:uid="{41C71BDE-6BBB-4431-9CF7-86B6E2946238}"/>
    <hyperlink ref="L848" r:id="rId780" tooltip="open NCSU Facts page of this plant in a browser" xr:uid="{00000000-0004-0000-0000-000076030000}"/>
    <hyperlink ref="K848" r:id="rId781" tooltip="open Google Images page of this plant in a browser" xr:uid="{00000000-0004-0000-0000-000077030000}"/>
    <hyperlink ref="P1:X1" location="EDIBLES__bloom_color" tooltip="go to Edibles section" display="Edibles" xr:uid="{4D15D09B-6B55-4BE4-AC9A-22F9F7CBEE05}"/>
    <hyperlink ref="K10:L10" r:id="rId782" tooltip="open Grower Four (G4) inventory in a browser " display="Grower 4" xr:uid="{D21D3C20-3376-4513-8ACA-DFF2A2554679}"/>
    <hyperlink ref="O10:P10" r:id="rId783" tooltip="open Grower Six (G6) inventory in a browser " display="Grower 6" xr:uid="{A7622099-71A0-4A81-9013-F5228CBA3194}"/>
    <hyperlink ref="P4" location="DECIDUOUS_GROUND_COVER" tooltip="Go to top of Deciduous Groundcover section." display="Groundcover" xr:uid="{94A7A31F-A4CD-4429-8AB9-25EA77200E33}"/>
    <hyperlink ref="P4:V4" location="DECIDUOUS_GROUND_COVER" tooltip="go to Deciduous Groundcover section" display="Groundcover" xr:uid="{C2225B6D-A04F-460F-9E62-2677A400AF51}"/>
    <hyperlink ref="R462:U462" location="Forest_Pansy_Redbud" tooltip="this is a Native plant, that naturally grows in our area, or, it is a cultivar of a Native plant, so it should be well suited" display="N" xr:uid="{C914FA6B-9D87-4A2A-9F0A-ECF4426222D4}"/>
    <hyperlink ref="L462" r:id="rId784" tooltip="open NCSU Facts page of this plant in a browser" xr:uid="{00000000-0004-0000-0000-0000A8030000}"/>
    <hyperlink ref="K462" r:id="rId785" tooltip="open Google Images page of this plant in a browser" xr:uid="{00000000-0004-0000-0000-0000A9030000}"/>
    <hyperlink ref="R462" location="Quote!X71" tooltip="this is a Native plant, that naturally grows in our area, or, it is a cultivar of a Native plant, so it should be well suited" display="N" xr:uid="{00000000-0004-0000-0000-0000AD040000}"/>
    <hyperlink ref="R462:T462" location="Forest_Pansy_Redbud" tooltip="this is a Native plant, that naturally grows in our area ~ OR ~ it is a cultivar of a Native plant, so it should be well suited" display="N" xr:uid="{00000000-0004-0000-0000-0000AE040000}"/>
    <hyperlink ref="P4:X4" location="PriceTable" tooltip="go to Price Table, near bottom of page" display="PriceTable" xr:uid="{1EB4BA7C-EE1D-42C8-B268-C46073B04D48}"/>
    <hyperlink ref="K1570" r:id="rId786" tooltip="open Google Images page of this plant in a browser" xr:uid="{317267BA-5418-4C90-930A-E6DF4B5BA894}"/>
    <hyperlink ref="L1570" r:id="rId787" tooltip="open NCSU Facts page of this plant in a browser" xr:uid="{DF6E86FC-EA63-47D0-B7A0-38B43C0DDC88}"/>
    <hyperlink ref="R1570:T1570" location="Ogon_Sweet_Flag" tooltip="this is a Native plant, that naturally grows in our area ~ OR ~ it is a cultivar of a Native plant, so it should be well suited" display="N" xr:uid="{EC269326-AACE-474E-945B-9109D387E4AC}"/>
    <hyperlink ref="R1570:U1570" location="Pennsylvania_Sedge" tooltip="this is a Native plant, that naturally grows in our area ~ OR ~ it is a cultivar of a Native plant, so it should be well suited" display="N" xr:uid="{0FCF2B06-8FEC-4C8D-A619-E94F3C0C99C6}"/>
    <hyperlink ref="R1567:T1567" location="Ogon_Sweet_Flag" tooltip="this is a Native plant, that naturally grows in our area ~ OR ~ it is a cultivar of a Native plant, so it should be well suited" display="N" xr:uid="{9AFC518F-CED7-43E8-936E-439CEDC77C41}"/>
    <hyperlink ref="R1567:U1567" location="Palace_Purple_Coral_Bells__white__Heuchera_micrantha__Palace_Purple" tooltip="this is a Native plant, that naturally grows in our area ~ OR ~ it is a cultivar of a Native plant, so it should be well suited" display="N" xr:uid="{37C91953-2E22-4148-A84C-BBAB858A7A1A}"/>
    <hyperlink ref="AK7:AL7" r:id="rId788" tooltip="open NewViewPlanting.com in a browser" display="NewViewPlanting.com" xr:uid="{A8583084-206F-4CD3-8865-D2EA7511098D}"/>
    <hyperlink ref="AM10" location="NVP_NOTES" display="NVP Notes" xr:uid="{80A2F18B-30AD-45E0-9161-DBD013E4B306}"/>
    <hyperlink ref="AM10:AN10" location="NVPNotes" tooltip="scroll dpwm to New View Planting notes" display="NVPNotes" xr:uid="{1A414140-2CA1-46DE-A619-3A750A735DA0}"/>
    <hyperlink ref="AK5:AO5" location="Evergreen" tooltip="Evergreen plants retain their foliage year-round. Includes 'Semi-Evergreen', which lose foliage randomly, but appear Evergreen most all the time. Colder winters tend to cause more defoliation." display=" Evergreen: keeps foliage year-round" xr:uid="{9C420A59-8CE3-42C5-9D2A-C46412E166E2}"/>
    <hyperlink ref="AP5:AS5" location="Deciduous" tooltip="Deciduous plants lose their foliage each fall, and then grow all-new foliage around spring-time." display="Deciduous: foliage drops off every fall" xr:uid="{00662BEC-14D9-4EC9-AB47-A1B674CD9E18}"/>
    <hyperlink ref="L1232" r:id="rId789" tooltip="open NCSU Facts page of this plant in a browser" xr:uid="{245C4082-7D69-4491-A707-979AA205456F}"/>
    <hyperlink ref="K1232" r:id="rId790" tooltip="open Google Images page of this plant in a browser" xr:uid="{FAF598B0-880A-48A1-99A8-A280BFFA0B6C}"/>
    <hyperlink ref="K1349" r:id="rId791" tooltip="open Google Images page of this plant in a browser" xr:uid="{0EFABE2D-2397-472E-BE51-976940533F7D}"/>
    <hyperlink ref="L1349" r:id="rId792" tooltip="open NCSU Facts page of this plant in a browser" xr:uid="{89A908E3-C86C-4711-98B6-4631EFCDE59C}"/>
    <hyperlink ref="E1778" r:id="rId793" tooltip="open description of Source Growers in a browser" display="Sources:" xr:uid="{186400BD-8962-4887-9638-ABCC8A24506C}"/>
    <hyperlink ref="E1778:F1778" r:id="rId794" tooltip="open Sources page in a browser" display="at sources:" xr:uid="{227AE471-6162-4835-A445-FF108FB56A8A}"/>
    <hyperlink ref="P1778" r:id="rId795" tooltip="open Grower Six inventory in a browser" display="Grower 6" xr:uid="{CC33A3CD-1203-4CF0-B3A4-59564C1B3F0B}"/>
    <hyperlink ref="M1778:N1778" r:id="rId796" tooltip="open Grower Five (G5) inventory in a browser " display="Grower 5" xr:uid="{6283143D-74D5-4934-AF25-119A1D6B9734}"/>
    <hyperlink ref="J1778" r:id="rId797" tooltip="open Grower Three (G3) inventory in a browser " xr:uid="{E4B82607-37B4-421A-8D3B-731D4EBAB069}"/>
    <hyperlink ref="I1778" r:id="rId798" tooltip="open Grower Two (G2) inventory in a browser " xr:uid="{DCC7C390-1FAA-46C2-AF69-85EFD07C5889}"/>
    <hyperlink ref="H1778" r:id="rId799" tooltip="open Grower One (G1) inventory in a browser " xr:uid="{90B00018-6F33-4CE6-A940-A5406834C679}"/>
    <hyperlink ref="K1778" r:id="rId800" tooltip="open Grower Four inventory in a browser" xr:uid="{CCD9B4E3-4AF9-4D55-9992-343AB09133E5}"/>
    <hyperlink ref="K1778:L1778" r:id="rId801" tooltip="open Grower Four (G4) inventory in a browser " display="Grower 4" xr:uid="{07FF2603-110A-4FDF-B7AC-0E5A645F96A0}"/>
    <hyperlink ref="O1778:P1778" r:id="rId802" tooltip="open Grower Six (G6) inventory in a browser " display="Grower 6" xr:uid="{5C151A40-AC5B-41A4-AD9F-F6F1355049FE}"/>
    <hyperlink ref="K1779" location="Guaranteed" tooltip="Go to Guarantee at upper right" display="Guaranteed" xr:uid="{E5D37B83-92C4-460E-BBC2-D42A5E04A431}"/>
    <hyperlink ref="AA7" location="NVP__Price_Table" display="NVP Fees" xr:uid="{EA70CC51-D786-47C1-9075-A6EED0921F13}"/>
    <hyperlink ref="L40" r:id="rId803" tooltip="Open Facts page of this plant in browser." xr:uid="{00000000-0004-0000-0000-000008020000}"/>
    <hyperlink ref="K40" r:id="rId804" tooltip="open Google Images page of this plant in a browser" xr:uid="{00000000-0004-0000-0000-000023010000}"/>
    <hyperlink ref="L262" r:id="rId805" tooltip="open NCSU Facts page of this plant in a browser" xr:uid="{B2DC0D1C-AA8E-4F74-9A11-95F11712F2AF}"/>
    <hyperlink ref="K262" r:id="rId806" tooltip="open Google Images page of this plant in a browser" xr:uid="{3C2B3066-A502-4E1E-AE06-B9CFED11A6B2}"/>
    <hyperlink ref="O8:Z8" location="Eastern_Triangle_Area" tooltip="go to Eastern Triangle Area description at base of this page" display="Eastern Triangle Area+" xr:uid="{ECF9E4B7-A3CE-4B6D-B746-6F92343C06B1}"/>
    <hyperlink ref="K916" r:id="rId807" tooltip="open Google Images page of this plant in a browser" xr:uid="{759AB3EB-1FBB-4828-BD1C-BDB7EBFBD36B}"/>
    <hyperlink ref="L916" r:id="rId808" tooltip="open NCSU Facts page of this plant in a browser" xr:uid="{EA91CFFF-1C55-4D39-A990-C37EAEB2A1EF}"/>
    <hyperlink ref="L1750" r:id="rId809" tooltip="open NCSU Facts page of this plant in a browser" xr:uid="{5C5A2048-BD00-4C23-B983-D394BC9EA31F}"/>
    <hyperlink ref="K1750" r:id="rId810" tooltip="open Google Images page of this plant in a browser" xr:uid="{6392009F-0A9E-4B0E-96A6-72ABB61A6AFF}"/>
    <hyperlink ref="K1410" r:id="rId811" tooltip="open Google Images page of this plant in a browser" xr:uid="{106DA404-609E-4E40-B2F2-83B999B3716B}"/>
    <hyperlink ref="L1410" r:id="rId812" tooltip="open NCSU Facts page of this plant in a browser" xr:uid="{2EA96679-E921-4611-A3D5-E6325DE435AC}"/>
    <hyperlink ref="R1410" location="Quote!X71" tooltip="this is a Native plant, that naturally grows in our area, or, it is a cultivar of a Native plant, so it should be well suited" display="N" xr:uid="{2AA0CBC2-043A-4A2E-9CC3-7A52455E9DB1}"/>
    <hyperlink ref="R1410:T1410" location="Climax_Blueberry" tooltip="this is a Native plant, that naturally grows in our area ~ OR ~ it is a cultivar of a Native plant, so it should be well suited" display="N" xr:uid="{6431FBEC-0262-4127-8B19-FC3E659D41D4}"/>
    <hyperlink ref="R1410:U1410" location="Elderberry" tooltip="this is a Native plant, that naturally grows in our area ~ OR ~ it is a cultivar of a Native plant, so it should be well suited" display="N" xr:uid="{EF459B5B-62D8-47B9-9C18-F2B44A17FEB7}"/>
    <hyperlink ref="K1779:L1779" location="QualityGuarantee" tooltip="go to Guarantee, below" display="Guaranteed" xr:uid="{DC4DD7D4-927A-438D-A48A-A65FAEA7A8AE}"/>
    <hyperlink ref="K1088" r:id="rId813" tooltip="open Google Images page of this plant in a browser" xr:uid="{2A01DD87-B29A-45FB-8657-0A162A13572A}"/>
    <hyperlink ref="L1088" r:id="rId814" tooltip="open NCSU Facts page of this plant in a browser" xr:uid="{C7D73351-56AC-4CB3-AAF7-F16394C13DD7}"/>
    <hyperlink ref="AK10" location="NVP_NOTES" display="NVP Notes" xr:uid="{2B395D0F-E2D1-4FD6-9009-0093A38F16B6}"/>
    <hyperlink ref="AK10:AL10" location="New_View_Planting_Price_Table" tooltip="scroll dpwm to New View Planting notes" display="New_View_Planting_Price_Table" xr:uid="{AD699BF7-5DB6-4790-8CF5-2DE885AD84FA}"/>
    <hyperlink ref="Q605" location="TOP" tooltip="go to top of sheet" display="go to top" xr:uid="{33EF2F70-CFA8-4CB6-BCF8-0EE4B62F23F6}"/>
    <hyperlink ref="Q605:R605" location="TOP" tooltip="go to top of this page, to categories list" display="top of page" xr:uid="{D5EEDB39-B3DD-41DA-B564-A7ED1DFAA2F4}"/>
    <hyperlink ref="R1473:U1473" location="Tangerine_Beauty_Cross_Viner" tooltip="this is a Native plant, that naturally grows in our area ~ OR ~ it is a cultivar of a Native plant, so it should be well suited" display="N" xr:uid="{2AC294CA-79B4-4285-9593-BADE6A8D6394}"/>
    <hyperlink ref="R1473:T1473" location="Variegated_Sweet_Flag" tooltip="this is a Native plant, that naturally grows in our area ~ OR ~ it is a cultivar of a Native plant, so it should be well suited" display="N" xr:uid="{85420EA6-D69A-45A7-9055-B38BFBFFFE92}"/>
    <hyperlink ref="K1473" r:id="rId815" tooltip="open Google Images page of this plant in a browser" xr:uid="{C1BFD8C8-97F6-450F-8875-97926FBF7024}"/>
    <hyperlink ref="L1473" r:id="rId816" tooltip="open NCSU Facts page of this plant in a browser" xr:uid="{60921445-411A-4CBA-BA05-84466FF35548}"/>
    <hyperlink ref="R909:T909" location="Hetz_Midget_Arborvitae" tooltip="this is a Native plant, that naturally grows in our area ~ OR ~ it is a cultivar of a Native plant, so it should be well suited" display="N" xr:uid="{0C87526B-C080-48A6-9CA5-4510964C13F5}"/>
    <hyperlink ref="R909" location="Quote!X71" tooltip="this is a Native plant, that naturally grows in our area, or, it is a cultivar of a Native plant, so it should be well suited" display="N" xr:uid="{776E9FEC-39AB-4CE0-99EF-B3BF45C59647}"/>
    <hyperlink ref="L909" r:id="rId817" tooltip="open NCSU Facts page of this plant in a browser" xr:uid="{4CE1A428-3158-442A-8B73-6BA8DD866B63}"/>
    <hyperlink ref="K909" r:id="rId818" tooltip="open Google Images page of this plant in a browser" xr:uid="{7F576385-1CC4-40DF-A89A-10AE0AD56621}"/>
    <hyperlink ref="R909:U909" location="Planet_Earth__Arborvitae" tooltip="this is a Native plant, that naturally grows in our area, or, it is a cultivar of a Native plant, so it should be well suited" display="N" xr:uid="{87F08306-D8B0-4A00-AD12-C10A8EC9CCF4}"/>
    <hyperlink ref="L1300" r:id="rId819" tooltip="open NCSU Facts page of this plant in a browser" xr:uid="{E4BC8F84-4ED5-49EE-92FC-3C0A2C08B63E}"/>
    <hyperlink ref="K1300" r:id="rId820" tooltip="open Google Images page of this plant in a browser" xr:uid="{18B9A409-45DB-49A7-A012-06AEA9599483}"/>
    <hyperlink ref="K1096" r:id="rId821" tooltip="open Google Images page of this plant in a browser" xr:uid="{AD733598-EEF6-40FD-B9F6-57FC831FB292}"/>
    <hyperlink ref="L1096" r:id="rId822" tooltip="open NCSU Facts page of this plant in a browser" xr:uid="{76BABE32-5F9A-4273-AD7D-2F25235F08D4}"/>
    <hyperlink ref="R654:T654" location="Dura_Heat_River_Birch" tooltip="this is a Native plant, that naturally grows in our area ~ OR ~ it is a cultivar of a Native plant, so it should be well suited" display="N" xr:uid="{B736743A-3A16-43C3-B3AA-181B289F4AA7}"/>
    <hyperlink ref="R654" location="Quote!X71" tooltip="this is a Native plant, that naturally grows in our area, or, it is a cultivar of a Native plant, so it should be well suited" display="N" xr:uid="{AD3318C6-4EA0-43D2-A4A2-333DA4C6CED9}"/>
    <hyperlink ref="K654" r:id="rId823" tooltip="open Google Images page of this plant in a browser" xr:uid="{8B9C806C-76A8-44A5-ADBA-2667867E1A30}"/>
    <hyperlink ref="L654" r:id="rId824" tooltip="open NCSU Facts page of this plant in a browser" xr:uid="{F35736AB-DDD9-4CA5-9EFF-B27A77E25CA4}"/>
    <hyperlink ref="R654:U654" location="Little_King_Dwarf_River_Birch" tooltip="this is a Native plant, that naturally grows in our area, or, it is a cultivar of a Native plant, so it should be well suited" display="N" xr:uid="{FBEFEC46-6AD8-43F6-B906-FB61D3D9D82C}"/>
    <hyperlink ref="M416:N416" r:id="rId825" tooltip="open Grower Four inventory in a browser" display="Grower 4" xr:uid="{18D65FE9-8B89-423B-BFE1-E51BD54D7CBA}"/>
    <hyperlink ref="R414:T414" location="Autumn_Gold_Ginkgo" tooltip="this is a Native plant, that naturally grows in our area ~ OR ~ it is a cultivar of a Native plant, so it should be well suited" display="N" xr:uid="{13EBA05A-51B9-4B27-A0E2-79ECDF27BA61}"/>
    <hyperlink ref="R414" location="Quote!X71" tooltip="this is a Native plant, that naturally grows in our area, or, it is a cultivar of a Native plant, so it should be well suited" display="N" xr:uid="{168B31CC-CF4D-43F0-A511-811FA0F6B38C}"/>
    <hyperlink ref="M416" r:id="rId826" tooltip="open Grower Two inventory in a browser" xr:uid="{F8CE9FAC-8155-4B14-A699-73333C97AECC}"/>
    <hyperlink ref="K414" r:id="rId827" tooltip="open Google Images page of this plant in a browser" xr:uid="{C4EBF3BD-CA2F-4C78-ACFE-CD8503C8392F}"/>
    <hyperlink ref="L414" r:id="rId828" tooltip="open NCSU Facts page of this plant in a browser" xr:uid="{CF5AEB9C-6908-435B-913C-7730ADEC07F3}"/>
    <hyperlink ref="R414:U414" location="Golden_Colonnade_Ginkgo" tooltip="this is a Native plant, that naturally grows in our area, or, it is a cultivar of a Native plant, so it should be well suited" display="N" xr:uid="{128762D2-6FC6-4C9C-B58E-FA0D5401531B}"/>
    <hyperlink ref="L310" r:id="rId829" tooltip="open NCSU Facts page of this plant in a browser" xr:uid="{D0EF0FB6-1B8F-418F-92B9-0415CAD767CF}"/>
    <hyperlink ref="K310" r:id="rId830" tooltip="open Google Images page of this plant in a browser" xr:uid="{D76DB518-5A89-40C2-A0AA-E3ACA80860FE}"/>
    <hyperlink ref="R310" location="Quote!X71" tooltip="this is a Native plant, that naturally grows in our area, or, it is a cultivar of a Native plant, so it should be well suited" display="N" xr:uid="{622066E5-CE3A-4773-816C-2CA26E15FA70}"/>
    <hyperlink ref="R310:T310" location="Yellow_Ribbon_Arborvitae" tooltip="this is a Native plant, that naturally grows in our area ~ OR ~ it is a cultivar of a Native plant, so it should be well suited" display="N" xr:uid="{9C985299-1412-427D-BD35-95CF1E70A5AE}"/>
    <hyperlink ref="K1842:L1842" location="TOP" tooltip="go to top of this page, to categories list" display="top of page" xr:uid="{43BBFB93-BDCF-4B83-A6A1-9E4B08878DD5}"/>
    <hyperlink ref="K1842" location="TOP" tooltip="go to top of sheet" display="go to top" xr:uid="{5DCCA1BE-057D-4988-B4A5-C77F168DAC92}"/>
    <hyperlink ref="Q1854" location="TOP" tooltip="go to top of sheet" display="go to top" xr:uid="{201EB895-2B8C-4823-80D0-5425391CE654}"/>
    <hyperlink ref="Q1854:R1854" location="TOP" tooltip="go to top of this page, to categories list" display="top of page" xr:uid="{942B49EA-CDB5-479C-8DA2-173C05D6C524}"/>
    <hyperlink ref="K751" r:id="rId831" tooltip="open Google Images page of this plant in a browser" xr:uid="{B69CF2DB-5A7E-4535-885E-0F873D26EAA6}"/>
    <hyperlink ref="L751" r:id="rId832" tooltip="open NCSU Facts page of this plant in a browser" xr:uid="{4FD7662E-A7E9-40BD-A081-9FA1A88C1967}"/>
    <hyperlink ref="AC1802:AF1802" location="_⚒__NEW_VIEW_PLANTING_OPTION__⚒" tooltip="go to top of this page, to categories list" display="go to top of NVP area" xr:uid="{1CC58124-3462-4BD7-AD20-B94A0487124E}"/>
    <hyperlink ref="AK6:AT6" location="Eastern_Triangle_Area" tooltip="go to Service Area, Cancel Fee, Guarantee, and Warranty descriptions at base of this page" display="Eastern_Triangle_Area" xr:uid="{945C3472-38C6-46E3-8CDC-C2119DFB950E}"/>
    <hyperlink ref="K1757:L1757" location="TOP" tooltip="go to top of this page, to categories list" display="top of page" xr:uid="{449FC057-0D3B-44D7-8C75-AF002632592E}"/>
    <hyperlink ref="K1757" location="TOP" tooltip="go to top of sheet" display="go to top" xr:uid="{92D1C6B4-5035-42AD-876E-52F17FD91E6F}"/>
    <hyperlink ref="K1468" r:id="rId833" tooltip="open Google Images page of this plant in a browser" xr:uid="{54B1C9E5-AB3E-4ED6-8D4C-4C9CAF0BA317}"/>
    <hyperlink ref="L1468" r:id="rId834" tooltip="open NCSU Facts page of this plant in a browser" xr:uid="{77332F10-F322-4A8B-890F-91916F4C1814}"/>
    <hyperlink ref="L1465" r:id="rId835" tooltip="open NCSU Facts page of this plant in a browser" xr:uid="{344570A4-67AA-4BC7-B65D-E416B786EFF6}"/>
    <hyperlink ref="K1465" r:id="rId836" tooltip="open Google Images page of this plant in a browser" xr:uid="{A0489F5A-D031-4A8A-A151-C87A690AB8CD}"/>
    <hyperlink ref="L1355" r:id="rId837" tooltip="open NCSU Facts page of this plant in a browser" xr:uid="{62186EB0-355E-4A77-84D6-96BDEB0DD9A2}"/>
    <hyperlink ref="K1355" r:id="rId838" tooltip="open Google Images page of this plant in a browser" xr:uid="{4702ABA8-E441-40F2-A1C8-69BE74760069}"/>
    <hyperlink ref="L51" r:id="rId839" tooltip="open NCSU Facts page of this plant in a browser" xr:uid="{BCC2557D-780E-4092-94F6-D76DB7A41E30}"/>
    <hyperlink ref="K51" r:id="rId840" tooltip="open Google Images page of this plant in a browser" xr:uid="{35E09FBE-0018-4DA5-8BC8-21619468B297}"/>
    <hyperlink ref="R51:T51" location="Brackens_Brown_Beauty" tooltip="this is a Native plant, that naturally grows in our area ~ OR ~ it is a cultivar of a Native plant, so it should be well suited" display="N" xr:uid="{C98C9885-5C41-4FEE-9886-91AC5EBF5E82}"/>
    <hyperlink ref="R51" location="Quote!X71" tooltip="this is a Native plant, that naturally grows in our area, or, it is a cultivar of a Native plant, so it should be well suited" display="N" xr:uid="{41EEE101-B022-4B6F-86D0-911EF3A17629}"/>
    <hyperlink ref="R51:U51" location="Centre_Court_Cherry_Laurel" tooltip="this is a Native plant, that naturally grows in our area, or, it is a cultivar of a Native plant, so it should be well suited" display="N" xr:uid="{6FC5C1E3-F9FC-4CE7-933A-218A8A84F9CC}"/>
    <hyperlink ref="A1800" r:id="rId841" tooltip="open Trees2Go FAQ page in a new tab" display="Frequently Asked Questions" xr:uid="{0526FC7D-BC65-49C5-B28F-2E883DB8E2E4}"/>
    <hyperlink ref="K1664" r:id="rId842" tooltip="open Google Images page of this plant in a browser" xr:uid="{75C62F03-6ECD-468D-939C-FAD138547C4E}"/>
    <hyperlink ref="L1664" r:id="rId843" tooltip="open NCSU Facts page of this plant in a browser" xr:uid="{083721C9-A074-496C-8CFA-1A0DC2B69DFB}"/>
    <hyperlink ref="K1617" r:id="rId844" tooltip="open Google Images page of this plant in a browser" xr:uid="{98129826-5A94-4232-B144-4F12622F2E66}"/>
    <hyperlink ref="L1617" r:id="rId845" tooltip="open NCSU Facts page of this plant in a browser" xr:uid="{0BE238DA-44F3-4267-B5B6-6282A4431CD1}"/>
    <hyperlink ref="L1580" r:id="rId846" tooltip="open NCSU Facts page of this plant in a browser" xr:uid="{EF8B41BF-E757-490B-800C-FD0EC9D63A3A}"/>
    <hyperlink ref="K1580" r:id="rId847" tooltip="open Google Images page of this plant in a browser" xr:uid="{C3BEA444-2918-424B-96FD-C627736AC923}"/>
    <hyperlink ref="L694" r:id="rId848" tooltip="open NCSU Facts page of this plant in a browser" xr:uid="{E1146488-9DE4-462B-BB50-1FAFA42291FF}"/>
    <hyperlink ref="K694" r:id="rId849" tooltip="open Google Images page of this plant in a browser" xr:uid="{AFC6D81C-09F5-4C7E-9562-02D3083FA9B9}"/>
    <hyperlink ref="K1054" r:id="rId850" tooltip="open Google Images page of this plant in a browser" xr:uid="{00000000-0004-0000-0000-000082020000}"/>
    <hyperlink ref="L1054" r:id="rId851" tooltip="open NCSU Facts page of this plant in a browser" xr:uid="{00000000-0004-0000-0000-000081020000}"/>
    <hyperlink ref="K892" r:id="rId852" tooltip="open Google Images page of this plant in a browser" xr:uid="{555BE3E9-7BA2-4286-9D73-08F843526C1D}"/>
    <hyperlink ref="L892" r:id="rId853" tooltip="open NCSU Facts page of this plant in a browser" xr:uid="{511186F2-3200-463A-93F0-BCDF01DC8160}"/>
    <hyperlink ref="K1413" r:id="rId854" tooltip="open Google Images page of this plant in a browser" xr:uid="{2DB142BF-AFCB-4758-B4EB-EC2CECA08A35}"/>
    <hyperlink ref="L1413" r:id="rId855" tooltip="open NCSU Facts page of this plant in a browser" xr:uid="{03F01BAE-FFA3-48E7-BB15-80496F19065E}"/>
    <hyperlink ref="K1407" r:id="rId856" tooltip="open Google Images page of this plant in a browser" xr:uid="{37A843F0-9806-4A63-99A3-813E03C498CA}"/>
    <hyperlink ref="L1407" r:id="rId857" tooltip="open NCSU Facts page of this plant in a browser" xr:uid="{D4DBA816-A785-4EA7-A36B-1B446F2C69D4}"/>
    <hyperlink ref="L1101" r:id="rId858" tooltip="open NCSU Facts page of this plant in a browser" xr:uid="{9E9FC27D-E1DB-44CE-AB54-230A2A5ADB6D}"/>
    <hyperlink ref="K1101" r:id="rId859" tooltip="open Google Images page of this plant in a browser" xr:uid="{1AA9FCEA-4D21-424E-B238-A1E3A01F7E37}"/>
    <hyperlink ref="L1747" r:id="rId860" tooltip="open NCSU Facts page of this plant in a browser" xr:uid="{99B8D3FC-ED74-4AC1-B03F-BB50365B308C}"/>
    <hyperlink ref="K1747" r:id="rId861" tooltip="open Google Images page of this plant in a browser" xr:uid="{5628A1A6-CA8C-4F19-96C4-A2D9BA69AEAB}"/>
    <hyperlink ref="K1630" r:id="rId862" tooltip="open Google Images page of this plant in a browser" xr:uid="{58279EA1-8EF8-49B8-8E35-84AB68EDCFA9}"/>
    <hyperlink ref="K1627" r:id="rId863" tooltip="open Google Images page of this plant in a browser" xr:uid="{B20CBB9E-C145-4073-BF98-9F8E1D0D1E9F}"/>
    <hyperlink ref="L1627" r:id="rId864" tooltip="open NCSU Facts page of this plant in a browser" xr:uid="{AFC20CF9-BA29-4B54-AFBF-AEB60152ADB4}"/>
    <hyperlink ref="L1630" r:id="rId865" tooltip="open NCSU Facts page of this plant in a browser" xr:uid="{A0E63214-286F-4A29-9413-76E3DF7AC261}"/>
  </hyperlinks>
  <pageMargins left="0.5" right="0.5" top="0.9" bottom="0.9" header="0.5" footer="0.5"/>
  <pageSetup orientation="portrait" r:id="rId866"/>
  <drawing r:id="rId86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6" tint="0.39997558519241921"/>
  </sheetPr>
  <dimension ref="A1:C38"/>
  <sheetViews>
    <sheetView showGridLines="0" workbookViewId="0">
      <selection activeCell="A8" sqref="A8:C8"/>
    </sheetView>
  </sheetViews>
  <sheetFormatPr defaultRowHeight="15"/>
  <cols>
    <col min="1" max="1" width="17.7109375" customWidth="1"/>
    <col min="2" max="2" width="15.7109375" customWidth="1"/>
    <col min="3" max="3" width="56.5703125" customWidth="1"/>
  </cols>
  <sheetData>
    <row r="1" spans="1:3" ht="15.75">
      <c r="A1" s="1055" t="s">
        <v>1047</v>
      </c>
      <c r="B1" s="1050"/>
      <c r="C1" s="1050"/>
    </row>
    <row r="2" spans="1:3">
      <c r="A2" s="1054" t="s">
        <v>1048</v>
      </c>
      <c r="B2" s="1050"/>
      <c r="C2" s="1050"/>
    </row>
    <row r="3" spans="1:3">
      <c r="A3" s="43"/>
      <c r="B3" s="43"/>
      <c r="C3" s="43"/>
    </row>
    <row r="4" spans="1:3">
      <c r="A4" s="1058" t="s">
        <v>1049</v>
      </c>
      <c r="B4" s="1050"/>
      <c r="C4" s="1050"/>
    </row>
    <row r="5" spans="1:3">
      <c r="A5" s="1053" t="s">
        <v>1050</v>
      </c>
      <c r="B5" s="1050"/>
      <c r="C5" s="1050"/>
    </row>
    <row r="6" spans="1:3">
      <c r="A6" s="44"/>
      <c r="B6" s="43"/>
      <c r="C6" s="43"/>
    </row>
    <row r="7" spans="1:3">
      <c r="A7" s="1058" t="s">
        <v>1051</v>
      </c>
      <c r="B7" s="1050"/>
      <c r="C7" s="1050"/>
    </row>
    <row r="8" spans="1:3">
      <c r="A8" s="1053" t="s">
        <v>1052</v>
      </c>
      <c r="B8" s="1050"/>
      <c r="C8" s="1050"/>
    </row>
    <row r="9" spans="1:3">
      <c r="A9" s="1053" t="s">
        <v>1053</v>
      </c>
      <c r="B9" s="1050"/>
      <c r="C9" s="1050"/>
    </row>
    <row r="10" spans="1:3">
      <c r="A10" s="44"/>
      <c r="B10" s="43"/>
      <c r="C10" s="43"/>
    </row>
    <row r="11" spans="1:3">
      <c r="A11" s="1058" t="s">
        <v>1054</v>
      </c>
      <c r="B11" s="1050"/>
      <c r="C11" s="1050"/>
    </row>
    <row r="12" spans="1:3">
      <c r="A12" s="1053" t="s">
        <v>1055</v>
      </c>
      <c r="B12" s="1050"/>
      <c r="C12" s="1050"/>
    </row>
    <row r="13" spans="1:3">
      <c r="A13" s="1053" t="s">
        <v>1056</v>
      </c>
      <c r="B13" s="1050"/>
      <c r="C13" s="1050"/>
    </row>
    <row r="14" spans="1:3">
      <c r="A14" s="1059" t="s">
        <v>1057</v>
      </c>
      <c r="B14" s="1050"/>
      <c r="C14" s="1050"/>
    </row>
    <row r="15" spans="1:3">
      <c r="A15" s="1053" t="s">
        <v>1058</v>
      </c>
      <c r="B15" s="1050"/>
      <c r="C15" s="1050"/>
    </row>
    <row r="16" spans="1:3">
      <c r="A16" s="1053" t="s">
        <v>1059</v>
      </c>
      <c r="B16" s="1050"/>
      <c r="C16" s="1050"/>
    </row>
    <row r="18" spans="1:3">
      <c r="A18" s="45" t="s">
        <v>1060</v>
      </c>
      <c r="B18" s="43"/>
      <c r="C18" s="43"/>
    </row>
    <row r="19" spans="1:3">
      <c r="A19" s="1053" t="s">
        <v>1061</v>
      </c>
      <c r="B19" s="1050"/>
      <c r="C19" s="1050"/>
    </row>
    <row r="20" spans="1:3" ht="15.75" thickBot="1">
      <c r="A20" s="44"/>
      <c r="B20" s="43"/>
      <c r="C20" s="43"/>
    </row>
    <row r="21" spans="1:3" ht="26.25" customHeight="1">
      <c r="A21" s="1056" t="s">
        <v>1062</v>
      </c>
      <c r="B21" s="1057"/>
      <c r="C21" s="3" t="s">
        <v>1063</v>
      </c>
    </row>
    <row r="22" spans="1:3">
      <c r="A22" s="4" t="s">
        <v>1064</v>
      </c>
      <c r="B22" s="5">
        <v>8</v>
      </c>
      <c r="C22" s="31" t="s">
        <v>1065</v>
      </c>
    </row>
    <row r="23" spans="1:3">
      <c r="A23" s="4" t="s">
        <v>1066</v>
      </c>
      <c r="B23" s="5">
        <v>14</v>
      </c>
      <c r="C23" s="6" t="s">
        <v>1067</v>
      </c>
    </row>
    <row r="24" spans="1:3">
      <c r="A24" s="4" t="s">
        <v>920</v>
      </c>
      <c r="B24" s="5">
        <v>22</v>
      </c>
      <c r="C24" s="6" t="s">
        <v>1068</v>
      </c>
    </row>
    <row r="25" spans="1:3">
      <c r="A25" s="4" t="s">
        <v>922</v>
      </c>
      <c r="B25" s="5">
        <v>30</v>
      </c>
      <c r="C25" s="6" t="s">
        <v>1069</v>
      </c>
    </row>
    <row r="26" spans="1:3">
      <c r="A26" s="4" t="s">
        <v>924</v>
      </c>
      <c r="B26" s="5">
        <v>40</v>
      </c>
      <c r="C26" s="6" t="s">
        <v>1070</v>
      </c>
    </row>
    <row r="27" spans="1:3">
      <c r="A27" s="4" t="s">
        <v>1071</v>
      </c>
      <c r="B27" s="5">
        <v>50</v>
      </c>
      <c r="C27" s="7"/>
    </row>
    <row r="28" spans="1:3">
      <c r="A28" s="4" t="s">
        <v>926</v>
      </c>
      <c r="B28" s="5">
        <v>60</v>
      </c>
      <c r="C28" s="31" t="s">
        <v>1072</v>
      </c>
    </row>
    <row r="29" spans="1:3">
      <c r="A29" s="4" t="s">
        <v>928</v>
      </c>
      <c r="B29" s="5">
        <v>75</v>
      </c>
      <c r="C29" s="6" t="s">
        <v>1073</v>
      </c>
    </row>
    <row r="30" spans="1:3">
      <c r="A30" s="4" t="s">
        <v>930</v>
      </c>
      <c r="B30" s="5">
        <v>90</v>
      </c>
      <c r="C30" s="6" t="s">
        <v>1074</v>
      </c>
    </row>
    <row r="31" spans="1:3" ht="15.75" thickBot="1">
      <c r="A31" s="8" t="s">
        <v>931</v>
      </c>
      <c r="B31" s="9">
        <v>115</v>
      </c>
      <c r="C31" s="32" t="s">
        <v>1075</v>
      </c>
    </row>
    <row r="33" spans="1:3">
      <c r="A33" s="1049" t="s">
        <v>1076</v>
      </c>
      <c r="B33" s="1050"/>
      <c r="C33" s="1050"/>
    </row>
    <row r="34" spans="1:3">
      <c r="A34" s="2"/>
      <c r="B34" s="43"/>
      <c r="C34" s="43"/>
    </row>
    <row r="35" spans="1:3">
      <c r="A35" s="1049" t="s">
        <v>1077</v>
      </c>
      <c r="B35" s="1050"/>
      <c r="C35" s="1050"/>
    </row>
    <row r="36" spans="1:3">
      <c r="A36" s="1051" t="s">
        <v>1078</v>
      </c>
      <c r="B36" s="1052"/>
      <c r="C36" s="1052"/>
    </row>
    <row r="37" spans="1:3">
      <c r="A37" s="1051" t="s">
        <v>1079</v>
      </c>
      <c r="B37" s="1052"/>
      <c r="C37" s="1052"/>
    </row>
    <row r="38" spans="1:3">
      <c r="A38" s="1047" t="s">
        <v>1080</v>
      </c>
      <c r="B38" s="1048"/>
      <c r="C38" s="1048"/>
    </row>
  </sheetData>
  <customSheetViews>
    <customSheetView guid="{1E9B411C-D0FF-4571-8400-525AD07D2A70}">
      <pageMargins left="0" right="0" top="0" bottom="0" header="0" footer="0"/>
    </customSheetView>
  </customSheetViews>
  <mergeCells count="20">
    <mergeCell ref="A9:C9"/>
    <mergeCell ref="A2:C2"/>
    <mergeCell ref="A1:C1"/>
    <mergeCell ref="A21:B21"/>
    <mergeCell ref="A4:C4"/>
    <mergeCell ref="A5:C5"/>
    <mergeCell ref="A7:C7"/>
    <mergeCell ref="A8:C8"/>
    <mergeCell ref="A11:C11"/>
    <mergeCell ref="A12:C12"/>
    <mergeCell ref="A14:C14"/>
    <mergeCell ref="A13:C13"/>
    <mergeCell ref="A16:C16"/>
    <mergeCell ref="A19:C19"/>
    <mergeCell ref="A15:C15"/>
    <mergeCell ref="A38:C38"/>
    <mergeCell ref="A33:C33"/>
    <mergeCell ref="A35:C35"/>
    <mergeCell ref="A36:C36"/>
    <mergeCell ref="A37:C37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5" tint="0.79998168889431442"/>
  </sheetPr>
  <dimension ref="B1:C39"/>
  <sheetViews>
    <sheetView showGridLines="0" showRowColHeaders="0" workbookViewId="0">
      <selection activeCell="B1" sqref="B1:C1"/>
    </sheetView>
  </sheetViews>
  <sheetFormatPr defaultRowHeight="15"/>
  <cols>
    <col min="1" max="1" width="1.85546875" customWidth="1"/>
    <col min="2" max="2" width="3.28515625" style="28" customWidth="1"/>
    <col min="3" max="3" width="47.5703125" customWidth="1"/>
    <col min="4" max="4" width="7.28515625" customWidth="1"/>
    <col min="7" max="7" width="12" customWidth="1"/>
  </cols>
  <sheetData>
    <row r="1" spans="2:3">
      <c r="B1" s="1060" t="s">
        <v>1081</v>
      </c>
      <c r="C1" s="1061"/>
    </row>
    <row r="17" spans="2:3">
      <c r="C17" s="27" t="s">
        <v>1082</v>
      </c>
    </row>
    <row r="18" spans="2:3">
      <c r="C18" s="27" t="s">
        <v>1083</v>
      </c>
    </row>
    <row r="19" spans="2:3">
      <c r="C19" s="27"/>
    </row>
    <row r="20" spans="2:3" ht="15.75">
      <c r="B20" s="29" t="s">
        <v>1084</v>
      </c>
      <c r="C20" s="517" t="s">
        <v>1085</v>
      </c>
    </row>
    <row r="21" spans="2:3" ht="15.75">
      <c r="B21" s="29" t="s">
        <v>1086</v>
      </c>
      <c r="C21" s="517" t="s">
        <v>1087</v>
      </c>
    </row>
    <row r="22" spans="2:3" ht="15.75">
      <c r="B22" s="29" t="s">
        <v>1088</v>
      </c>
      <c r="C22" s="517" t="s">
        <v>1348</v>
      </c>
    </row>
    <row r="23" spans="2:3" ht="15.75">
      <c r="B23" s="29" t="s">
        <v>1089</v>
      </c>
      <c r="C23" s="30" t="s">
        <v>1090</v>
      </c>
    </row>
    <row r="24" spans="2:3" ht="15.75">
      <c r="B24" s="29" t="s">
        <v>1091</v>
      </c>
      <c r="C24" s="30" t="s">
        <v>1092</v>
      </c>
    </row>
    <row r="25" spans="2:3" ht="15.75">
      <c r="B25" s="29" t="s">
        <v>1093</v>
      </c>
      <c r="C25" s="30" t="s">
        <v>1094</v>
      </c>
    </row>
    <row r="26" spans="2:3" ht="15.75">
      <c r="B26" s="29" t="s">
        <v>1095</v>
      </c>
      <c r="C26" s="30" t="s">
        <v>1096</v>
      </c>
    </row>
    <row r="27" spans="2:3" ht="15.75">
      <c r="B27" s="29" t="s">
        <v>1097</v>
      </c>
      <c r="C27" s="30" t="s">
        <v>1098</v>
      </c>
    </row>
    <row r="28" spans="2:3" ht="15.75">
      <c r="B28" s="29" t="s">
        <v>1099</v>
      </c>
      <c r="C28" s="30" t="s">
        <v>1100</v>
      </c>
    </row>
    <row r="29" spans="2:3" ht="15.75">
      <c r="B29" s="29" t="s">
        <v>1101</v>
      </c>
      <c r="C29" s="30" t="s">
        <v>1102</v>
      </c>
    </row>
    <row r="30" spans="2:3" ht="15.75">
      <c r="B30" s="29" t="s">
        <v>1103</v>
      </c>
      <c r="C30" s="30" t="s">
        <v>1104</v>
      </c>
    </row>
    <row r="31" spans="2:3" ht="15.75">
      <c r="B31" s="29" t="s">
        <v>1105</v>
      </c>
      <c r="C31" s="30" t="s">
        <v>1106</v>
      </c>
    </row>
    <row r="32" spans="2:3" ht="15.75">
      <c r="B32" s="29" t="s">
        <v>1107</v>
      </c>
      <c r="C32" s="30" t="s">
        <v>1108</v>
      </c>
    </row>
    <row r="33" spans="2:3" ht="15.75">
      <c r="B33" s="29" t="s">
        <v>1109</v>
      </c>
      <c r="C33" s="30" t="s">
        <v>1110</v>
      </c>
    </row>
    <row r="34" spans="2:3" ht="15.75">
      <c r="B34" s="518">
        <v>15</v>
      </c>
      <c r="C34" s="30" t="s">
        <v>1111</v>
      </c>
    </row>
    <row r="35" spans="2:3" ht="15.75">
      <c r="B35" s="518">
        <v>16</v>
      </c>
      <c r="C35" s="30" t="s">
        <v>1112</v>
      </c>
    </row>
    <row r="36" spans="2:3" ht="15.75">
      <c r="B36" s="518">
        <v>17</v>
      </c>
      <c r="C36" s="30" t="s">
        <v>1347</v>
      </c>
    </row>
    <row r="37" spans="2:3" ht="15.75">
      <c r="B37" s="518">
        <v>18</v>
      </c>
      <c r="C37" s="30" t="s">
        <v>1346</v>
      </c>
    </row>
    <row r="38" spans="2:3">
      <c r="C38" s="27"/>
    </row>
    <row r="39" spans="2:3">
      <c r="C39" s="297" t="s">
        <v>1485</v>
      </c>
    </row>
  </sheetData>
  <sheetProtection algorithmName="SHA-512" hashValue="uKYi92JqXc/GVueGQLnSJdA+qfLQIicDaWBl085eMKJCOynUM++Ly0UM/8kdAFeD8pvz6SbxrCwr9zB8TvekKA==" saltValue="fMxr1s0PfLqyvZsAraPCLg==" spinCount="100000" sheet="1" objects="1" scenarios="1"/>
  <mergeCells count="1">
    <mergeCell ref="B1:C1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8" tint="0.79998168889431442"/>
  </sheetPr>
  <dimension ref="B1:B253"/>
  <sheetViews>
    <sheetView showGridLines="0" showRowColHeaders="0" workbookViewId="0">
      <selection activeCell="C12" sqref="C12"/>
    </sheetView>
  </sheetViews>
  <sheetFormatPr defaultRowHeight="15"/>
  <cols>
    <col min="1" max="1" width="1.85546875" style="803" customWidth="1"/>
    <col min="2" max="2" width="64.28515625" style="803" customWidth="1"/>
    <col min="3" max="3" width="10" style="803" customWidth="1"/>
    <col min="4" max="4" width="13.140625" style="803" customWidth="1"/>
    <col min="5" max="16384" width="9.140625" style="803"/>
  </cols>
  <sheetData>
    <row r="1" spans="2:2" ht="15" customHeight="1">
      <c r="B1" s="805" t="s">
        <v>1113</v>
      </c>
    </row>
    <row r="2" spans="2:2" ht="5.0999999999999996" customHeight="1">
      <c r="B2" s="805"/>
    </row>
    <row r="3" spans="2:2" ht="15" customHeight="1">
      <c r="B3" s="806" t="s">
        <v>1114</v>
      </c>
    </row>
    <row r="4" spans="2:2" ht="8.1" customHeight="1">
      <c r="B4" s="806"/>
    </row>
    <row r="5" spans="2:2" ht="15" customHeight="1">
      <c r="B5" s="807" t="s">
        <v>1115</v>
      </c>
    </row>
    <row r="6" spans="2:2" ht="15" customHeight="1">
      <c r="B6" s="808" t="s">
        <v>1116</v>
      </c>
    </row>
    <row r="7" spans="2:2" ht="15" customHeight="1">
      <c r="B7" s="808" t="s">
        <v>1117</v>
      </c>
    </row>
    <row r="8" spans="2:2" ht="15" customHeight="1">
      <c r="B8" s="808" t="s">
        <v>1118</v>
      </c>
    </row>
    <row r="9" spans="2:2" ht="8.1" customHeight="1">
      <c r="B9" s="806"/>
    </row>
    <row r="10" spans="2:2" ht="15" customHeight="1">
      <c r="B10" s="808" t="s">
        <v>1119</v>
      </c>
    </row>
    <row r="11" spans="2:2" ht="15" customHeight="1">
      <c r="B11" s="807" t="s">
        <v>1120</v>
      </c>
    </row>
    <row r="12" spans="2:2" ht="15" customHeight="1">
      <c r="B12" s="808" t="s">
        <v>1121</v>
      </c>
    </row>
    <row r="13" spans="2:2" ht="8.1" customHeight="1"/>
    <row r="14" spans="2:2" ht="15" customHeight="1">
      <c r="B14" s="809" t="s">
        <v>1122</v>
      </c>
    </row>
    <row r="15" spans="2:2" ht="15" customHeight="1">
      <c r="B15" s="808" t="s">
        <v>1486</v>
      </c>
    </row>
    <row r="16" spans="2:2" ht="15" customHeight="1">
      <c r="B16" s="808" t="s">
        <v>1328</v>
      </c>
    </row>
    <row r="17" spans="2:2" ht="8.1" customHeight="1">
      <c r="B17" s="806"/>
    </row>
    <row r="18" spans="2:2" ht="15" customHeight="1">
      <c r="B18" s="807" t="s">
        <v>1123</v>
      </c>
    </row>
    <row r="19" spans="2:2" ht="15" customHeight="1">
      <c r="B19" s="808" t="s">
        <v>1487</v>
      </c>
    </row>
    <row r="20" spans="2:2" ht="15" customHeight="1">
      <c r="B20" s="808" t="s">
        <v>1124</v>
      </c>
    </row>
    <row r="21" spans="2:2" ht="8.1" customHeight="1"/>
    <row r="22" spans="2:2" ht="15" customHeight="1">
      <c r="B22" s="807" t="s">
        <v>1125</v>
      </c>
    </row>
    <row r="23" spans="2:2" ht="15" customHeight="1">
      <c r="B23" s="808" t="s">
        <v>1126</v>
      </c>
    </row>
    <row r="24" spans="2:2" ht="15" customHeight="1">
      <c r="B24" s="808" t="s">
        <v>1127</v>
      </c>
    </row>
    <row r="25" spans="2:2" ht="8.1" customHeight="1">
      <c r="B25" s="808"/>
    </row>
    <row r="26" spans="2:2" ht="15" customHeight="1">
      <c r="B26" s="809" t="s">
        <v>1128</v>
      </c>
    </row>
    <row r="27" spans="2:2" ht="15" customHeight="1">
      <c r="B27" s="807" t="s">
        <v>1198</v>
      </c>
    </row>
    <row r="28" spans="2:2" ht="8.1" customHeight="1">
      <c r="B28" s="810"/>
    </row>
    <row r="29" spans="2:2" ht="15" customHeight="1">
      <c r="B29" s="807" t="s">
        <v>1129</v>
      </c>
    </row>
    <row r="30" spans="2:2" ht="15" customHeight="1">
      <c r="B30" s="808" t="s">
        <v>1594</v>
      </c>
    </row>
    <row r="31" spans="2:2" ht="15" customHeight="1">
      <c r="B31" s="808" t="s">
        <v>1595</v>
      </c>
    </row>
    <row r="32" spans="2:2" ht="8.1" customHeight="1">
      <c r="B32" s="810"/>
    </row>
    <row r="33" spans="2:2" ht="15" customHeight="1">
      <c r="B33" s="811" t="s">
        <v>1130</v>
      </c>
    </row>
    <row r="34" spans="2:2" ht="15" customHeight="1">
      <c r="B34" s="808" t="s">
        <v>1131</v>
      </c>
    </row>
    <row r="35" spans="2:2" ht="15" customHeight="1">
      <c r="B35" s="808" t="s">
        <v>1488</v>
      </c>
    </row>
    <row r="36" spans="2:2" ht="8.1" customHeight="1"/>
    <row r="37" spans="2:2" ht="15" customHeight="1">
      <c r="B37" s="807" t="s">
        <v>1132</v>
      </c>
    </row>
    <row r="38" spans="2:2" ht="15" customHeight="1">
      <c r="B38" s="808" t="s">
        <v>1133</v>
      </c>
    </row>
    <row r="39" spans="2:2" ht="15" customHeight="1">
      <c r="B39" s="808" t="s">
        <v>1134</v>
      </c>
    </row>
    <row r="40" spans="2:2" ht="8.1" customHeight="1"/>
    <row r="41" spans="2:2" ht="15" customHeight="1">
      <c r="B41" s="807" t="s">
        <v>1135</v>
      </c>
    </row>
    <row r="42" spans="2:2" ht="15" customHeight="1">
      <c r="B42" s="808" t="s">
        <v>1136</v>
      </c>
    </row>
    <row r="43" spans="2:2" ht="15" customHeight="1">
      <c r="B43" s="808" t="s">
        <v>1137</v>
      </c>
    </row>
    <row r="44" spans="2:2" ht="15" customHeight="1">
      <c r="B44" s="808" t="s">
        <v>1138</v>
      </c>
    </row>
    <row r="45" spans="2:2" ht="8.1" customHeight="1"/>
    <row r="46" spans="2:2" ht="15" customHeight="1">
      <c r="B46" s="807" t="s">
        <v>1139</v>
      </c>
    </row>
    <row r="47" spans="2:2" ht="15" customHeight="1">
      <c r="B47" s="808" t="s">
        <v>1140</v>
      </c>
    </row>
    <row r="48" spans="2:2" ht="15" customHeight="1">
      <c r="B48" s="808" t="s">
        <v>1141</v>
      </c>
    </row>
    <row r="49" spans="2:2" ht="15" customHeight="1">
      <c r="B49" s="808" t="s">
        <v>1142</v>
      </c>
    </row>
    <row r="50" spans="2:2" ht="15" customHeight="1">
      <c r="B50" s="808" t="s">
        <v>1143</v>
      </c>
    </row>
    <row r="51" spans="2:2" ht="15" customHeight="1">
      <c r="B51" s="808"/>
    </row>
    <row r="52" spans="2:2" ht="15" customHeight="1">
      <c r="B52" s="812" t="s">
        <v>1485</v>
      </c>
    </row>
    <row r="53" spans="2:2" ht="15" customHeight="1"/>
    <row r="54" spans="2:2" ht="15" customHeight="1"/>
    <row r="55" spans="2:2" ht="15" customHeight="1"/>
    <row r="56" spans="2:2" ht="15" customHeight="1"/>
    <row r="57" spans="2:2" ht="15" customHeight="1"/>
    <row r="58" spans="2:2" ht="15" customHeight="1"/>
    <row r="59" spans="2:2" ht="15" customHeight="1"/>
    <row r="60" spans="2:2" ht="15" customHeight="1"/>
    <row r="61" spans="2:2" ht="15" customHeight="1"/>
    <row r="62" spans="2:2" ht="15" customHeight="1"/>
    <row r="63" spans="2:2" ht="15" customHeight="1"/>
    <row r="64" spans="2:2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</sheetData>
  <sheetProtection algorithmName="SHA-512" hashValue="o99TOInCPvbKwxA7Jz1tTVcuZJuMkzZpGCiwYs6cup5TwGlszE0zmucpEGW6djfFFDrQEt15mr9S4ejypxqIdQ==" saltValue="Zd4iftF0XCMBOoU0eFKo9Q==" spinCount="100000" sheet="1" objects="1" scenarios="1"/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6" tint="0.79998168889431442"/>
  </sheetPr>
  <dimension ref="B1:E228"/>
  <sheetViews>
    <sheetView showGridLines="0" showRowColHeaders="0" workbookViewId="0">
      <selection activeCell="B1" sqref="B1:D1"/>
    </sheetView>
  </sheetViews>
  <sheetFormatPr defaultColWidth="9.140625" defaultRowHeight="15"/>
  <cols>
    <col min="1" max="1" width="1.85546875" style="803" customWidth="1"/>
    <col min="2" max="2" width="31.5703125" style="803" customWidth="1"/>
    <col min="3" max="3" width="10" style="803" customWidth="1"/>
    <col min="4" max="4" width="11.140625" style="803" customWidth="1"/>
    <col min="5" max="7" width="9.140625" style="803"/>
    <col min="8" max="8" width="4.28515625" style="803" customWidth="1"/>
    <col min="9" max="9" width="4.140625" style="803" customWidth="1"/>
    <col min="10" max="16384" width="9.140625" style="803"/>
  </cols>
  <sheetData>
    <row r="1" spans="2:4" ht="15" customHeight="1">
      <c r="B1" s="1062" t="s">
        <v>1144</v>
      </c>
      <c r="C1" s="1063"/>
      <c r="D1" s="1063"/>
    </row>
    <row r="2" spans="2:4" ht="8.1" customHeight="1">
      <c r="B2" s="805"/>
    </row>
    <row r="3" spans="2:4" ht="15" customHeight="1">
      <c r="B3" s="808" t="s">
        <v>1363</v>
      </c>
    </row>
    <row r="4" spans="2:4" ht="15" customHeight="1">
      <c r="B4" s="808" t="s">
        <v>1360</v>
      </c>
    </row>
    <row r="5" spans="2:4" ht="15" customHeight="1">
      <c r="B5" s="808" t="s">
        <v>1359</v>
      </c>
    </row>
    <row r="6" spans="2:4" ht="15" customHeight="1">
      <c r="B6" s="808" t="s">
        <v>1362</v>
      </c>
    </row>
    <row r="7" spans="2:4" ht="15" customHeight="1">
      <c r="B7" s="808" t="s">
        <v>1361</v>
      </c>
    </row>
    <row r="8" spans="2:4" ht="8.1" customHeight="1">
      <c r="B8" s="808"/>
    </row>
    <row r="9" spans="2:4" ht="15" customHeight="1">
      <c r="B9" s="808" t="s">
        <v>1145</v>
      </c>
    </row>
    <row r="10" spans="2:4" ht="8.1" customHeight="1">
      <c r="B10" s="808"/>
    </row>
    <row r="11" spans="2:4" ht="15" customHeight="1">
      <c r="B11" s="808" t="s">
        <v>1146</v>
      </c>
    </row>
    <row r="12" spans="2:4" ht="8.1" customHeight="1">
      <c r="B12" s="808"/>
    </row>
    <row r="13" spans="2:4">
      <c r="B13" s="808" t="s">
        <v>1147</v>
      </c>
    </row>
    <row r="14" spans="2:4" ht="8.1" customHeight="1">
      <c r="B14" s="808"/>
    </row>
    <row r="15" spans="2:4">
      <c r="B15" s="808" t="s">
        <v>1148</v>
      </c>
    </row>
    <row r="16" spans="2:4" ht="8.1" customHeight="1">
      <c r="B16" s="806"/>
    </row>
    <row r="17" spans="2:5" ht="15" customHeight="1">
      <c r="B17" s="813" t="s">
        <v>1301</v>
      </c>
    </row>
    <row r="18" spans="2:5" ht="15" customHeight="1">
      <c r="B18" s="1064" t="s">
        <v>1149</v>
      </c>
      <c r="C18" s="1064"/>
      <c r="D18" s="1064"/>
    </row>
    <row r="19" spans="2:5" ht="15.95" customHeight="1">
      <c r="B19" s="814"/>
      <c r="C19" s="814"/>
      <c r="D19" s="814"/>
    </row>
    <row r="20" spans="2:5" ht="15" customHeight="1">
      <c r="B20" s="815" t="s">
        <v>1150</v>
      </c>
    </row>
    <row r="21" spans="2:5" ht="8.1" customHeight="1">
      <c r="B21" s="806"/>
    </row>
    <row r="22" spans="2:5" ht="15" customHeight="1">
      <c r="B22" s="808" t="s">
        <v>1609</v>
      </c>
    </row>
    <row r="23" spans="2:5" ht="8.1" customHeight="1">
      <c r="B23" s="806"/>
    </row>
    <row r="24" spans="2:5" ht="15" customHeight="1">
      <c r="B24" s="803" t="s">
        <v>1610</v>
      </c>
    </row>
    <row r="25" spans="2:5" ht="8.1" customHeight="1">
      <c r="B25" s="806"/>
    </row>
    <row r="26" spans="2:5" ht="15" customHeight="1">
      <c r="B26" s="808" t="s">
        <v>1151</v>
      </c>
      <c r="D26" s="812"/>
      <c r="E26" s="812"/>
    </row>
    <row r="27" spans="2:5" ht="8.1" customHeight="1">
      <c r="C27" s="812"/>
    </row>
    <row r="28" spans="2:5" ht="15" customHeight="1">
      <c r="B28" s="803" t="s">
        <v>1608</v>
      </c>
    </row>
    <row r="29" spans="2:5" ht="8.1" customHeight="1"/>
    <row r="30" spans="2:5" ht="15" customHeight="1">
      <c r="B30" s="808" t="s">
        <v>1297</v>
      </c>
    </row>
    <row r="31" spans="2:5" ht="15" customHeight="1"/>
    <row r="32" spans="2:5" ht="15" customHeight="1">
      <c r="B32" s="812" t="s">
        <v>1485</v>
      </c>
    </row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</sheetData>
  <sheetProtection algorithmName="SHA-512" hashValue="E/TflgaGVrecrsSFZGSt8hpeqRz6jQYYAwOktd+ONWRefCt+XUm2gdwrNXUQ727tqsGRofPCWeSEEB6bH8+iRA==" saltValue="25mjTlAN1XnKgxKRn+IzzQ==" spinCount="100000" sheet="1" objects="1" scenarios="1"/>
  <mergeCells count="2">
    <mergeCell ref="B1:D1"/>
    <mergeCell ref="B18:D18"/>
  </mergeCells>
  <hyperlinks>
    <hyperlink ref="B18" r:id="rId1" location="PotSizeChart" tooltip="open Trees2Go FAQ page to the Pot Size Chart in a browser" display="Gallon Pot Size Chart" xr:uid="{19B83BCC-347A-481D-BED2-B5F6EC87257A}"/>
    <hyperlink ref="B18:D18" r:id="rId2" location="EasternTriangleArea" tooltip="open About page to Eastern Triangle Area section in a browser" display="Eastern Triangle Area of NC" xr:uid="{94817615-ACFD-42BE-BA29-F292EF7A5F91}"/>
  </hyperlinks>
  <pageMargins left="0.7" right="0.7" top="0.75" bottom="0.75" header="0.3" footer="0.3"/>
  <pageSetup orientation="portrait" horizontalDpi="300" verticalDpi="30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7" tint="0.79998168889431442"/>
  </sheetPr>
  <dimension ref="A2:N55"/>
  <sheetViews>
    <sheetView showGridLines="0" workbookViewId="0">
      <selection activeCell="L12" sqref="L12"/>
    </sheetView>
  </sheetViews>
  <sheetFormatPr defaultColWidth="9.140625" defaultRowHeight="15"/>
  <cols>
    <col min="1" max="1" width="11.7109375" customWidth="1"/>
    <col min="2" max="2" width="9.28515625" customWidth="1"/>
    <col min="3" max="3" width="8.7109375" customWidth="1"/>
    <col min="4" max="4" width="10.85546875" customWidth="1"/>
    <col min="5" max="5" width="9.7109375" customWidth="1"/>
    <col min="6" max="6" width="6.42578125" customWidth="1"/>
    <col min="7" max="7" width="11" customWidth="1"/>
    <col min="8" max="8" width="11.28515625" customWidth="1"/>
    <col min="9" max="12" width="8" bestFit="1" customWidth="1"/>
    <col min="13" max="13" width="9.42578125" customWidth="1"/>
    <col min="14" max="14" width="10.140625" customWidth="1"/>
    <col min="15" max="15" width="8" bestFit="1" customWidth="1"/>
  </cols>
  <sheetData>
    <row r="2" spans="1:14" ht="12.75" customHeight="1">
      <c r="A2" s="11" t="s">
        <v>1152</v>
      </c>
      <c r="B2" s="26" t="s">
        <v>1153</v>
      </c>
      <c r="C2" s="10"/>
      <c r="D2" s="1065" t="s">
        <v>1154</v>
      </c>
      <c r="E2" s="1066"/>
      <c r="F2" s="10"/>
      <c r="G2" s="1065" t="s">
        <v>1155</v>
      </c>
      <c r="H2" s="1066"/>
      <c r="I2" s="1067" t="s">
        <v>1156</v>
      </c>
      <c r="J2" s="1068"/>
      <c r="K2" s="1068"/>
      <c r="L2" s="1068"/>
      <c r="M2" s="39" t="s">
        <v>1152</v>
      </c>
      <c r="N2" s="40" t="s">
        <v>1153</v>
      </c>
    </row>
    <row r="3" spans="1:14" ht="12.75" customHeight="1">
      <c r="A3" s="13">
        <f>ROUNDDOWN('Main Page'!I1807,-2)</f>
        <v>0</v>
      </c>
      <c r="B3" s="14">
        <f>+IF(A3&gt;5000,0.1,VLOOKUP(A3,A4:B54,2,FALSE))</f>
        <v>0</v>
      </c>
      <c r="C3" s="10"/>
      <c r="D3" s="24" t="s">
        <v>1157</v>
      </c>
      <c r="E3" s="25" t="s">
        <v>1158</v>
      </c>
      <c r="F3" s="10"/>
      <c r="G3" s="24" t="s">
        <v>1157</v>
      </c>
      <c r="H3" s="25" t="s">
        <v>1158</v>
      </c>
      <c r="I3" s="36"/>
      <c r="J3" s="37" t="s">
        <v>911</v>
      </c>
      <c r="K3" s="38" t="s">
        <v>912</v>
      </c>
      <c r="L3" s="33"/>
      <c r="M3" s="41">
        <f>ROUNDDOWN('Main Page'!AH1780,-2)</f>
        <v>0</v>
      </c>
      <c r="N3" s="42">
        <f>+IF(M3&gt;5000,0.1,VLOOKUP(M3,M4:N55,2,FALSE))</f>
        <v>0</v>
      </c>
    </row>
    <row r="4" spans="1:14" ht="12.75" customHeight="1">
      <c r="A4" s="13">
        <v>0</v>
      </c>
      <c r="B4" s="14">
        <v>0</v>
      </c>
      <c r="C4" s="10"/>
      <c r="D4" s="12">
        <v>0</v>
      </c>
      <c r="E4" s="15">
        <v>0</v>
      </c>
      <c r="F4" s="10"/>
      <c r="G4" s="12">
        <v>0</v>
      </c>
      <c r="H4" s="15">
        <v>0</v>
      </c>
      <c r="I4" s="33"/>
      <c r="J4" s="34">
        <v>0</v>
      </c>
      <c r="K4" s="35">
        <v>0</v>
      </c>
      <c r="L4" s="33"/>
      <c r="M4" s="41">
        <v>0</v>
      </c>
      <c r="N4" s="42">
        <v>0</v>
      </c>
    </row>
    <row r="5" spans="1:14" ht="12.75" customHeight="1">
      <c r="A5" s="13">
        <v>100</v>
      </c>
      <c r="B5" s="14">
        <v>0</v>
      </c>
      <c r="C5" s="10"/>
      <c r="D5" s="19" t="s">
        <v>817</v>
      </c>
      <c r="E5" s="46">
        <v>1.4999999999999999E-2</v>
      </c>
      <c r="F5" s="10"/>
      <c r="G5" s="19" t="s">
        <v>817</v>
      </c>
      <c r="H5" s="46">
        <v>2.5000000000000001E-2</v>
      </c>
      <c r="I5" s="33"/>
      <c r="J5" s="34" t="s">
        <v>841</v>
      </c>
      <c r="K5" s="35">
        <v>120</v>
      </c>
      <c r="L5" s="33"/>
      <c r="M5" s="41">
        <v>100</v>
      </c>
      <c r="N5" s="42">
        <v>0</v>
      </c>
    </row>
    <row r="6" spans="1:14" ht="12.75" customHeight="1">
      <c r="A6" s="13">
        <v>200</v>
      </c>
      <c r="B6" s="14">
        <v>0.01</v>
      </c>
      <c r="C6" s="10"/>
      <c r="D6" s="16" t="s">
        <v>668</v>
      </c>
      <c r="E6" s="17">
        <v>0.02</v>
      </c>
      <c r="F6" s="10"/>
      <c r="G6" s="16" t="s">
        <v>668</v>
      </c>
      <c r="H6" s="17">
        <v>0.03</v>
      </c>
      <c r="I6" s="33"/>
      <c r="J6" s="34" t="s">
        <v>808</v>
      </c>
      <c r="K6" s="35">
        <v>144</v>
      </c>
      <c r="L6" s="33"/>
      <c r="M6" s="41">
        <v>200</v>
      </c>
      <c r="N6" s="42">
        <v>0.01</v>
      </c>
    </row>
    <row r="7" spans="1:14" ht="12.75" customHeight="1">
      <c r="A7" s="13">
        <v>300</v>
      </c>
      <c r="B7" s="14">
        <v>0.02</v>
      </c>
      <c r="C7" s="10"/>
      <c r="D7" s="16">
        <v>1</v>
      </c>
      <c r="E7" s="17">
        <v>0.02</v>
      </c>
      <c r="F7" s="10"/>
      <c r="G7" s="16">
        <v>1</v>
      </c>
      <c r="H7" s="17">
        <v>0.03</v>
      </c>
      <c r="I7" s="33"/>
      <c r="J7" s="34" t="s">
        <v>1159</v>
      </c>
      <c r="K7" s="35">
        <v>768</v>
      </c>
      <c r="L7" s="33"/>
      <c r="M7" s="41">
        <v>300</v>
      </c>
      <c r="N7" s="42">
        <v>0.02</v>
      </c>
    </row>
    <row r="8" spans="1:14" ht="12.75" customHeight="1">
      <c r="A8" s="13">
        <v>400</v>
      </c>
      <c r="B8" s="14">
        <v>0.03</v>
      </c>
      <c r="C8" s="10"/>
      <c r="D8" s="10">
        <v>2</v>
      </c>
      <c r="E8" s="18">
        <v>0.03</v>
      </c>
      <c r="F8" s="10"/>
      <c r="G8" s="10">
        <v>2</v>
      </c>
      <c r="H8" s="18">
        <v>0.04</v>
      </c>
      <c r="I8" s="33"/>
      <c r="J8" s="34">
        <v>0</v>
      </c>
      <c r="K8" s="35">
        <v>0</v>
      </c>
      <c r="L8" s="33"/>
      <c r="M8" s="41">
        <v>400</v>
      </c>
      <c r="N8" s="42">
        <v>0.03</v>
      </c>
    </row>
    <row r="9" spans="1:14" ht="12.75" customHeight="1">
      <c r="A9" s="13">
        <v>500</v>
      </c>
      <c r="B9" s="14">
        <v>0.03</v>
      </c>
      <c r="C9" s="10"/>
      <c r="D9" s="10">
        <v>3</v>
      </c>
      <c r="E9" s="18">
        <v>0.04</v>
      </c>
      <c r="F9" s="10"/>
      <c r="G9" s="10">
        <v>3</v>
      </c>
      <c r="H9" s="18">
        <v>0.05</v>
      </c>
      <c r="I9" s="33"/>
      <c r="J9" s="34">
        <v>1</v>
      </c>
      <c r="K9" s="35">
        <v>16</v>
      </c>
      <c r="L9" s="33"/>
      <c r="M9" s="41">
        <v>500</v>
      </c>
      <c r="N9" s="42">
        <v>0.03</v>
      </c>
    </row>
    <row r="10" spans="1:14" ht="12.75" customHeight="1">
      <c r="A10" s="13">
        <f t="shared" ref="A10:A54" si="0">+A9+100</f>
        <v>600</v>
      </c>
      <c r="B10" s="14">
        <v>0.04</v>
      </c>
      <c r="C10" s="10"/>
      <c r="D10" s="10">
        <v>4</v>
      </c>
      <c r="E10" s="18">
        <v>1.0999999999999999E-2</v>
      </c>
      <c r="F10" s="10"/>
      <c r="G10" s="10">
        <v>4</v>
      </c>
      <c r="H10" s="18">
        <v>0.02</v>
      </c>
      <c r="I10" s="33"/>
      <c r="J10" s="34">
        <v>2</v>
      </c>
      <c r="K10" s="35">
        <v>25</v>
      </c>
      <c r="L10" s="33"/>
      <c r="M10" s="41">
        <f>+M8+100</f>
        <v>500</v>
      </c>
      <c r="N10" s="42">
        <v>0.04</v>
      </c>
    </row>
    <row r="11" spans="1:14" ht="12.75" customHeight="1">
      <c r="A11" s="13">
        <f t="shared" si="0"/>
        <v>700</v>
      </c>
      <c r="B11" s="14">
        <v>0.04</v>
      </c>
      <c r="C11" s="10"/>
      <c r="D11" s="10">
        <v>5</v>
      </c>
      <c r="E11" s="18">
        <v>0.05</v>
      </c>
      <c r="F11" s="10"/>
      <c r="G11" s="10">
        <v>5</v>
      </c>
      <c r="H11" s="18">
        <v>5.5E-2</v>
      </c>
      <c r="I11" s="33"/>
      <c r="J11" s="34">
        <v>3</v>
      </c>
      <c r="K11" s="35">
        <v>38</v>
      </c>
      <c r="L11" s="33"/>
      <c r="M11" s="41">
        <f>+M9+100</f>
        <v>600</v>
      </c>
      <c r="N11" s="42">
        <v>0.04</v>
      </c>
    </row>
    <row r="12" spans="1:14" ht="12.75" customHeight="1">
      <c r="A12" s="13">
        <f t="shared" si="0"/>
        <v>800</v>
      </c>
      <c r="B12" s="14">
        <v>0.05</v>
      </c>
      <c r="C12" s="10"/>
      <c r="D12" s="10">
        <v>6</v>
      </c>
      <c r="E12" s="18">
        <v>6.5000000000000002E-2</v>
      </c>
      <c r="F12" s="10"/>
      <c r="G12" s="10">
        <v>6</v>
      </c>
      <c r="H12" s="18">
        <v>0.06</v>
      </c>
      <c r="I12" s="33"/>
      <c r="J12" s="34">
        <v>4</v>
      </c>
      <c r="K12" s="35">
        <v>8</v>
      </c>
      <c r="L12" s="33"/>
      <c r="M12" s="41">
        <f t="shared" ref="M12:M55" si="1">+M11+100</f>
        <v>700</v>
      </c>
      <c r="N12" s="42">
        <v>0.04</v>
      </c>
    </row>
    <row r="13" spans="1:14" ht="12.75" customHeight="1">
      <c r="A13" s="13">
        <f t="shared" si="0"/>
        <v>900</v>
      </c>
      <c r="B13" s="14">
        <v>0.05</v>
      </c>
      <c r="C13" s="10"/>
      <c r="D13" s="10">
        <v>7</v>
      </c>
      <c r="E13" s="18">
        <v>7.4999999999999997E-2</v>
      </c>
      <c r="F13" s="10"/>
      <c r="G13" s="10">
        <v>7</v>
      </c>
      <c r="H13" s="18">
        <v>6.6000000000000003E-2</v>
      </c>
      <c r="I13" s="33"/>
      <c r="J13" s="34">
        <v>5</v>
      </c>
      <c r="K13" s="35">
        <v>55</v>
      </c>
      <c r="L13" s="33"/>
      <c r="M13" s="41">
        <f t="shared" si="1"/>
        <v>800</v>
      </c>
      <c r="N13" s="42">
        <v>0.05</v>
      </c>
    </row>
    <row r="14" spans="1:14" ht="12.75" customHeight="1">
      <c r="A14" s="13">
        <f t="shared" si="0"/>
        <v>1000</v>
      </c>
      <c r="B14" s="14">
        <v>0.06</v>
      </c>
      <c r="C14" s="10"/>
      <c r="D14" s="10">
        <v>10</v>
      </c>
      <c r="E14" s="18">
        <v>0.1</v>
      </c>
      <c r="F14" s="10"/>
      <c r="G14" s="10">
        <v>10</v>
      </c>
      <c r="H14" s="18">
        <v>0.11</v>
      </c>
      <c r="I14" s="33"/>
      <c r="J14" s="34">
        <v>7</v>
      </c>
      <c r="K14" s="35">
        <v>75</v>
      </c>
      <c r="L14" s="33"/>
      <c r="M14" s="41">
        <f t="shared" si="1"/>
        <v>900</v>
      </c>
      <c r="N14" s="42">
        <v>0.05</v>
      </c>
    </row>
    <row r="15" spans="1:14" ht="12.75" customHeight="1">
      <c r="A15" s="13">
        <f t="shared" si="0"/>
        <v>1100</v>
      </c>
      <c r="B15" s="14">
        <v>0.06</v>
      </c>
      <c r="C15" s="10"/>
      <c r="D15" s="10">
        <v>15</v>
      </c>
      <c r="E15" s="18">
        <v>0.12</v>
      </c>
      <c r="F15" s="10"/>
      <c r="G15" s="10">
        <v>15</v>
      </c>
      <c r="H15" s="18">
        <v>0.14000000000000001</v>
      </c>
      <c r="I15" s="33"/>
      <c r="J15" s="34">
        <v>10</v>
      </c>
      <c r="K15" s="35">
        <v>100</v>
      </c>
      <c r="L15" s="33"/>
      <c r="M15" s="41">
        <f t="shared" si="1"/>
        <v>1000</v>
      </c>
      <c r="N15" s="42">
        <v>0.06</v>
      </c>
    </row>
    <row r="16" spans="1:14" ht="12.75" customHeight="1">
      <c r="A16" s="13">
        <f t="shared" si="0"/>
        <v>1200</v>
      </c>
      <c r="B16" s="14">
        <v>0.06</v>
      </c>
      <c r="C16" s="10"/>
      <c r="D16" s="10">
        <v>20</v>
      </c>
      <c r="E16" s="18">
        <v>0.15</v>
      </c>
      <c r="F16" s="10"/>
      <c r="G16" s="10">
        <v>20</v>
      </c>
      <c r="H16" s="18">
        <v>0.17</v>
      </c>
      <c r="I16" s="33"/>
      <c r="J16" s="34">
        <v>15</v>
      </c>
      <c r="K16" s="35">
        <v>120</v>
      </c>
      <c r="L16" s="33"/>
      <c r="M16" s="41">
        <f t="shared" si="1"/>
        <v>1100</v>
      </c>
      <c r="N16" s="42">
        <v>0.06</v>
      </c>
    </row>
    <row r="17" spans="1:14" ht="12.75" customHeight="1">
      <c r="A17" s="13">
        <f t="shared" si="0"/>
        <v>1300</v>
      </c>
      <c r="B17" s="14">
        <v>0.06</v>
      </c>
      <c r="C17" s="10"/>
      <c r="D17" s="10">
        <v>25</v>
      </c>
      <c r="E17" s="18">
        <v>0.2</v>
      </c>
      <c r="F17" s="10"/>
      <c r="G17" s="10">
        <v>25</v>
      </c>
      <c r="H17" s="18">
        <v>0.2</v>
      </c>
      <c r="I17" s="33"/>
      <c r="J17" s="34">
        <v>20</v>
      </c>
      <c r="K17" s="35">
        <v>150</v>
      </c>
      <c r="L17" s="33"/>
      <c r="M17" s="41">
        <f t="shared" si="1"/>
        <v>1200</v>
      </c>
      <c r="N17" s="42">
        <v>0.06</v>
      </c>
    </row>
    <row r="18" spans="1:14" ht="12.75" customHeight="1">
      <c r="A18" s="13">
        <f t="shared" si="0"/>
        <v>1400</v>
      </c>
      <c r="B18" s="14">
        <v>0.06</v>
      </c>
      <c r="C18" s="10"/>
      <c r="D18" s="10">
        <v>30</v>
      </c>
      <c r="E18" s="18">
        <v>0.25</v>
      </c>
      <c r="F18" s="10"/>
      <c r="G18" s="10">
        <v>30</v>
      </c>
      <c r="H18" s="18">
        <v>0.3</v>
      </c>
      <c r="I18" s="33"/>
      <c r="J18" s="34">
        <v>25</v>
      </c>
      <c r="K18" s="35">
        <v>180</v>
      </c>
      <c r="L18" s="33"/>
      <c r="M18" s="41">
        <f t="shared" si="1"/>
        <v>1300</v>
      </c>
      <c r="N18" s="42">
        <v>0.06</v>
      </c>
    </row>
    <row r="19" spans="1:14" ht="12.75" customHeight="1">
      <c r="A19" s="13">
        <f t="shared" si="0"/>
        <v>1500</v>
      </c>
      <c r="B19" s="14">
        <v>0.06</v>
      </c>
      <c r="C19" s="10"/>
      <c r="D19" s="10">
        <v>40</v>
      </c>
      <c r="E19" s="18">
        <v>0.3</v>
      </c>
      <c r="F19" s="10"/>
      <c r="G19" s="10">
        <v>40</v>
      </c>
      <c r="H19" s="18">
        <v>0.4</v>
      </c>
      <c r="I19" s="33"/>
      <c r="J19" s="34">
        <v>30</v>
      </c>
      <c r="K19" s="35">
        <v>200</v>
      </c>
      <c r="L19" s="33"/>
      <c r="M19" s="41">
        <f t="shared" si="1"/>
        <v>1400</v>
      </c>
      <c r="N19" s="42">
        <v>0.06</v>
      </c>
    </row>
    <row r="20" spans="1:14" ht="12.75" customHeight="1">
      <c r="A20" s="13">
        <f t="shared" si="0"/>
        <v>1600</v>
      </c>
      <c r="B20" s="14">
        <v>0.06</v>
      </c>
      <c r="C20" s="10"/>
      <c r="D20" s="10">
        <v>45</v>
      </c>
      <c r="E20" s="18">
        <v>0.4</v>
      </c>
      <c r="F20" s="10"/>
      <c r="G20" s="10">
        <v>45</v>
      </c>
      <c r="H20" s="18">
        <v>0.46700000000000003</v>
      </c>
      <c r="I20" s="33"/>
      <c r="J20" s="34">
        <v>45</v>
      </c>
      <c r="K20" s="35">
        <v>300</v>
      </c>
      <c r="L20" s="33"/>
      <c r="M20" s="41">
        <f t="shared" si="1"/>
        <v>1500</v>
      </c>
      <c r="N20" s="42">
        <v>0.06</v>
      </c>
    </row>
    <row r="21" spans="1:14" ht="12.75" customHeight="1">
      <c r="A21" s="13">
        <f t="shared" si="0"/>
        <v>1700</v>
      </c>
      <c r="B21" s="14">
        <v>7.0000000000000007E-2</v>
      </c>
      <c r="C21" s="10"/>
      <c r="D21" s="10">
        <v>65</v>
      </c>
      <c r="E21" s="18">
        <v>0.6</v>
      </c>
      <c r="F21" s="10"/>
      <c r="G21" s="10">
        <v>65</v>
      </c>
      <c r="H21" s="18">
        <v>0.6</v>
      </c>
      <c r="I21" s="33"/>
      <c r="J21" s="34">
        <v>65</v>
      </c>
      <c r="K21" s="35">
        <v>400</v>
      </c>
      <c r="L21" s="33"/>
      <c r="M21" s="41">
        <f t="shared" si="1"/>
        <v>1600</v>
      </c>
      <c r="N21" s="42">
        <v>0.06</v>
      </c>
    </row>
    <row r="22" spans="1:14" ht="12.75" customHeight="1">
      <c r="A22" s="13">
        <f t="shared" si="0"/>
        <v>1800</v>
      </c>
      <c r="B22" s="14">
        <v>7.0000000000000007E-2</v>
      </c>
      <c r="C22" s="10"/>
      <c r="D22" s="10">
        <v>95</v>
      </c>
      <c r="E22" s="18">
        <v>0.9</v>
      </c>
      <c r="F22" s="12"/>
      <c r="G22" s="10">
        <v>95</v>
      </c>
      <c r="H22" s="18">
        <v>0.75</v>
      </c>
      <c r="I22" s="33"/>
      <c r="J22" s="34">
        <v>95</v>
      </c>
      <c r="K22" s="35">
        <v>700</v>
      </c>
      <c r="L22" s="33"/>
      <c r="M22" s="41">
        <f t="shared" si="1"/>
        <v>1700</v>
      </c>
      <c r="N22" s="42">
        <v>7.0000000000000007E-2</v>
      </c>
    </row>
    <row r="23" spans="1:14" ht="12.75" customHeight="1">
      <c r="A23" s="13">
        <f t="shared" si="0"/>
        <v>1900</v>
      </c>
      <c r="B23" s="14">
        <v>7.0000000000000007E-2</v>
      </c>
      <c r="C23" s="10"/>
      <c r="D23" s="10">
        <v>100</v>
      </c>
      <c r="E23" s="18">
        <v>1</v>
      </c>
      <c r="F23" s="10"/>
      <c r="G23" s="10">
        <v>100</v>
      </c>
      <c r="H23" s="18">
        <v>0.8</v>
      </c>
      <c r="I23" s="33"/>
      <c r="J23" s="34">
        <v>100</v>
      </c>
      <c r="K23" s="35">
        <v>800</v>
      </c>
      <c r="L23" s="33"/>
      <c r="M23" s="41">
        <f t="shared" si="1"/>
        <v>1800</v>
      </c>
      <c r="N23" s="42">
        <v>7.0000000000000007E-2</v>
      </c>
    </row>
    <row r="24" spans="1:14" ht="12.75" customHeight="1">
      <c r="A24" s="13">
        <f t="shared" si="0"/>
        <v>2000</v>
      </c>
      <c r="B24" s="14">
        <v>7.0000000000000007E-2</v>
      </c>
      <c r="C24" s="10"/>
      <c r="D24" s="19" t="s">
        <v>1160</v>
      </c>
      <c r="E24" s="18">
        <v>0.3</v>
      </c>
      <c r="F24" s="10"/>
      <c r="G24" s="19" t="s">
        <v>1160</v>
      </c>
      <c r="H24" s="18">
        <v>0.26700000000000002</v>
      </c>
      <c r="I24" s="33"/>
      <c r="J24" s="338" t="s">
        <v>668</v>
      </c>
      <c r="K24" s="35">
        <v>15</v>
      </c>
      <c r="L24" s="33"/>
      <c r="M24" s="41">
        <f t="shared" si="1"/>
        <v>1900</v>
      </c>
      <c r="N24" s="42">
        <v>7.0000000000000007E-2</v>
      </c>
    </row>
    <row r="25" spans="1:14" ht="12.75" customHeight="1">
      <c r="A25" s="13">
        <f t="shared" si="0"/>
        <v>2100</v>
      </c>
      <c r="B25" s="14">
        <v>7.0000000000000007E-2</v>
      </c>
      <c r="C25" s="10"/>
      <c r="D25" s="20" t="s">
        <v>1161</v>
      </c>
      <c r="E25" s="18">
        <v>0.35</v>
      </c>
      <c r="F25" s="10"/>
      <c r="G25" s="20" t="s">
        <v>1161</v>
      </c>
      <c r="H25" s="18">
        <v>0.33300000000000002</v>
      </c>
      <c r="I25" s="33"/>
      <c r="J25" s="338" t="s">
        <v>817</v>
      </c>
      <c r="K25" s="35">
        <v>13</v>
      </c>
      <c r="L25" s="33"/>
      <c r="M25" s="41">
        <f t="shared" si="1"/>
        <v>2000</v>
      </c>
      <c r="N25" s="42">
        <v>7.0000000000000007E-2</v>
      </c>
    </row>
    <row r="26" spans="1:14" ht="12.75" customHeight="1">
      <c r="A26" s="13">
        <f t="shared" si="0"/>
        <v>2200</v>
      </c>
      <c r="B26" s="14">
        <v>7.0000000000000007E-2</v>
      </c>
      <c r="C26" s="10"/>
      <c r="D26" s="20" t="s">
        <v>1162</v>
      </c>
      <c r="E26" s="18">
        <v>0.4</v>
      </c>
      <c r="F26" s="10"/>
      <c r="G26" s="20" t="s">
        <v>1162</v>
      </c>
      <c r="H26" s="18">
        <v>0.4</v>
      </c>
      <c r="M26" s="41">
        <f t="shared" si="1"/>
        <v>2100</v>
      </c>
      <c r="N26" s="42">
        <v>7.0000000000000007E-2</v>
      </c>
    </row>
    <row r="27" spans="1:14" ht="12.75" customHeight="1">
      <c r="A27" s="13">
        <f t="shared" si="0"/>
        <v>2300</v>
      </c>
      <c r="B27" s="14">
        <v>7.0000000000000007E-2</v>
      </c>
      <c r="C27" s="10"/>
      <c r="D27" s="20" t="s">
        <v>524</v>
      </c>
      <c r="E27" s="18">
        <v>0.45</v>
      </c>
      <c r="F27" s="10"/>
      <c r="G27" s="20" t="s">
        <v>524</v>
      </c>
      <c r="H27" s="18">
        <v>0.4</v>
      </c>
      <c r="M27" s="41">
        <f t="shared" si="1"/>
        <v>2200</v>
      </c>
      <c r="N27" s="42">
        <v>7.0000000000000007E-2</v>
      </c>
    </row>
    <row r="28" spans="1:14" ht="12.75" customHeight="1">
      <c r="A28" s="13">
        <f t="shared" si="0"/>
        <v>2400</v>
      </c>
      <c r="B28" s="14">
        <v>7.0000000000000007E-2</v>
      </c>
      <c r="C28" s="10"/>
      <c r="D28" s="20" t="s">
        <v>1163</v>
      </c>
      <c r="E28" s="18">
        <v>0.5</v>
      </c>
      <c r="F28" s="10"/>
      <c r="G28" s="20" t="s">
        <v>1163</v>
      </c>
      <c r="H28" s="18">
        <v>0.46700000000000003</v>
      </c>
      <c r="I28" s="1"/>
      <c r="J28" s="1"/>
      <c r="K28" s="1"/>
      <c r="L28" s="1"/>
      <c r="M28" s="41">
        <f t="shared" si="1"/>
        <v>2300</v>
      </c>
      <c r="N28" s="42">
        <v>7.0000000000000007E-2</v>
      </c>
    </row>
    <row r="29" spans="1:14" ht="12.75" customHeight="1">
      <c r="A29" s="13">
        <f t="shared" si="0"/>
        <v>2500</v>
      </c>
      <c r="B29" s="14">
        <v>0.08</v>
      </c>
      <c r="C29" s="10"/>
      <c r="D29" s="20" t="s">
        <v>1164</v>
      </c>
      <c r="E29" s="18">
        <v>0.6</v>
      </c>
      <c r="F29" s="10"/>
      <c r="G29" s="20" t="s">
        <v>1164</v>
      </c>
      <c r="H29" s="18">
        <v>0.53300000000000003</v>
      </c>
      <c r="I29" s="1"/>
      <c r="J29" s="1"/>
      <c r="K29" s="1"/>
      <c r="L29" s="1"/>
      <c r="M29" s="41">
        <f t="shared" si="1"/>
        <v>2400</v>
      </c>
      <c r="N29" s="42">
        <v>7.0000000000000007E-2</v>
      </c>
    </row>
    <row r="30" spans="1:14" ht="12.75" customHeight="1">
      <c r="A30" s="13">
        <f t="shared" si="0"/>
        <v>2600</v>
      </c>
      <c r="B30" s="14">
        <v>0.08</v>
      </c>
      <c r="C30" s="10"/>
      <c r="D30" s="20" t="s">
        <v>88</v>
      </c>
      <c r="E30" s="18">
        <v>0.25</v>
      </c>
      <c r="F30" s="10"/>
      <c r="G30" s="20" t="s">
        <v>88</v>
      </c>
      <c r="H30" s="18">
        <v>0.2</v>
      </c>
      <c r="I30" s="1"/>
      <c r="J30" s="1"/>
      <c r="K30" s="1"/>
      <c r="L30" s="1"/>
      <c r="M30" s="41">
        <f t="shared" si="1"/>
        <v>2500</v>
      </c>
      <c r="N30" s="42">
        <v>0.08</v>
      </c>
    </row>
    <row r="31" spans="1:14" ht="12.75" customHeight="1">
      <c r="A31" s="13">
        <f t="shared" si="0"/>
        <v>2700</v>
      </c>
      <c r="B31" s="14">
        <v>0.08</v>
      </c>
      <c r="C31" s="10"/>
      <c r="D31" s="20" t="s">
        <v>70</v>
      </c>
      <c r="E31" s="18">
        <v>0.3</v>
      </c>
      <c r="F31" s="10"/>
      <c r="G31" s="20" t="s">
        <v>70</v>
      </c>
      <c r="H31" s="18">
        <v>0.26700000000000002</v>
      </c>
      <c r="I31" s="1"/>
      <c r="J31" s="1"/>
      <c r="K31" s="1"/>
      <c r="L31" s="1"/>
      <c r="M31" s="41">
        <f t="shared" si="1"/>
        <v>2600</v>
      </c>
      <c r="N31" s="42">
        <v>0.08</v>
      </c>
    </row>
    <row r="32" spans="1:14" ht="12.75" customHeight="1">
      <c r="A32" s="13">
        <f t="shared" si="0"/>
        <v>2800</v>
      </c>
      <c r="B32" s="14">
        <v>0.08</v>
      </c>
      <c r="C32" s="10"/>
      <c r="D32" s="20" t="s">
        <v>53</v>
      </c>
      <c r="E32" s="18">
        <v>0.35</v>
      </c>
      <c r="F32" s="10"/>
      <c r="G32" s="20" t="s">
        <v>53</v>
      </c>
      <c r="H32" s="18">
        <v>0.33300000000000002</v>
      </c>
      <c r="I32" s="1"/>
      <c r="J32" s="1"/>
      <c r="K32" s="1"/>
      <c r="L32" s="1"/>
      <c r="M32" s="41">
        <f t="shared" si="1"/>
        <v>2700</v>
      </c>
      <c r="N32" s="42">
        <v>0.08</v>
      </c>
    </row>
    <row r="33" spans="1:14" ht="12.75" customHeight="1">
      <c r="A33" s="13">
        <f t="shared" si="0"/>
        <v>2900</v>
      </c>
      <c r="B33" s="14">
        <v>0.08</v>
      </c>
      <c r="C33" s="10"/>
      <c r="D33" s="20" t="s">
        <v>211</v>
      </c>
      <c r="E33" s="18">
        <v>0.4</v>
      </c>
      <c r="F33" s="10"/>
      <c r="G33" s="20" t="s">
        <v>211</v>
      </c>
      <c r="H33" s="18">
        <v>0.4</v>
      </c>
      <c r="I33" s="1"/>
      <c r="J33" s="1"/>
      <c r="K33" s="1"/>
      <c r="L33" s="1"/>
      <c r="M33" s="41">
        <f t="shared" si="1"/>
        <v>2800</v>
      </c>
      <c r="N33" s="42">
        <v>0.08</v>
      </c>
    </row>
    <row r="34" spans="1:14" ht="12.75" customHeight="1">
      <c r="A34" s="13">
        <f t="shared" si="0"/>
        <v>3000</v>
      </c>
      <c r="B34" s="14">
        <v>0.08</v>
      </c>
      <c r="C34" s="10"/>
      <c r="D34" s="20" t="s">
        <v>91</v>
      </c>
      <c r="E34" s="18">
        <v>0.5</v>
      </c>
      <c r="F34" s="10"/>
      <c r="G34" s="20" t="s">
        <v>91</v>
      </c>
      <c r="H34" s="18">
        <v>0.46700000000000003</v>
      </c>
      <c r="I34" s="1"/>
      <c r="J34" s="1"/>
      <c r="K34" s="1"/>
      <c r="L34" s="1"/>
      <c r="M34" s="41">
        <f t="shared" si="1"/>
        <v>2900</v>
      </c>
      <c r="N34" s="42">
        <v>0.08</v>
      </c>
    </row>
    <row r="35" spans="1:14" ht="12.75" customHeight="1">
      <c r="A35" s="13">
        <f t="shared" si="0"/>
        <v>3100</v>
      </c>
      <c r="B35" s="14">
        <v>0.08</v>
      </c>
      <c r="C35" s="10"/>
      <c r="D35" s="20" t="s">
        <v>264</v>
      </c>
      <c r="E35" s="18">
        <v>0.6</v>
      </c>
      <c r="F35" s="10"/>
      <c r="G35" s="20" t="s">
        <v>264</v>
      </c>
      <c r="H35" s="18">
        <v>0.53300000000000003</v>
      </c>
      <c r="I35" s="1"/>
      <c r="J35" s="1"/>
      <c r="K35" s="1"/>
      <c r="L35" s="1"/>
      <c r="M35" s="41">
        <f t="shared" si="1"/>
        <v>3000</v>
      </c>
      <c r="N35" s="42">
        <v>0.08</v>
      </c>
    </row>
    <row r="36" spans="1:14" ht="12.75" customHeight="1">
      <c r="A36" s="13">
        <f t="shared" si="0"/>
        <v>3200</v>
      </c>
      <c r="B36" s="14">
        <v>0.08</v>
      </c>
      <c r="C36" s="10"/>
      <c r="D36" s="21" t="s">
        <v>112</v>
      </c>
      <c r="E36" s="22">
        <v>0.7</v>
      </c>
      <c r="F36" s="23"/>
      <c r="G36" s="21" t="s">
        <v>112</v>
      </c>
      <c r="H36" s="22">
        <v>0.6</v>
      </c>
      <c r="I36" s="1"/>
      <c r="J36" s="1"/>
      <c r="K36" s="1"/>
      <c r="L36" s="1"/>
      <c r="M36" s="41">
        <f t="shared" si="1"/>
        <v>3100</v>
      </c>
      <c r="N36" s="42">
        <v>0.08</v>
      </c>
    </row>
    <row r="37" spans="1:14" ht="12.75" customHeight="1">
      <c r="A37" s="13">
        <f t="shared" si="0"/>
        <v>3300</v>
      </c>
      <c r="B37" s="14">
        <v>0.08</v>
      </c>
      <c r="C37" s="10"/>
      <c r="D37" s="21" t="s">
        <v>1165</v>
      </c>
      <c r="E37" s="22">
        <v>1</v>
      </c>
      <c r="F37" s="23"/>
      <c r="G37" s="21" t="s">
        <v>1165</v>
      </c>
      <c r="H37" s="22">
        <v>0.8</v>
      </c>
      <c r="I37" s="1"/>
      <c r="J37" s="1"/>
      <c r="K37" s="1"/>
      <c r="L37" s="1"/>
      <c r="M37" s="41">
        <f t="shared" si="1"/>
        <v>3200</v>
      </c>
      <c r="N37" s="42">
        <v>0.08</v>
      </c>
    </row>
    <row r="38" spans="1:14" ht="12.75" customHeight="1">
      <c r="A38" s="13">
        <f t="shared" si="0"/>
        <v>3400</v>
      </c>
      <c r="B38" s="14">
        <v>0.08</v>
      </c>
      <c r="C38" s="10"/>
      <c r="D38" s="20" t="s">
        <v>1166</v>
      </c>
      <c r="E38" s="18">
        <v>0.25</v>
      </c>
      <c r="F38" s="10"/>
      <c r="G38" s="20" t="s">
        <v>1166</v>
      </c>
      <c r="H38" s="18">
        <v>0.35</v>
      </c>
      <c r="I38" s="1"/>
      <c r="J38" s="1"/>
      <c r="K38" s="1"/>
      <c r="L38" s="1"/>
      <c r="M38" s="41">
        <f t="shared" si="1"/>
        <v>3300</v>
      </c>
      <c r="N38" s="42">
        <v>0.08</v>
      </c>
    </row>
    <row r="39" spans="1:14" ht="12.75" customHeight="1">
      <c r="A39" s="13">
        <f t="shared" si="0"/>
        <v>3500</v>
      </c>
      <c r="B39" s="14">
        <v>0.08</v>
      </c>
      <c r="C39" s="10"/>
      <c r="D39" s="20" t="s">
        <v>1167</v>
      </c>
      <c r="E39" s="18">
        <v>0.25</v>
      </c>
      <c r="F39" s="10"/>
      <c r="G39" s="20" t="s">
        <v>1167</v>
      </c>
      <c r="H39" s="18">
        <v>0.35</v>
      </c>
      <c r="I39" s="1"/>
      <c r="J39" s="1"/>
      <c r="K39" s="1"/>
      <c r="L39" s="1"/>
      <c r="M39" s="41">
        <f t="shared" si="1"/>
        <v>3400</v>
      </c>
      <c r="N39" s="42">
        <v>0.08</v>
      </c>
    </row>
    <row r="40" spans="1:14" ht="12.75" customHeight="1">
      <c r="A40" s="13">
        <f t="shared" si="0"/>
        <v>3600</v>
      </c>
      <c r="B40" s="14">
        <v>0.08</v>
      </c>
      <c r="C40" s="10"/>
      <c r="D40" s="20" t="s">
        <v>841</v>
      </c>
      <c r="E40" s="18">
        <v>0.2</v>
      </c>
      <c r="F40" s="10"/>
      <c r="G40" s="20" t="s">
        <v>841</v>
      </c>
      <c r="H40" s="18">
        <v>0.3</v>
      </c>
      <c r="I40" s="1"/>
      <c r="J40" s="1"/>
      <c r="K40" s="1"/>
      <c r="L40" s="1"/>
      <c r="M40" s="41">
        <f t="shared" si="1"/>
        <v>3500</v>
      </c>
      <c r="N40" s="42">
        <v>0.08</v>
      </c>
    </row>
    <row r="41" spans="1:14" ht="12.75" customHeight="1">
      <c r="A41" s="13">
        <f t="shared" si="0"/>
        <v>3700</v>
      </c>
      <c r="B41" s="14">
        <v>0.09</v>
      </c>
      <c r="C41" s="10"/>
      <c r="D41" s="20" t="s">
        <v>808</v>
      </c>
      <c r="E41" s="18">
        <v>0.25</v>
      </c>
      <c r="F41" s="10"/>
      <c r="G41" s="20" t="s">
        <v>808</v>
      </c>
      <c r="H41" s="18">
        <v>0.35</v>
      </c>
      <c r="I41" s="1"/>
      <c r="J41" s="1"/>
      <c r="K41" s="1"/>
      <c r="L41" s="1"/>
      <c r="M41" s="41">
        <f>+M40+100</f>
        <v>3600</v>
      </c>
      <c r="N41" s="42">
        <v>0.08</v>
      </c>
    </row>
    <row r="42" spans="1:14" ht="12.75" customHeight="1">
      <c r="A42" s="13">
        <f t="shared" si="0"/>
        <v>3800</v>
      </c>
      <c r="B42" s="14">
        <v>0.09</v>
      </c>
      <c r="C42" s="10"/>
      <c r="D42" s="20" t="s">
        <v>1159</v>
      </c>
      <c r="E42" s="18">
        <v>1.5</v>
      </c>
      <c r="F42" s="10"/>
      <c r="G42" s="20" t="s">
        <v>1159</v>
      </c>
      <c r="H42" s="18">
        <v>2</v>
      </c>
      <c r="I42" s="1"/>
      <c r="J42" s="1"/>
      <c r="K42" s="1"/>
      <c r="L42" s="1"/>
      <c r="M42" s="41">
        <f t="shared" si="1"/>
        <v>3700</v>
      </c>
      <c r="N42" s="42">
        <v>0.09</v>
      </c>
    </row>
    <row r="43" spans="1:14" ht="12.75" customHeight="1">
      <c r="A43" s="13">
        <f t="shared" si="0"/>
        <v>3900</v>
      </c>
      <c r="B43" s="14">
        <v>0.09</v>
      </c>
      <c r="C43" s="10"/>
      <c r="D43" s="20" t="s">
        <v>1168</v>
      </c>
      <c r="E43" s="18">
        <v>0</v>
      </c>
      <c r="F43" s="10"/>
      <c r="G43" s="20" t="s">
        <v>1168</v>
      </c>
      <c r="H43" s="18">
        <v>0</v>
      </c>
      <c r="I43" s="1"/>
      <c r="J43" s="1"/>
      <c r="K43" s="1"/>
      <c r="L43" s="1"/>
      <c r="M43" s="41">
        <f t="shared" si="1"/>
        <v>3800</v>
      </c>
      <c r="N43" s="42">
        <v>0.09</v>
      </c>
    </row>
    <row r="44" spans="1:14" ht="12.75" customHeight="1">
      <c r="A44" s="13">
        <f t="shared" si="0"/>
        <v>4000</v>
      </c>
      <c r="B44" s="14">
        <v>0.09</v>
      </c>
      <c r="C44" s="10"/>
      <c r="D44" s="20" t="s">
        <v>1169</v>
      </c>
      <c r="E44" s="18">
        <v>0</v>
      </c>
      <c r="F44" s="10"/>
      <c r="G44" s="20" t="s">
        <v>1169</v>
      </c>
      <c r="H44" s="18">
        <v>0</v>
      </c>
      <c r="I44" s="1"/>
      <c r="J44" s="1"/>
      <c r="K44" s="1"/>
      <c r="L44" s="1"/>
      <c r="M44" s="41">
        <f t="shared" si="1"/>
        <v>3900</v>
      </c>
      <c r="N44" s="42">
        <v>0.09</v>
      </c>
    </row>
    <row r="45" spans="1:14" ht="12.75" customHeight="1">
      <c r="A45" s="13">
        <f t="shared" si="0"/>
        <v>4100</v>
      </c>
      <c r="B45" s="14">
        <v>0.09</v>
      </c>
      <c r="C45" s="10"/>
      <c r="D45" s="20" t="s">
        <v>1170</v>
      </c>
      <c r="E45" s="18">
        <v>0</v>
      </c>
      <c r="F45" s="10"/>
      <c r="G45" s="20" t="s">
        <v>1170</v>
      </c>
      <c r="H45" s="18">
        <v>0</v>
      </c>
      <c r="I45" s="1"/>
      <c r="J45" s="1"/>
      <c r="K45" s="1"/>
      <c r="L45" s="1"/>
      <c r="M45" s="41">
        <f t="shared" si="1"/>
        <v>4000</v>
      </c>
      <c r="N45" s="42">
        <v>0.09</v>
      </c>
    </row>
    <row r="46" spans="1:14" ht="12.75" customHeight="1">
      <c r="A46" s="13">
        <f t="shared" si="0"/>
        <v>4200</v>
      </c>
      <c r="B46" s="14">
        <v>0.09</v>
      </c>
      <c r="C46" s="10"/>
      <c r="D46" s="20" t="s">
        <v>1171</v>
      </c>
      <c r="E46" s="18">
        <v>0</v>
      </c>
      <c r="F46" s="10"/>
      <c r="G46" s="20" t="s">
        <v>1171</v>
      </c>
      <c r="H46" s="18">
        <v>0</v>
      </c>
      <c r="I46" s="1"/>
      <c r="J46" s="1"/>
      <c r="K46" s="1"/>
      <c r="L46" s="1"/>
      <c r="M46" s="41">
        <f t="shared" si="1"/>
        <v>4100</v>
      </c>
      <c r="N46" s="42">
        <v>0.09</v>
      </c>
    </row>
    <row r="47" spans="1:14" ht="12.75" customHeight="1">
      <c r="A47" s="13">
        <f t="shared" si="0"/>
        <v>4300</v>
      </c>
      <c r="B47" s="14">
        <v>0.09</v>
      </c>
      <c r="C47" s="10"/>
      <c r="D47" s="20" t="s">
        <v>1172</v>
      </c>
      <c r="E47" s="18">
        <v>1</v>
      </c>
      <c r="F47" s="10"/>
      <c r="G47" s="20" t="s">
        <v>1172</v>
      </c>
      <c r="H47" s="18">
        <v>1</v>
      </c>
      <c r="I47" s="1"/>
      <c r="J47" s="1"/>
      <c r="K47" s="1"/>
      <c r="L47" s="1"/>
      <c r="M47" s="41">
        <f t="shared" si="1"/>
        <v>4200</v>
      </c>
      <c r="N47" s="42">
        <v>0.09</v>
      </c>
    </row>
    <row r="48" spans="1:14" ht="12.75" customHeight="1">
      <c r="A48" s="13">
        <f t="shared" si="0"/>
        <v>4400</v>
      </c>
      <c r="B48" s="14">
        <v>0.09</v>
      </c>
      <c r="C48" s="10"/>
      <c r="D48" s="20" t="s">
        <v>1173</v>
      </c>
      <c r="E48" s="18">
        <v>0</v>
      </c>
      <c r="F48" s="10"/>
      <c r="G48" s="20" t="s">
        <v>1173</v>
      </c>
      <c r="H48" s="18">
        <v>0</v>
      </c>
      <c r="I48" s="1"/>
      <c r="J48" s="1"/>
      <c r="K48" s="1"/>
      <c r="L48" s="1"/>
      <c r="M48" s="41">
        <f t="shared" si="1"/>
        <v>4300</v>
      </c>
      <c r="N48" s="42">
        <v>0.09</v>
      </c>
    </row>
    <row r="49" spans="1:14" ht="12.75" customHeight="1">
      <c r="A49" s="13">
        <f t="shared" si="0"/>
        <v>4500</v>
      </c>
      <c r="B49" s="14">
        <v>0.09</v>
      </c>
      <c r="C49" s="10"/>
      <c r="D49" s="10"/>
      <c r="E49" s="18"/>
      <c r="F49" s="10"/>
      <c r="G49" s="10"/>
      <c r="H49" s="10"/>
      <c r="I49" s="1"/>
      <c r="J49" s="1"/>
      <c r="K49" s="1"/>
      <c r="L49" s="1"/>
      <c r="M49" s="41">
        <f t="shared" si="1"/>
        <v>4400</v>
      </c>
      <c r="N49" s="42">
        <v>0.09</v>
      </c>
    </row>
    <row r="50" spans="1:14" ht="12.75" customHeight="1">
      <c r="A50" s="13">
        <f t="shared" si="0"/>
        <v>4600</v>
      </c>
      <c r="B50" s="14">
        <v>0.09</v>
      </c>
      <c r="C50" s="10"/>
      <c r="D50" s="16"/>
      <c r="E50" s="17"/>
      <c r="F50" s="10"/>
      <c r="G50" s="16"/>
      <c r="H50" s="17"/>
      <c r="I50" s="1"/>
      <c r="J50" s="1"/>
      <c r="K50" s="1"/>
      <c r="L50" s="1"/>
      <c r="M50" s="41">
        <f t="shared" si="1"/>
        <v>4500</v>
      </c>
      <c r="N50" s="42">
        <v>0.09</v>
      </c>
    </row>
    <row r="51" spans="1:14" ht="12.75" customHeight="1">
      <c r="A51" s="13">
        <f t="shared" si="0"/>
        <v>4700</v>
      </c>
      <c r="B51" s="14">
        <v>0.09</v>
      </c>
      <c r="C51" s="10"/>
      <c r="D51" s="10"/>
      <c r="E51" s="18"/>
      <c r="F51" s="10"/>
      <c r="G51" s="10"/>
      <c r="H51" s="10"/>
      <c r="I51" s="1"/>
      <c r="J51" s="1"/>
      <c r="K51" s="1"/>
      <c r="L51" s="1"/>
      <c r="M51" s="41">
        <f t="shared" si="1"/>
        <v>4600</v>
      </c>
      <c r="N51" s="42">
        <v>0.09</v>
      </c>
    </row>
    <row r="52" spans="1:14" ht="12.75" customHeight="1">
      <c r="A52" s="13">
        <f t="shared" si="0"/>
        <v>4800</v>
      </c>
      <c r="B52" s="14">
        <v>0.09</v>
      </c>
      <c r="C52" s="10"/>
      <c r="D52" s="10"/>
      <c r="E52" s="18"/>
      <c r="F52" s="10"/>
      <c r="G52" s="10"/>
      <c r="H52" s="10"/>
      <c r="I52" s="1"/>
      <c r="J52" s="1"/>
      <c r="K52" s="1"/>
      <c r="L52" s="1"/>
      <c r="M52" s="41">
        <f t="shared" si="1"/>
        <v>4700</v>
      </c>
      <c r="N52" s="42">
        <v>0.09</v>
      </c>
    </row>
    <row r="53" spans="1:14" ht="12.75" customHeight="1">
      <c r="A53" s="13">
        <f t="shared" si="0"/>
        <v>4900</v>
      </c>
      <c r="B53" s="14">
        <v>0.09</v>
      </c>
      <c r="C53" s="10"/>
      <c r="D53" s="10"/>
      <c r="E53" s="18"/>
      <c r="F53" s="10"/>
      <c r="G53" s="10"/>
      <c r="H53" s="10"/>
      <c r="I53" s="1"/>
      <c r="J53" s="1"/>
      <c r="K53" s="1"/>
      <c r="L53" s="1"/>
      <c r="M53" s="41">
        <f t="shared" si="1"/>
        <v>4800</v>
      </c>
      <c r="N53" s="42">
        <v>0.09</v>
      </c>
    </row>
    <row r="54" spans="1:14" ht="12.75" customHeight="1">
      <c r="A54" s="13">
        <f t="shared" si="0"/>
        <v>5000</v>
      </c>
      <c r="B54" s="14">
        <v>0.1</v>
      </c>
      <c r="C54" s="10"/>
      <c r="D54" s="10"/>
      <c r="E54" s="18"/>
      <c r="F54" s="10"/>
      <c r="G54" s="10"/>
      <c r="H54" s="10"/>
      <c r="I54" s="1"/>
      <c r="J54" s="1"/>
      <c r="K54" s="1"/>
      <c r="L54" s="1"/>
      <c r="M54" s="41">
        <f t="shared" si="1"/>
        <v>4900</v>
      </c>
      <c r="N54" s="42">
        <v>0.09</v>
      </c>
    </row>
    <row r="55" spans="1:14">
      <c r="D55" s="10"/>
      <c r="E55" s="18"/>
      <c r="F55" s="10"/>
      <c r="G55" s="10"/>
      <c r="H55" s="10"/>
      <c r="I55" s="1"/>
      <c r="J55" s="1"/>
      <c r="K55" s="1"/>
      <c r="L55" s="1"/>
      <c r="M55" s="41">
        <f t="shared" si="1"/>
        <v>5000</v>
      </c>
      <c r="N55" s="42">
        <v>0.1</v>
      </c>
    </row>
  </sheetData>
  <customSheetViews>
    <customSheetView guid="{1E9B411C-D0FF-4571-8400-525AD07D2A70}" topLeftCell="C7">
      <selection activeCell="J20" sqref="J20"/>
      <pageMargins left="0" right="0" top="0" bottom="0" header="0" footer="0"/>
      <pageSetup orientation="portrait" horizontalDpi="4294967295" verticalDpi="4294967295" r:id="rId1"/>
    </customSheetView>
  </customSheetViews>
  <mergeCells count="3">
    <mergeCell ref="D2:E2"/>
    <mergeCell ref="G2:H2"/>
    <mergeCell ref="I2:L2"/>
  </mergeCells>
  <pageMargins left="0.7" right="0.7" top="0.75" bottom="0.75" header="0.3" footer="0.3"/>
  <pageSetup orientation="portrait" horizontalDpi="4294967295" verticalDpi="4294967295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146</vt:i4>
      </vt:variant>
    </vt:vector>
  </HeadingPairs>
  <TitlesOfParts>
    <vt:vector size="152" baseType="lpstr">
      <vt:lpstr>Main Page</vt:lpstr>
      <vt:lpstr>Terms of Planting</vt:lpstr>
      <vt:lpstr>Planting Advice</vt:lpstr>
      <vt:lpstr>Watering Advice</vt:lpstr>
      <vt:lpstr>Warranty</vt:lpstr>
      <vt:lpstr>Discount Lookup</vt:lpstr>
      <vt:lpstr>_⚒__NEW_VIEW_PLANTING_OPTION__⚒</vt:lpstr>
      <vt:lpstr>ADD_ADDITIONAL_PLANTS</vt:lpstr>
      <vt:lpstr>Alice_Oakleaf_Hydrangea</vt:lpstr>
      <vt:lpstr>American_Beautyberry</vt:lpstr>
      <vt:lpstr>American_Beech</vt:lpstr>
      <vt:lpstr>American_Hornbeam</vt:lpstr>
      <vt:lpstr>Aphrodite_Sweetshrub</vt:lpstr>
      <vt:lpstr>Autumn_Gold_Ginkgo</vt:lpstr>
      <vt:lpstr>Baby_Cakes__Blackberry</vt:lpstr>
      <vt:lpstr>Bald_Cypress</vt:lpstr>
      <vt:lpstr>Black_eyed_Susan</vt:lpstr>
      <vt:lpstr>Black_Tupelo</vt:lpstr>
      <vt:lpstr>Bracken_Brown_Beauty_Magnolia</vt:lpstr>
      <vt:lpstr>Bracken_s_Brown_Beauty_Magnolia__white__💧wet_sites_OK_Magnolia_grandiflora__Bracken_s_Brown_Beauty</vt:lpstr>
      <vt:lpstr>BrackenBB</vt:lpstr>
      <vt:lpstr>Brackens_Brown_Beauty</vt:lpstr>
      <vt:lpstr>Brandywine_Red_Maple</vt:lpstr>
      <vt:lpstr>Brodie_Juniper</vt:lpstr>
      <vt:lpstr>by_categories</vt:lpstr>
      <vt:lpstr>CATEGORIES</vt:lpstr>
      <vt:lpstr>Centre_Court_Cherry_Laurel</vt:lpstr>
      <vt:lpstr>Cherokee_Brave_Dogwood__reddish_pink__Cornus_florida__Cherokee_Brave</vt:lpstr>
      <vt:lpstr>Cherokee_Princess_Dogwood__white__Cornus_florida__Cherokee_Princess</vt:lpstr>
      <vt:lpstr>Climax_Blueberry</vt:lpstr>
      <vt:lpstr>Deciduous</vt:lpstr>
      <vt:lpstr>Deciduous__foliage_drops_off_every_fall</vt:lpstr>
      <vt:lpstr>DECIDUOUS_GROUND_COVER</vt:lpstr>
      <vt:lpstr>DECIDUOUS_GROUNDCOVER___Grasses__Vines__etc.__bloom</vt:lpstr>
      <vt:lpstr>DECIDUOUS_in_peach</vt:lpstr>
      <vt:lpstr>Deciduous_Shade_Trees</vt:lpstr>
      <vt:lpstr>DECIDUOUS_SHRUBS</vt:lpstr>
      <vt:lpstr>DECIDUOUS_TREES</vt:lpstr>
      <vt:lpstr>DeGroot_s_Spire_Arborvitae</vt:lpstr>
      <vt:lpstr>DELIVERY_TOTAL</vt:lpstr>
      <vt:lpstr>Dura_Heat_River_Birch</vt:lpstr>
      <vt:lpstr>Dwarf_Golden_Sweet_Flag</vt:lpstr>
      <vt:lpstr>Dwarf_Palmetto_Palm</vt:lpstr>
      <vt:lpstr>Dwarf_Yaupon_Holly</vt:lpstr>
      <vt:lpstr>Eastern_Triangle_Area</vt:lpstr>
      <vt:lpstr>EDIBLES</vt:lpstr>
      <vt:lpstr>EDIBLES__bloom_color</vt:lpstr>
      <vt:lpstr>Elderberry</vt:lpstr>
      <vt:lpstr>Emerald_Arborvitae</vt:lpstr>
      <vt:lpstr>Emerald_Blue_Creeping_Phlox</vt:lpstr>
      <vt:lpstr>Evergreen</vt:lpstr>
      <vt:lpstr>Evergreen__keeps_foliage_year_round</vt:lpstr>
      <vt:lpstr>EVERGREEN_GROUNDCOVER</vt:lpstr>
      <vt:lpstr>EVERGREEN_plants_in_green</vt:lpstr>
      <vt:lpstr>EVERGREEN_SHRUBS</vt:lpstr>
      <vt:lpstr>EVERGREEN_TREES</vt:lpstr>
      <vt:lpstr>Flame_Thrower__Redbud</vt:lpstr>
      <vt:lpstr>Forest_Pansy_Redbud</vt:lpstr>
      <vt:lpstr>Fort_Hill_Creeping_Phlox</vt:lpstr>
      <vt:lpstr>Foster_Holly</vt:lpstr>
      <vt:lpstr>Golden_Colonnade_Ginkgo</vt:lpstr>
      <vt:lpstr>Golden_Falls_Weeping_Redbud</vt:lpstr>
      <vt:lpstr>Golden_Globe_Arborvitae</vt:lpstr>
      <vt:lpstr>Goldsturm_Black_Eyed_Susan</vt:lpstr>
      <vt:lpstr>Green_Gable_Black_Gum</vt:lpstr>
      <vt:lpstr>GUARANTEE</vt:lpstr>
      <vt:lpstr>Guaranteed</vt:lpstr>
      <vt:lpstr>Hardy_Anise_Shru</vt:lpstr>
      <vt:lpstr>Hardy_Anise_Shrub</vt:lpstr>
      <vt:lpstr>Heavy_Metal_Switchgrass__pink_tinged___💧wet_sites_OK__Panicum_‘Heavy_Metal</vt:lpstr>
      <vt:lpstr>Henry_s_Garnet_Virginia_Sweetspire</vt:lpstr>
      <vt:lpstr>Hetz_Midget_Arborvita</vt:lpstr>
      <vt:lpstr>Hetz_Midget_Arborvitae</vt:lpstr>
      <vt:lpstr>Homestead_Hot_Pink_Verbena</vt:lpstr>
      <vt:lpstr>Homestead_Purple_Verbena</vt:lpstr>
      <vt:lpstr>Humminbird_Summersweet</vt:lpstr>
      <vt:lpstr>Kay_Parris_Magnolia</vt:lpstr>
      <vt:lpstr>Lace_Parasol_Winged_Elm</vt:lpstr>
      <vt:lpstr>Legacy_Blueberry</vt:lpstr>
      <vt:lpstr>Legacy_Sugar_Maple</vt:lpstr>
      <vt:lpstr>Little_Gem_Magnolia</vt:lpstr>
      <vt:lpstr>Little_Gem_Magnolia__white___💧wet_sites_OK__Magnolia_grandiflora__Little_Gem</vt:lpstr>
      <vt:lpstr>Little_Henry__Virginia_Sweetspire</vt:lpstr>
      <vt:lpstr>Little_King_Dwarf_River_Birch</vt:lpstr>
      <vt:lpstr>Loblolly_Pine</vt:lpstr>
      <vt:lpstr>Longleaf_Pine</vt:lpstr>
      <vt:lpstr>Merlot_Redbud__pink__Cercis_x__Merlot</vt:lpstr>
      <vt:lpstr>more</vt:lpstr>
      <vt:lpstr>MORE_NOTES</vt:lpstr>
      <vt:lpstr>NEW_VIEW_PLANTING</vt:lpstr>
      <vt:lpstr>New_View_Planting_Price_Table</vt:lpstr>
      <vt:lpstr>none</vt:lpstr>
      <vt:lpstr>Nuttall_Oak</vt:lpstr>
      <vt:lpstr>NVP__Price_Table</vt:lpstr>
      <vt:lpstr>NVPNotes</vt:lpstr>
      <vt:lpstr>October_Glory_Red_Maple</vt:lpstr>
      <vt:lpstr>Ogon_Sweet_Flag</vt:lpstr>
      <vt:lpstr>'Terms of Planting'!OLE_LINK1</vt:lpstr>
      <vt:lpstr>OPTIONAL_NEW_VIEW_PLANTING</vt:lpstr>
      <vt:lpstr>Overcup_Oak</vt:lpstr>
      <vt:lpstr>Palace_Purple_Coral_Bells__white__Heuchera_micrantha__Palace_Purple</vt:lpstr>
      <vt:lpstr>Pawpaw_Tree__purple___💧wet_sites_OK__Asimina_triloba</vt:lpstr>
      <vt:lpstr>Pennsylvania_Sedge</vt:lpstr>
      <vt:lpstr>Pin_Oak</vt:lpstr>
      <vt:lpstr>Pink_Dogwood</vt:lpstr>
      <vt:lpstr>Pink_Icing__Blueberry__white__Bushel_and_Berry__Vaccinium_corymbosum__Zf06_079__PP23336</vt:lpstr>
      <vt:lpstr>Pink_Muhly_Grass</vt:lpstr>
      <vt:lpstr>Planet_Earth__Arborvitae</vt:lpstr>
      <vt:lpstr>Powderblue_Blueberry</vt:lpstr>
      <vt:lpstr>Premier_Blueberry</vt:lpstr>
      <vt:lpstr>Price_Table</vt:lpstr>
      <vt:lpstr>PriceTable</vt:lpstr>
      <vt:lpstr>'Main Page'!Print_Area</vt:lpstr>
      <vt:lpstr>'Planting Advice'!Print_Area</vt:lpstr>
      <vt:lpstr>Warranty!Print_Area</vt:lpstr>
      <vt:lpstr>'Watering Advice'!Print_Area</vt:lpstr>
      <vt:lpstr>QualityGuarantee</vt:lpstr>
      <vt:lpstr>Rebel_Blueberry</vt:lpstr>
      <vt:lpstr>Redpointe__Red_Maple</vt:lpstr>
      <vt:lpstr>Rosa_s_Blush_Dwarf_Blueberry</vt:lpstr>
      <vt:lpstr>Ruby_Falls_Weeping_Redbud</vt:lpstr>
      <vt:lpstr>Ruby_Spice_Summersweet</vt:lpstr>
      <vt:lpstr>Shagbark_Hickory</vt:lpstr>
      <vt:lpstr>Shamrock_Inkberry_Holly</vt:lpstr>
      <vt:lpstr>Shenandoah_Switch_Grass</vt:lpstr>
      <vt:lpstr>Shumard_Oak</vt:lpstr>
      <vt:lpstr>Southern_Gentleman_Winterberry_Holly__💧wet_sites_OK__Ilex_verticillata__Southern_Gentleman</vt:lpstr>
      <vt:lpstr>Strawberry_Shortcake_Wax_Myrtle</vt:lpstr>
      <vt:lpstr>Sun_Valley_Red_Maple</vt:lpstr>
      <vt:lpstr>Swamp_White_Oak</vt:lpstr>
      <vt:lpstr>Sweet_Tea_Gordlinia__white___Gordlinia_grandiflora__Sweet_Tea</vt:lpstr>
      <vt:lpstr>SweetTea</vt:lpstr>
      <vt:lpstr>T2G_Total</vt:lpstr>
      <vt:lpstr>Tables</vt:lpstr>
      <vt:lpstr>Tangerine_Beauty_Cross_Viner</vt:lpstr>
      <vt:lpstr>Taylor_Juniper</vt:lpstr>
      <vt:lpstr>Teddy_Bear_Magnolia</vt:lpstr>
      <vt:lpstr>Tifblue_Blueberry</vt:lpstr>
      <vt:lpstr>TOP</vt:lpstr>
      <vt:lpstr>TREES2GO_NOTES</vt:lpstr>
      <vt:lpstr>TREES2GO_PRICE_TABLE</vt:lpstr>
      <vt:lpstr>Trees2GoPriceTable</vt:lpstr>
      <vt:lpstr>Variegated_Sweet_Flag</vt:lpstr>
      <vt:lpstr>Wax_Myrtle</vt:lpstr>
      <vt:lpstr>WEEPING_PLANTS</vt:lpstr>
      <vt:lpstr>Weeping_Yaupon_Holly</vt:lpstr>
      <vt:lpstr>White_Delight_Creeping_Phlox__white___💧wet_sites_OK__Phlox_subulata__White_Delight</vt:lpstr>
      <vt:lpstr>White_Fringetree_white</vt:lpstr>
      <vt:lpstr>White_Oak</vt:lpstr>
      <vt:lpstr>Willow_Oak</vt:lpstr>
      <vt:lpstr>Woodland_Ruby_Anise</vt:lpstr>
      <vt:lpstr>Yellow_Ribbon_Arborvitae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Michael Lamar</dc:creator>
  <cp:keywords/>
  <dc:description/>
  <cp:lastModifiedBy>Mike Lamar</cp:lastModifiedBy>
  <cp:revision/>
  <cp:lastPrinted>2024-04-24T13:29:13Z</cp:lastPrinted>
  <dcterms:created xsi:type="dcterms:W3CDTF">2015-10-14T22:56:34Z</dcterms:created>
  <dcterms:modified xsi:type="dcterms:W3CDTF">2024-04-25T02:07:00Z</dcterms:modified>
  <cp:category/>
  <cp:contentStatus/>
</cp:coreProperties>
</file>